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9-2020\Budget Letter\March 2020\Newsletter &amp; Web\"/>
    </mc:Choice>
  </mc:AlternateContent>
  <workbookProtection workbookPassword="D893" lockStructure="1"/>
  <bookViews>
    <workbookView xWindow="0" yWindow="0" windowWidth="28800" windowHeight="13020" tabRatio="753"/>
  </bookViews>
  <sheets>
    <sheet name="2_State Distrib and Adjs" sheetId="9" r:id="rId1"/>
    <sheet name="2A-1_EFT (Annual)" sheetId="10" r:id="rId2"/>
    <sheet name="2A-2_EFT (Monthly)" sheetId="11" r:id="rId3"/>
    <sheet name="3_Levels 1&amp;2" sheetId="12" r:id="rId4"/>
    <sheet name="3A_Level 3" sheetId="13" r:id="rId5"/>
    <sheet name="3B_Pay Raise" sheetId="14" r:id="rId6"/>
    <sheet name="4_Level 4" sheetId="15" r:id="rId7"/>
    <sheet name="5A1_Labs" sheetId="16" r:id="rId8"/>
    <sheet name="5A2_Legacy Type 2" sheetId="17" r:id="rId9"/>
    <sheet name="5A2A_New Vision" sheetId="18" state="hidden" r:id="rId10"/>
    <sheet name="5A2B_Glencoe" sheetId="19" state="hidden" r:id="rId11"/>
    <sheet name="5A2C_ISL" sheetId="20" state="hidden" r:id="rId12"/>
    <sheet name="5A2D_Avoyelles" sheetId="21" state="hidden" r:id="rId13"/>
    <sheet name="5A2E_Delhi" sheetId="22" state="hidden" r:id="rId14"/>
    <sheet name="5A2F_Belle Chasse" sheetId="23" state="hidden" r:id="rId15"/>
    <sheet name="5A2H_MAX" sheetId="24" state="hidden" r:id="rId16"/>
    <sheet name="5A3_OJJ" sheetId="25" r:id="rId17"/>
    <sheet name="5A4_NOCCA" sheetId="26" r:id="rId18"/>
    <sheet name="5A5_LSMSA" sheetId="27" r:id="rId19"/>
    <sheet name="5A6_Thrive" sheetId="28" r:id="rId20"/>
    <sheet name="5B2_RSD LA" sheetId="29" r:id="rId21"/>
    <sheet name="5C1_New Type 2" sheetId="30" r:id="rId22"/>
    <sheet name="5C1A_Madison" sheetId="31" state="hidden" r:id="rId23"/>
    <sheet name="5C1B_DArbonne" sheetId="32" state="hidden" r:id="rId24"/>
    <sheet name="5C1C_Intl High" sheetId="33" state="hidden" r:id="rId25"/>
    <sheet name="5C1D_NOMMA" sheetId="34" state="hidden" r:id="rId26"/>
    <sheet name="5C1E_LFNO" sheetId="35" state="hidden" r:id="rId27"/>
    <sheet name="5C1F_L.C. Charter" sheetId="36" state="hidden" r:id="rId28"/>
    <sheet name="5C1G_JS Clark" sheetId="37" state="hidden" r:id="rId29"/>
    <sheet name="5C1H_Southwest" sheetId="38" state="hidden" r:id="rId30"/>
    <sheet name="5C1I_LA Key" sheetId="39" state="hidden" r:id="rId31"/>
    <sheet name="5C1J_JCFA-East" sheetId="40" state="hidden" r:id="rId32"/>
    <sheet name="5C1M_GEO Mid" sheetId="41" state="hidden" r:id="rId33"/>
    <sheet name="5C1N_Delta" sheetId="42" state="hidden" r:id="rId34"/>
    <sheet name="5C1O_Impact" sheetId="43" state="hidden" r:id="rId35"/>
    <sheet name="5C1Q_Advantage" sheetId="44" state="hidden" r:id="rId36"/>
    <sheet name="5C1R_Iberville" sheetId="45" state="hidden" r:id="rId37"/>
    <sheet name="5C1S_LC Col Prep" sheetId="46" state="hidden" r:id="rId38"/>
    <sheet name="5C1T_Northeast" sheetId="47" state="hidden" r:id="rId39"/>
    <sheet name="5C1U_Acadiana Ren" sheetId="48" state="hidden" r:id="rId40"/>
    <sheet name="5C1V_Laf Ren" sheetId="49" state="hidden" r:id="rId41"/>
    <sheet name="5C1W_Willow" sheetId="50" state="hidden" r:id="rId42"/>
    <sheet name="5C1Y_GEO" sheetId="51" state="hidden" r:id="rId43"/>
    <sheet name="5C1Z_Lincoln Prep" sheetId="52" state="hidden" r:id="rId44"/>
    <sheet name="5C1AD_Greater" sheetId="56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19 SIS" sheetId="69" r:id="rId58"/>
    <sheet name="8A_2.1.19 RSD Op &amp; 5s" sheetId="70" r:id="rId59"/>
    <sheet name="Source Data" sheetId="71" r:id="rId60"/>
    <sheet name="LEA Pay Raise" sheetId="72" state="hidden" r:id="rId61"/>
    <sheet name="Per Pupil_Weighted Funding" sheetId="73" state="hidden" r:id="rId62"/>
    <sheet name="Pay Raise By Residency" sheetId="76" state="hidden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5" hidden="1">'3B_Pay Raise'!$A$5:$O$143</definedName>
    <definedName name="_xlnm._FilterDatabase" localSheetId="58" hidden="1">'8A_2.1.19 RSD Op &amp; 5s'!$A$2:$F$2</definedName>
    <definedName name="fsyr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'2_State Distrib and Adjs'!$A$1:$BD$76</definedName>
    <definedName name="_xlnm.Print_Area" localSheetId="1">'2A-1_EFT (Annual)'!$A$1:$AN$76</definedName>
    <definedName name="_xlnm.Print_Area" localSheetId="2">'2A-2_EFT (Monthly)'!$A$1:$BY$76</definedName>
    <definedName name="_xlnm.Print_Area" localSheetId="3">'3_Levels 1&amp;2'!$A$1:$BC$76</definedName>
    <definedName name="_xlnm.Print_Area" localSheetId="4">'3A_Level 3'!$A$1:$M$76</definedName>
    <definedName name="_xlnm.Print_Area" localSheetId="5">'3B_Pay Raise'!$A$1:$O$143</definedName>
    <definedName name="_xlnm.Print_Area" localSheetId="6">'4_Level 4'!$A$1:$R$141</definedName>
    <definedName name="_xlnm.Print_Area" localSheetId="7">'5A1_Labs'!$A$1:$Y$9</definedName>
    <definedName name="_xlnm.Print_Area" localSheetId="8">'5A2_Legacy Type 2'!$A$1:$AI$14</definedName>
    <definedName name="_xlnm.Print_Area" localSheetId="9">'5A2A_New Vision'!$A$1:$AF$84</definedName>
    <definedName name="_xlnm.Print_Area" localSheetId="10">'5A2B_Glencoe'!$A$1:$AF$84</definedName>
    <definedName name="_xlnm.Print_Area" localSheetId="11">'5A2C_ISL'!$A$1:$AF$87</definedName>
    <definedName name="_xlnm.Print_Area" localSheetId="12">'5A2D_Avoyelles'!$A$1:$AF$84</definedName>
    <definedName name="_xlnm.Print_Area" localSheetId="13">'5A2E_Delhi'!$A$1:$AF$84</definedName>
    <definedName name="_xlnm.Print_Area" localSheetId="14">'5A2F_Belle Chasse'!$A$1:$AF$84</definedName>
    <definedName name="_xlnm.Print_Area" localSheetId="15">'5A2H_MAX'!$A$1:$AF$84</definedName>
    <definedName name="_xlnm.Print_Area" localSheetId="16">'5A3_OJJ'!$A$1:$S$84</definedName>
    <definedName name="_xlnm.Print_Area" localSheetId="17">'5A4_NOCCA'!$A$1:$R$84</definedName>
    <definedName name="_xlnm.Print_Area" localSheetId="18">'5A5_LSMSA'!$A$1:$R$84</definedName>
    <definedName name="_xlnm.Print_Area" localSheetId="19">'5A6_Thrive'!$A$1:$R$84</definedName>
    <definedName name="_xlnm.Print_Area" localSheetId="20">'5B2_RSD LA'!$A$1:$AU$19</definedName>
    <definedName name="_xlnm.Print_Area" localSheetId="21">'5C1_New Type 2'!$A$1:$AX$40</definedName>
    <definedName name="_xlnm.Print_Area" localSheetId="22">'5C1A_Madison'!$A$1:$AS$84</definedName>
    <definedName name="_xlnm.Print_Area" localSheetId="44">'5C1AD_Greater'!$A$1:$AS$84</definedName>
    <definedName name="_xlnm.Print_Area" localSheetId="45">'5C1AE_Noble Minds'!$A$1:$AS$84</definedName>
    <definedName name="_xlnm.Print_Area" localSheetId="46">'5C1AF_JCFA-Laf'!$A$1:$AS$84</definedName>
    <definedName name="_xlnm.Print_Area" localSheetId="47">'5C1AG_Collegiate'!$A$1:$AS$84</definedName>
    <definedName name="_xlnm.Print_Area" localSheetId="48">'5C1AH_BRUP'!$A$1:$AS$84</definedName>
    <definedName name="_xlnm.Print_Area" localSheetId="49">'5C1AI_Harmony'!$A$1:$AS$84</definedName>
    <definedName name="_xlnm.Print_Area" localSheetId="50">'5C1AJ_Athlos'!$A$1:$AS$84</definedName>
    <definedName name="_xlnm.Print_Area" localSheetId="51">'5C1AK_NxtGen'!$A$1:$AS$84</definedName>
    <definedName name="_xlnm.Print_Area" localSheetId="52">'5C1AL_Red River'!$A$1:$AS$84</definedName>
    <definedName name="_xlnm.Print_Area" localSheetId="23">'5C1B_DArbonne'!$A$1:$AS$84</definedName>
    <definedName name="_xlnm.Print_Area" localSheetId="24">'5C1C_Intl High'!$A$1:$AS$84</definedName>
    <definedName name="_xlnm.Print_Area" localSheetId="25">'5C1D_NOMMA'!$A$1:$AS$84</definedName>
    <definedName name="_xlnm.Print_Area" localSheetId="26">'5C1E_LFNO'!$A$1:$AS$87</definedName>
    <definedName name="_xlnm.Print_Area" localSheetId="27">'5C1F_L.C. Charter'!$A$1:$AS$84</definedName>
    <definedName name="_xlnm.Print_Area" localSheetId="28">'5C1G_JS Clark'!$A$1:$AS$84</definedName>
    <definedName name="_xlnm.Print_Area" localSheetId="29">'5C1H_Southwest'!$A$1:$AS$84</definedName>
    <definedName name="_xlnm.Print_Area" localSheetId="30">'5C1I_LA Key'!$A$1:$AS$84</definedName>
    <definedName name="_xlnm.Print_Area" localSheetId="31">'5C1J_JCFA-East'!$A$1:$AS$84</definedName>
    <definedName name="_xlnm.Print_Area" localSheetId="32">'5C1M_GEO Mid'!$A$1:$AS$84</definedName>
    <definedName name="_xlnm.Print_Area" localSheetId="33">'5C1N_Delta'!$A$1:$AS$84</definedName>
    <definedName name="_xlnm.Print_Area" localSheetId="34">'5C1O_Impact'!$A$1:$AS$84</definedName>
    <definedName name="_xlnm.Print_Area" localSheetId="35">'5C1Q_Advantage'!$A$1:$AS$84</definedName>
    <definedName name="_xlnm.Print_Area" localSheetId="36">'5C1R_Iberville'!$A$1:$AS$84</definedName>
    <definedName name="_xlnm.Print_Area" localSheetId="37">'5C1S_LC Col Prep'!$A$1:$AS$84</definedName>
    <definedName name="_xlnm.Print_Area" localSheetId="38">'5C1T_Northeast'!$A$1:$AS$84</definedName>
    <definedName name="_xlnm.Print_Area" localSheetId="39">'5C1U_Acadiana Ren'!$A$1:$AS$84</definedName>
    <definedName name="_xlnm.Print_Area" localSheetId="40">'5C1V_Laf Ren'!$A$1:$AS$84</definedName>
    <definedName name="_xlnm.Print_Area" localSheetId="41">'5C1W_Willow'!$A$1:$AS$84</definedName>
    <definedName name="_xlnm.Print_Area" localSheetId="42">'5C1Y_GEO'!$A$1:$AS$84</definedName>
    <definedName name="_xlnm.Print_Area" localSheetId="43">'5C1Z_Lincoln Prep'!$A$1:$AS$84</definedName>
    <definedName name="_xlnm.Print_Area" localSheetId="53">'5C2_LAVCA'!$A$1:$AT$84</definedName>
    <definedName name="_xlnm.Print_Area" localSheetId="54">'5C3_UnvView'!$A$1:$AT$84</definedName>
    <definedName name="_xlnm.Print_Area" localSheetId="55">'6_Local Deduct Calc'!$A$1:$J$76</definedName>
    <definedName name="_xlnm.Print_Area" localSheetId="56">'7_Local Revenue'!$A$1:$AR$76</definedName>
    <definedName name="_xlnm.Print_Area" localSheetId="57">'8_2.1.19 SIS'!$A$1:$BI$77</definedName>
    <definedName name="_xlnm.Print_Area" localSheetId="58">'8A_2.1.19 RSD Op &amp; 5s'!$A$1:$F$13</definedName>
    <definedName name="_xlnm.Print_Area" localSheetId="60">'LEA Pay Raise'!$A$1:$D$21</definedName>
    <definedName name="_xlnm.Print_Area" localSheetId="62">'Pay Raise By Residency'!$A$1:$BI$76</definedName>
    <definedName name="_xlnm.Print_Area" localSheetId="61">'Per Pupil_Weighted Funding'!$A$1:$AG$76</definedName>
    <definedName name="_xlnm.Print_Area" localSheetId="59">'Source Data'!$A$1:$Q$78</definedName>
    <definedName name="_xlnm.Print_Titles" localSheetId="0">'2_State Distrib and Adjs'!$A:$B</definedName>
    <definedName name="_xlnm.Print_Titles" localSheetId="1">'2A-1_EFT (Annual)'!$A:$B</definedName>
    <definedName name="_xlnm.Print_Titles" localSheetId="2">'2A-2_EFT (Monthly)'!$A:$B</definedName>
    <definedName name="_xlnm.Print_Titles" localSheetId="3">'3_Levels 1&amp;2'!$A:$B</definedName>
    <definedName name="_xlnm.Print_Titles" localSheetId="4">'3A_Level 3'!$A:$B</definedName>
    <definedName name="_xlnm.Print_Titles" localSheetId="5">'3B_Pay Raise'!$A:$C,'3B_Pay Raise'!$1:$5</definedName>
    <definedName name="_xlnm.Print_Titles" localSheetId="6">'4_Level 4'!$A:$C,'4_Level 4'!$1:$4</definedName>
    <definedName name="_xlnm.Print_Titles" localSheetId="7">'5A1_Labs'!$A:$B</definedName>
    <definedName name="_xlnm.Print_Titles" localSheetId="8">'5A2_Legacy Type 2'!$A:$B</definedName>
    <definedName name="_xlnm.Print_Titles" localSheetId="9">'5A2A_New Vision'!$A:$B</definedName>
    <definedName name="_xlnm.Print_Titles" localSheetId="10">'5A2B_Glencoe'!$A:$B</definedName>
    <definedName name="_xlnm.Print_Titles" localSheetId="11">'5A2C_ISL'!$A:$B</definedName>
    <definedName name="_xlnm.Print_Titles" localSheetId="12">'5A2D_Avoyelles'!$A:$B</definedName>
    <definedName name="_xlnm.Print_Titles" localSheetId="13">'5A2E_Delhi'!$A:$B</definedName>
    <definedName name="_xlnm.Print_Titles" localSheetId="14">'5A2F_Belle Chasse'!$A:$B</definedName>
    <definedName name="_xlnm.Print_Titles" localSheetId="15">'5A2H_MAX'!$A:$B</definedName>
    <definedName name="_xlnm.Print_Titles" localSheetId="16">'5A3_OJJ'!$A:$B</definedName>
    <definedName name="_xlnm.Print_Titles" localSheetId="17">'5A4_NOCCA'!$A:$B</definedName>
    <definedName name="_xlnm.Print_Titles" localSheetId="18">'5A5_LSMSA'!$A:$B</definedName>
    <definedName name="_xlnm.Print_Titles" localSheetId="19">'5A6_Thrive'!$A:$B</definedName>
    <definedName name="_xlnm.Print_Titles" localSheetId="20">'5B2_RSD LA'!$A:$C</definedName>
    <definedName name="_xlnm.Print_Titles" localSheetId="21">'5C1_New Type 2'!$A:$D,'5C1_New Type 2'!$1:$4</definedName>
    <definedName name="_xlnm.Print_Titles" localSheetId="22">'5C1A_Madison'!$A:$B</definedName>
    <definedName name="_xlnm.Print_Titles" localSheetId="44">'5C1AD_Greater'!$A:$B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3">'5C1B_DArbonne'!$A:$B</definedName>
    <definedName name="_xlnm.Print_Titles" localSheetId="24">'5C1C_Intl High'!$A:$B</definedName>
    <definedName name="_xlnm.Print_Titles" localSheetId="25">'5C1D_NOMMA'!$A:$B</definedName>
    <definedName name="_xlnm.Print_Titles" localSheetId="26">'5C1E_LFNO'!$A:$B</definedName>
    <definedName name="_xlnm.Print_Titles" localSheetId="27">'5C1F_L.C. Charter'!$A:$B</definedName>
    <definedName name="_xlnm.Print_Titles" localSheetId="28">'5C1G_JS Clark'!$A:$B</definedName>
    <definedName name="_xlnm.Print_Titles" localSheetId="29">'5C1H_Southwest'!$A:$B</definedName>
    <definedName name="_xlnm.Print_Titles" localSheetId="30">'5C1I_LA Key'!$A:$B</definedName>
    <definedName name="_xlnm.Print_Titles" localSheetId="31">'5C1J_JCFA-East'!$A:$B</definedName>
    <definedName name="_xlnm.Print_Titles" localSheetId="32">'5C1M_GEO Mid'!$A:$B</definedName>
    <definedName name="_xlnm.Print_Titles" localSheetId="33">'5C1N_Delta'!$A:$B</definedName>
    <definedName name="_xlnm.Print_Titles" localSheetId="34">'5C1O_Impact'!$A:$B</definedName>
    <definedName name="_xlnm.Print_Titles" localSheetId="35">'5C1Q_Advantage'!$A:$B</definedName>
    <definedName name="_xlnm.Print_Titles" localSheetId="36">'5C1R_Iberville'!$A:$B</definedName>
    <definedName name="_xlnm.Print_Titles" localSheetId="37">'5C1S_LC Col Prep'!$A:$B</definedName>
    <definedName name="_xlnm.Print_Titles" localSheetId="38">'5C1T_Northeast'!$A:$B</definedName>
    <definedName name="_xlnm.Print_Titles" localSheetId="39">'5C1U_Acadiana Ren'!$A:$B</definedName>
    <definedName name="_xlnm.Print_Titles" localSheetId="40">'5C1V_Laf Ren'!$A:$B</definedName>
    <definedName name="_xlnm.Print_Titles" localSheetId="41">'5C1W_Willow'!$A:$B</definedName>
    <definedName name="_xlnm.Print_Titles" localSheetId="42">'5C1Y_GEO'!$A:$B</definedName>
    <definedName name="_xlnm.Print_Titles" localSheetId="43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'8_2.1.19 SIS'!$A:$B</definedName>
    <definedName name="_xlnm.Print_Titles" localSheetId="60">'LEA Pay Raise'!$A:$C,'LEA Pay Raise'!$1:$2</definedName>
    <definedName name="_xlnm.Print_Titles" localSheetId="62">'Pay Raise By Residency'!$A:$B</definedName>
    <definedName name="_xlnm.Print_Titles" localSheetId="61">'Per Pupil_Weighted Funding'!$A:$B</definedName>
    <definedName name="_xlnm.Print_Titles" localSheetId="59">'Source Data'!$A:$B</definedName>
    <definedName name="tbl_001_Base_Matrix___Summary_Reported_Personnel_Salaries">#REF!</definedName>
    <definedName name="Z_DF43B8DA_68E8_4080_9138_D41A38219876_.wvu.Cols" localSheetId="5" hidden="1">'3B_Pay Raise'!$B:$B</definedName>
    <definedName name="Z_DF43B8DA_68E8_4080_9138_D41A38219876_.wvu.Cols" localSheetId="6" hidden="1">'4_Level 4'!$B:$B</definedName>
    <definedName name="Z_DF43B8DA_68E8_4080_9138_D41A38219876_.wvu.Cols" localSheetId="20" hidden="1">'5B2_RSD LA'!$B:$B</definedName>
    <definedName name="Z_DF43B8DA_68E8_4080_9138_D41A38219876_.wvu.Cols" localSheetId="21" hidden="1">'5C1_New Type 2'!$B:$B</definedName>
    <definedName name="Z_DF43B8DA_68E8_4080_9138_D41A38219876_.wvu.Cols" localSheetId="57" hidden="1">'8_2.1.19 SIS'!$AM:$AS</definedName>
    <definedName name="Z_DF43B8DA_68E8_4080_9138_D41A38219876_.wvu.Cols" localSheetId="62" hidden="1">'Pay Raise By Residency'!$AM:$AS</definedName>
    <definedName name="Z_DF43B8DA_68E8_4080_9138_D41A38219876_.wvu.FilterData" localSheetId="5" hidden="1">'3B_Pay Raise'!$A$5:$O$143</definedName>
    <definedName name="Z_DF43B8DA_68E8_4080_9138_D41A38219876_.wvu.FilterData" localSheetId="58" hidden="1">'8A_2.1.19 RSD Op &amp; 5s'!$A$2:$F$2</definedName>
    <definedName name="Z_DF43B8DA_68E8_4080_9138_D41A38219876_.wvu.PrintArea" localSheetId="0" hidden="1">'2_State Distrib and Adjs'!$A$1:$BD$76</definedName>
    <definedName name="Z_DF43B8DA_68E8_4080_9138_D41A38219876_.wvu.PrintArea" localSheetId="1" hidden="1">'2A-1_EFT (Annual)'!$A$1:$AN$76</definedName>
    <definedName name="Z_DF43B8DA_68E8_4080_9138_D41A38219876_.wvu.PrintArea" localSheetId="2" hidden="1">'2A-2_EFT (Monthly)'!$A$1:$AN$76</definedName>
    <definedName name="Z_DF43B8DA_68E8_4080_9138_D41A38219876_.wvu.PrintArea" localSheetId="3" hidden="1">'3_Levels 1&amp;2'!$A$1:$BC$76</definedName>
    <definedName name="Z_DF43B8DA_68E8_4080_9138_D41A38219876_.wvu.PrintArea" localSheetId="4" hidden="1">'3A_Level 3'!$A$1:$M$76</definedName>
    <definedName name="Z_DF43B8DA_68E8_4080_9138_D41A38219876_.wvu.PrintArea" localSheetId="5" hidden="1">'3B_Pay Raise'!$A$1:$O$143</definedName>
    <definedName name="Z_DF43B8DA_68E8_4080_9138_D41A38219876_.wvu.PrintArea" localSheetId="6" hidden="1">'4_Level 4'!$A$1:$R$141</definedName>
    <definedName name="Z_DF43B8DA_68E8_4080_9138_D41A38219876_.wvu.PrintArea" localSheetId="7" hidden="1">'5A1_Labs'!$A$1:$Y$9</definedName>
    <definedName name="Z_DF43B8DA_68E8_4080_9138_D41A38219876_.wvu.PrintArea" localSheetId="8" hidden="1">'5A2_Legacy Type 2'!$A$1:$AI$14</definedName>
    <definedName name="Z_DF43B8DA_68E8_4080_9138_D41A38219876_.wvu.PrintArea" localSheetId="9" hidden="1">'5A2A_New Vision'!$A$1:$AF$84</definedName>
    <definedName name="Z_DF43B8DA_68E8_4080_9138_D41A38219876_.wvu.PrintArea" localSheetId="10" hidden="1">'5A2B_Glencoe'!$A$1:$AF$84</definedName>
    <definedName name="Z_DF43B8DA_68E8_4080_9138_D41A38219876_.wvu.PrintArea" localSheetId="11" hidden="1">'5A2C_ISL'!$A$1:$AF$87</definedName>
    <definedName name="Z_DF43B8DA_68E8_4080_9138_D41A38219876_.wvu.PrintArea" localSheetId="12" hidden="1">'5A2D_Avoyelles'!$A$1:$AF$84</definedName>
    <definedName name="Z_DF43B8DA_68E8_4080_9138_D41A38219876_.wvu.PrintArea" localSheetId="13" hidden="1">'5A2E_Delhi'!$A$1:$AF$84</definedName>
    <definedName name="Z_DF43B8DA_68E8_4080_9138_D41A38219876_.wvu.PrintArea" localSheetId="14" hidden="1">'5A2F_Belle Chasse'!$A$1:$AF$84</definedName>
    <definedName name="Z_DF43B8DA_68E8_4080_9138_D41A38219876_.wvu.PrintArea" localSheetId="15" hidden="1">'5A2H_MAX'!$A$1:$AF$84</definedName>
    <definedName name="Z_DF43B8DA_68E8_4080_9138_D41A38219876_.wvu.PrintArea" localSheetId="16" hidden="1">'5A3_OJJ'!$A$1:$S$84</definedName>
    <definedName name="Z_DF43B8DA_68E8_4080_9138_D41A38219876_.wvu.PrintArea" localSheetId="17" hidden="1">'5A4_NOCCA'!$A$1:$R$84</definedName>
    <definedName name="Z_DF43B8DA_68E8_4080_9138_D41A38219876_.wvu.PrintArea" localSheetId="18" hidden="1">'5A5_LSMSA'!$A$1:$R$84</definedName>
    <definedName name="Z_DF43B8DA_68E8_4080_9138_D41A38219876_.wvu.PrintArea" localSheetId="19" hidden="1">'5A6_Thrive'!$A$1:$R$84</definedName>
    <definedName name="Z_DF43B8DA_68E8_4080_9138_D41A38219876_.wvu.PrintArea" localSheetId="20" hidden="1">'5B2_RSD LA'!$A$1:$AU$19</definedName>
    <definedName name="Z_DF43B8DA_68E8_4080_9138_D41A38219876_.wvu.PrintArea" localSheetId="21" hidden="1">'5C1_New Type 2'!$A$1:$AX$40</definedName>
    <definedName name="Z_DF43B8DA_68E8_4080_9138_D41A38219876_.wvu.PrintArea" localSheetId="22" hidden="1">'5C1A_Madison'!$A$1:$AS$84</definedName>
    <definedName name="Z_DF43B8DA_68E8_4080_9138_D41A38219876_.wvu.PrintArea" localSheetId="44" hidden="1">'5C1AD_Greater'!$A$1:$AS$84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3" hidden="1">'5C1B_DArbonne'!$A$1:$AS$84</definedName>
    <definedName name="Z_DF43B8DA_68E8_4080_9138_D41A38219876_.wvu.PrintArea" localSheetId="24" hidden="1">'5C1C_Intl High'!$A$1:$AS$84</definedName>
    <definedName name="Z_DF43B8DA_68E8_4080_9138_D41A38219876_.wvu.PrintArea" localSheetId="25" hidden="1">'5C1D_NOMMA'!$A$1:$AS$84</definedName>
    <definedName name="Z_DF43B8DA_68E8_4080_9138_D41A38219876_.wvu.PrintArea" localSheetId="26" hidden="1">'5C1E_LFNO'!$A$1:$AS$87</definedName>
    <definedName name="Z_DF43B8DA_68E8_4080_9138_D41A38219876_.wvu.PrintArea" localSheetId="27" hidden="1">'5C1F_L.C. Charter'!$A$1:$AS$84</definedName>
    <definedName name="Z_DF43B8DA_68E8_4080_9138_D41A38219876_.wvu.PrintArea" localSheetId="28" hidden="1">'5C1G_JS Clark'!$A$1:$AS$84</definedName>
    <definedName name="Z_DF43B8DA_68E8_4080_9138_D41A38219876_.wvu.PrintArea" localSheetId="29" hidden="1">'5C1H_Southwest'!$A$1:$AS$84</definedName>
    <definedName name="Z_DF43B8DA_68E8_4080_9138_D41A38219876_.wvu.PrintArea" localSheetId="30" hidden="1">'5C1I_LA Key'!$A$1:$AS$84</definedName>
    <definedName name="Z_DF43B8DA_68E8_4080_9138_D41A38219876_.wvu.PrintArea" localSheetId="31" hidden="1">'5C1J_JCFA-East'!$A$1:$AS$84</definedName>
    <definedName name="Z_DF43B8DA_68E8_4080_9138_D41A38219876_.wvu.PrintArea" localSheetId="32" hidden="1">'5C1M_GEO Mid'!$A$1:$AS$84</definedName>
    <definedName name="Z_DF43B8DA_68E8_4080_9138_D41A38219876_.wvu.PrintArea" localSheetId="33" hidden="1">'5C1N_Delta'!$A$1:$AS$84</definedName>
    <definedName name="Z_DF43B8DA_68E8_4080_9138_D41A38219876_.wvu.PrintArea" localSheetId="34" hidden="1">'5C1O_Impact'!$A$1:$AS$84</definedName>
    <definedName name="Z_DF43B8DA_68E8_4080_9138_D41A38219876_.wvu.PrintArea" localSheetId="35" hidden="1">'5C1Q_Advantage'!$A$1:$AS$84</definedName>
    <definedName name="Z_DF43B8DA_68E8_4080_9138_D41A38219876_.wvu.PrintArea" localSheetId="36" hidden="1">'5C1R_Iberville'!$A$1:$AS$84</definedName>
    <definedName name="Z_DF43B8DA_68E8_4080_9138_D41A38219876_.wvu.PrintArea" localSheetId="37" hidden="1">'5C1S_LC Col Prep'!$A$1:$AS$84</definedName>
    <definedName name="Z_DF43B8DA_68E8_4080_9138_D41A38219876_.wvu.PrintArea" localSheetId="38" hidden="1">'5C1T_Northeast'!$A$1:$AS$84</definedName>
    <definedName name="Z_DF43B8DA_68E8_4080_9138_D41A38219876_.wvu.PrintArea" localSheetId="39" hidden="1">'5C1U_Acadiana Ren'!$A$1:$AS$84</definedName>
    <definedName name="Z_DF43B8DA_68E8_4080_9138_D41A38219876_.wvu.PrintArea" localSheetId="40" hidden="1">'5C1V_Laf Ren'!$A$1:$AS$84</definedName>
    <definedName name="Z_DF43B8DA_68E8_4080_9138_D41A38219876_.wvu.PrintArea" localSheetId="41" hidden="1">'5C1W_Willow'!$A$1:$AS$84</definedName>
    <definedName name="Z_DF43B8DA_68E8_4080_9138_D41A38219876_.wvu.PrintArea" localSheetId="42" hidden="1">'5C1Y_GEO'!$A$1:$AS$84</definedName>
    <definedName name="Z_DF43B8DA_68E8_4080_9138_D41A38219876_.wvu.PrintArea" localSheetId="43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Revenue'!$A$1:$AR$76</definedName>
    <definedName name="Z_DF43B8DA_68E8_4080_9138_D41A38219876_.wvu.PrintArea" localSheetId="57" hidden="1">'8_2.1.19 SIS'!$A$1:$BI$76</definedName>
    <definedName name="Z_DF43B8DA_68E8_4080_9138_D41A38219876_.wvu.PrintArea" localSheetId="58" hidden="1">'8A_2.1.19 RSD Op &amp; 5s'!$A$1:$F$13</definedName>
    <definedName name="Z_DF43B8DA_68E8_4080_9138_D41A38219876_.wvu.PrintArea" localSheetId="60" hidden="1">'LEA Pay Raise'!$A$1:$D$21</definedName>
    <definedName name="Z_DF43B8DA_68E8_4080_9138_D41A38219876_.wvu.PrintArea" localSheetId="62" hidden="1">'Pay Raise By Residency'!$A$1:$BI$76</definedName>
    <definedName name="Z_DF43B8DA_68E8_4080_9138_D41A38219876_.wvu.PrintArea" localSheetId="61" hidden="1">'Per Pupil_Weighted Funding'!$A$1:$AG$76</definedName>
    <definedName name="Z_DF43B8DA_68E8_4080_9138_D41A38219876_.wvu.PrintArea" localSheetId="59" hidden="1">'Source Data'!$A$1:$Q$78</definedName>
    <definedName name="Z_DF43B8DA_68E8_4080_9138_D41A38219876_.wvu.PrintTitles" localSheetId="0" hidden="1">'2_State Distrib and Adjs'!$A:$B</definedName>
    <definedName name="Z_DF43B8DA_68E8_4080_9138_D41A38219876_.wvu.PrintTitles" localSheetId="1" hidden="1">'2A-1_EFT (Annual)'!$A:$B</definedName>
    <definedName name="Z_DF43B8DA_68E8_4080_9138_D41A38219876_.wvu.PrintTitles" localSheetId="2" hidden="1">'2A-2_EFT (Monthly)'!$A:$B</definedName>
    <definedName name="Z_DF43B8DA_68E8_4080_9138_D41A38219876_.wvu.PrintTitles" localSheetId="3" hidden="1">'3_Levels 1&amp;2'!$A:$B</definedName>
    <definedName name="Z_DF43B8DA_68E8_4080_9138_D41A38219876_.wvu.PrintTitles" localSheetId="4" hidden="1">'3A_Level 3'!$A:$B</definedName>
    <definedName name="Z_DF43B8DA_68E8_4080_9138_D41A38219876_.wvu.PrintTitles" localSheetId="5" hidden="1">'3B_Pay Raise'!$A:$C,'3B_Pay Raise'!$1:$5</definedName>
    <definedName name="Z_DF43B8DA_68E8_4080_9138_D41A38219876_.wvu.PrintTitles" localSheetId="6" hidden="1">'4_Level 4'!$A:$C,'4_Level 4'!$1:$4</definedName>
    <definedName name="Z_DF43B8DA_68E8_4080_9138_D41A38219876_.wvu.PrintTitles" localSheetId="7" hidden="1">'5A1_Labs'!$A:$B</definedName>
    <definedName name="Z_DF43B8DA_68E8_4080_9138_D41A38219876_.wvu.PrintTitles" localSheetId="8" hidden="1">'5A2_Legacy Type 2'!$A:$B</definedName>
    <definedName name="Z_DF43B8DA_68E8_4080_9138_D41A38219876_.wvu.PrintTitles" localSheetId="9" hidden="1">'5A2A_New Vision'!$A:$B</definedName>
    <definedName name="Z_DF43B8DA_68E8_4080_9138_D41A38219876_.wvu.PrintTitles" localSheetId="10" hidden="1">'5A2B_Glencoe'!$A:$B</definedName>
    <definedName name="Z_DF43B8DA_68E8_4080_9138_D41A38219876_.wvu.PrintTitles" localSheetId="11" hidden="1">'5A2C_ISL'!$A:$B</definedName>
    <definedName name="Z_DF43B8DA_68E8_4080_9138_D41A38219876_.wvu.PrintTitles" localSheetId="12" hidden="1">'5A2D_Avoyelles'!$A:$B</definedName>
    <definedName name="Z_DF43B8DA_68E8_4080_9138_D41A38219876_.wvu.PrintTitles" localSheetId="13" hidden="1">'5A2E_Delhi'!$A:$B</definedName>
    <definedName name="Z_DF43B8DA_68E8_4080_9138_D41A38219876_.wvu.PrintTitles" localSheetId="14" hidden="1">'5A2F_Belle Chasse'!$A:$B</definedName>
    <definedName name="Z_DF43B8DA_68E8_4080_9138_D41A38219876_.wvu.PrintTitles" localSheetId="15" hidden="1">'5A2H_MAX'!$A:$B</definedName>
    <definedName name="Z_DF43B8DA_68E8_4080_9138_D41A38219876_.wvu.PrintTitles" localSheetId="16" hidden="1">'5A3_OJJ'!$A:$B</definedName>
    <definedName name="Z_DF43B8DA_68E8_4080_9138_D41A38219876_.wvu.PrintTitles" localSheetId="17" hidden="1">'5A4_NOCCA'!$A:$B</definedName>
    <definedName name="Z_DF43B8DA_68E8_4080_9138_D41A38219876_.wvu.PrintTitles" localSheetId="18" hidden="1">'5A5_LSMSA'!$A:$B</definedName>
    <definedName name="Z_DF43B8DA_68E8_4080_9138_D41A38219876_.wvu.PrintTitles" localSheetId="19" hidden="1">'5A6_Thrive'!$A:$B</definedName>
    <definedName name="Z_DF43B8DA_68E8_4080_9138_D41A38219876_.wvu.PrintTitles" localSheetId="20" hidden="1">'5B2_RSD LA'!$A:$C</definedName>
    <definedName name="Z_DF43B8DA_68E8_4080_9138_D41A38219876_.wvu.PrintTitles" localSheetId="21" hidden="1">'5C1_New Type 2'!$A:$D,'5C1_New Type 2'!$1:$4</definedName>
    <definedName name="Z_DF43B8DA_68E8_4080_9138_D41A38219876_.wvu.PrintTitles" localSheetId="22" hidden="1">'5C1A_Madison'!$A:$B</definedName>
    <definedName name="Z_DF43B8DA_68E8_4080_9138_D41A38219876_.wvu.PrintTitles" localSheetId="44" hidden="1">'5C1AD_Greater'!$A:$B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3" hidden="1">'5C1B_DArbonne'!$A:$B</definedName>
    <definedName name="Z_DF43B8DA_68E8_4080_9138_D41A38219876_.wvu.PrintTitles" localSheetId="24" hidden="1">'5C1C_Intl High'!$A:$B</definedName>
    <definedName name="Z_DF43B8DA_68E8_4080_9138_D41A38219876_.wvu.PrintTitles" localSheetId="25" hidden="1">'5C1D_NOMMA'!$A:$B</definedName>
    <definedName name="Z_DF43B8DA_68E8_4080_9138_D41A38219876_.wvu.PrintTitles" localSheetId="26" hidden="1">'5C1E_LFNO'!$A:$B</definedName>
    <definedName name="Z_DF43B8DA_68E8_4080_9138_D41A38219876_.wvu.PrintTitles" localSheetId="27" hidden="1">'5C1F_L.C. Charter'!$A:$B</definedName>
    <definedName name="Z_DF43B8DA_68E8_4080_9138_D41A38219876_.wvu.PrintTitles" localSheetId="28" hidden="1">'5C1G_JS Clark'!$A:$B</definedName>
    <definedName name="Z_DF43B8DA_68E8_4080_9138_D41A38219876_.wvu.PrintTitles" localSheetId="29" hidden="1">'5C1H_Southwest'!$A:$B</definedName>
    <definedName name="Z_DF43B8DA_68E8_4080_9138_D41A38219876_.wvu.PrintTitles" localSheetId="30" hidden="1">'5C1I_LA Key'!$A:$B</definedName>
    <definedName name="Z_DF43B8DA_68E8_4080_9138_D41A38219876_.wvu.PrintTitles" localSheetId="31" hidden="1">'5C1J_JCFA-East'!$A:$B</definedName>
    <definedName name="Z_DF43B8DA_68E8_4080_9138_D41A38219876_.wvu.PrintTitles" localSheetId="32" hidden="1">'5C1M_GEO Mid'!$A:$B</definedName>
    <definedName name="Z_DF43B8DA_68E8_4080_9138_D41A38219876_.wvu.PrintTitles" localSheetId="33" hidden="1">'5C1N_Delta'!$A:$B</definedName>
    <definedName name="Z_DF43B8DA_68E8_4080_9138_D41A38219876_.wvu.PrintTitles" localSheetId="34" hidden="1">'5C1O_Impact'!$A:$B</definedName>
    <definedName name="Z_DF43B8DA_68E8_4080_9138_D41A38219876_.wvu.PrintTitles" localSheetId="35" hidden="1">'5C1Q_Advantage'!$A:$B</definedName>
    <definedName name="Z_DF43B8DA_68E8_4080_9138_D41A38219876_.wvu.PrintTitles" localSheetId="36" hidden="1">'5C1R_Iberville'!$A:$B</definedName>
    <definedName name="Z_DF43B8DA_68E8_4080_9138_D41A38219876_.wvu.PrintTitles" localSheetId="37" hidden="1">'5C1S_LC Col Prep'!$A:$B</definedName>
    <definedName name="Z_DF43B8DA_68E8_4080_9138_D41A38219876_.wvu.PrintTitles" localSheetId="38" hidden="1">'5C1T_Northeast'!$A:$B</definedName>
    <definedName name="Z_DF43B8DA_68E8_4080_9138_D41A38219876_.wvu.PrintTitles" localSheetId="39" hidden="1">'5C1U_Acadiana Ren'!$A:$B</definedName>
    <definedName name="Z_DF43B8DA_68E8_4080_9138_D41A38219876_.wvu.PrintTitles" localSheetId="40" hidden="1">'5C1V_Laf Ren'!$A:$B</definedName>
    <definedName name="Z_DF43B8DA_68E8_4080_9138_D41A38219876_.wvu.PrintTitles" localSheetId="41" hidden="1">'5C1W_Willow'!$A:$B</definedName>
    <definedName name="Z_DF43B8DA_68E8_4080_9138_D41A38219876_.wvu.PrintTitles" localSheetId="42" hidden="1">'5C1Y_GEO'!$A:$B</definedName>
    <definedName name="Z_DF43B8DA_68E8_4080_9138_D41A38219876_.wvu.PrintTitles" localSheetId="43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'8_2.1.19 SIS'!$A:$B</definedName>
    <definedName name="Z_DF43B8DA_68E8_4080_9138_D41A38219876_.wvu.PrintTitles" localSheetId="60" hidden="1">'LEA Pay Raise'!$A:$C,'LEA Pay Raise'!$1:$2</definedName>
    <definedName name="Z_DF43B8DA_68E8_4080_9138_D41A38219876_.wvu.PrintTitles" localSheetId="62" hidden="1">'Pay Raise By Residency'!$A:$B</definedName>
    <definedName name="Z_DF43B8DA_68E8_4080_9138_D41A38219876_.wvu.PrintTitles" localSheetId="61" hidden="1">'Per Pupil_Weighted Funding'!$A:$B</definedName>
    <definedName name="Z_DF43B8DA_68E8_4080_9138_D41A38219876_.wvu.PrintTitles" localSheetId="59" hidden="1">'Source Data'!$A:$B</definedName>
    <definedName name="Z_DF43B8DA_68E8_4080_9138_D41A38219876_.wvu.Rows" localSheetId="0" hidden="1">'2_State Distrib and Adjs'!$3:$3</definedName>
    <definedName name="Z_DF43B8DA_68E8_4080_9138_D41A38219876_.wvu.Rows" localSheetId="1" hidden="1">'2A-1_EFT (Annual)'!$3:$3,'2A-1_EFT (Annual)'!$5:$5</definedName>
    <definedName name="Z_DF43B8DA_68E8_4080_9138_D41A38219876_.wvu.Rows" localSheetId="2" hidden="1">'2A-2_EFT (Monthly)'!$3:$3,'2A-2_EFT (Monthly)'!$5:$5</definedName>
    <definedName name="Z_DF43B8DA_68E8_4080_9138_D41A38219876_.wvu.Rows" localSheetId="3" hidden="1">'3_Levels 1&amp;2'!$6:$6</definedName>
    <definedName name="Z_DF43B8DA_68E8_4080_9138_D41A38219876_.wvu.Rows" localSheetId="4" hidden="1">'3A_Level 3'!$6:$6</definedName>
    <definedName name="Z_DF43B8DA_68E8_4080_9138_D41A38219876_.wvu.Rows" localSheetId="5" hidden="1">'3B_Pay Raise'!$2:$3,'3B_Pay Raise'!$6:$6</definedName>
    <definedName name="Z_DF43B8DA_68E8_4080_9138_D41A38219876_.wvu.Rows" localSheetId="6" hidden="1">'4_Level 4'!$6:$6</definedName>
    <definedName name="Z_DF43B8DA_68E8_4080_9138_D41A38219876_.wvu.Rows" localSheetId="7" hidden="1">'5A1_Labs'!$6:$6</definedName>
    <definedName name="Z_DF43B8DA_68E8_4080_9138_D41A38219876_.wvu.Rows" localSheetId="8" hidden="1">'5A2_Legacy Type 2'!$6:$6</definedName>
    <definedName name="Z_DF43B8DA_68E8_4080_9138_D41A38219876_.wvu.Rows" localSheetId="9" hidden="1">'5A2A_New Vision'!$6:$6</definedName>
    <definedName name="Z_DF43B8DA_68E8_4080_9138_D41A38219876_.wvu.Rows" localSheetId="10" hidden="1">'5A2B_Glencoe'!$6:$6</definedName>
    <definedName name="Z_DF43B8DA_68E8_4080_9138_D41A38219876_.wvu.Rows" localSheetId="11" hidden="1">'5A2C_ISL'!$6:$6</definedName>
    <definedName name="Z_DF43B8DA_68E8_4080_9138_D41A38219876_.wvu.Rows" localSheetId="12" hidden="1">'5A2D_Avoyelles'!$6:$6</definedName>
    <definedName name="Z_DF43B8DA_68E8_4080_9138_D41A38219876_.wvu.Rows" localSheetId="13" hidden="1">'5A2E_Delhi'!$6:$6</definedName>
    <definedName name="Z_DF43B8DA_68E8_4080_9138_D41A38219876_.wvu.Rows" localSheetId="14" hidden="1">'5A2F_Belle Chasse'!$6:$6</definedName>
    <definedName name="Z_DF43B8DA_68E8_4080_9138_D41A38219876_.wvu.Rows" localSheetId="15" hidden="1">'5A2H_MAX'!$6:$6</definedName>
    <definedName name="Z_DF43B8DA_68E8_4080_9138_D41A38219876_.wvu.Rows" localSheetId="16" hidden="1">'5A3_OJJ'!$6:$6</definedName>
    <definedName name="Z_DF43B8DA_68E8_4080_9138_D41A38219876_.wvu.Rows" localSheetId="17" hidden="1">'5A4_NOCCA'!$6:$6</definedName>
    <definedName name="Z_DF43B8DA_68E8_4080_9138_D41A38219876_.wvu.Rows" localSheetId="18" hidden="1">'5A5_LSMSA'!$6:$6</definedName>
    <definedName name="Z_DF43B8DA_68E8_4080_9138_D41A38219876_.wvu.Rows" localSheetId="19" hidden="1">'5A6_Thrive'!$6:$6</definedName>
    <definedName name="Z_DF43B8DA_68E8_4080_9138_D41A38219876_.wvu.Rows" localSheetId="20" hidden="1">'5B2_RSD LA'!$6:$6</definedName>
    <definedName name="Z_DF43B8DA_68E8_4080_9138_D41A38219876_.wvu.Rows" localSheetId="21" hidden="1">'5C1_New Type 2'!$6:$6</definedName>
    <definedName name="Z_DF43B8DA_68E8_4080_9138_D41A38219876_.wvu.Rows" localSheetId="22" hidden="1">'5C1A_Madison'!$6:$6</definedName>
    <definedName name="Z_DF43B8DA_68E8_4080_9138_D41A38219876_.wvu.Rows" localSheetId="44" hidden="1">'5C1AD_Greater'!$6:$6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3" hidden="1">'5C1B_DArbonne'!$6:$6</definedName>
    <definedName name="Z_DF43B8DA_68E8_4080_9138_D41A38219876_.wvu.Rows" localSheetId="24" hidden="1">'5C1C_Intl High'!$6:$6</definedName>
    <definedName name="Z_DF43B8DA_68E8_4080_9138_D41A38219876_.wvu.Rows" localSheetId="25" hidden="1">'5C1D_NOMMA'!$6:$6</definedName>
    <definedName name="Z_DF43B8DA_68E8_4080_9138_D41A38219876_.wvu.Rows" localSheetId="26" hidden="1">'5C1E_LFNO'!$6:$6</definedName>
    <definedName name="Z_DF43B8DA_68E8_4080_9138_D41A38219876_.wvu.Rows" localSheetId="27" hidden="1">'5C1F_L.C. Charter'!$6:$6</definedName>
    <definedName name="Z_DF43B8DA_68E8_4080_9138_D41A38219876_.wvu.Rows" localSheetId="28" hidden="1">'5C1G_JS Clark'!$6:$6</definedName>
    <definedName name="Z_DF43B8DA_68E8_4080_9138_D41A38219876_.wvu.Rows" localSheetId="29" hidden="1">'5C1H_Southwest'!$6:$6</definedName>
    <definedName name="Z_DF43B8DA_68E8_4080_9138_D41A38219876_.wvu.Rows" localSheetId="30" hidden="1">'5C1I_LA Key'!$6:$6</definedName>
    <definedName name="Z_DF43B8DA_68E8_4080_9138_D41A38219876_.wvu.Rows" localSheetId="31" hidden="1">'5C1J_JCFA-East'!$6:$6</definedName>
    <definedName name="Z_DF43B8DA_68E8_4080_9138_D41A38219876_.wvu.Rows" localSheetId="32" hidden="1">'5C1M_GEO Mid'!$6:$6</definedName>
    <definedName name="Z_DF43B8DA_68E8_4080_9138_D41A38219876_.wvu.Rows" localSheetId="33" hidden="1">'5C1N_Delta'!$6:$6</definedName>
    <definedName name="Z_DF43B8DA_68E8_4080_9138_D41A38219876_.wvu.Rows" localSheetId="34" hidden="1">'5C1O_Impact'!$6:$6</definedName>
    <definedName name="Z_DF43B8DA_68E8_4080_9138_D41A38219876_.wvu.Rows" localSheetId="35" hidden="1">'5C1Q_Advantage'!$6:$6</definedName>
    <definedName name="Z_DF43B8DA_68E8_4080_9138_D41A38219876_.wvu.Rows" localSheetId="36" hidden="1">'5C1R_Iberville'!$6:$6</definedName>
    <definedName name="Z_DF43B8DA_68E8_4080_9138_D41A38219876_.wvu.Rows" localSheetId="37" hidden="1">'5C1S_LC Col Prep'!$6:$6</definedName>
    <definedName name="Z_DF43B8DA_68E8_4080_9138_D41A38219876_.wvu.Rows" localSheetId="38" hidden="1">'5C1T_Northeast'!$6:$6</definedName>
    <definedName name="Z_DF43B8DA_68E8_4080_9138_D41A38219876_.wvu.Rows" localSheetId="39" hidden="1">'5C1U_Acadiana Ren'!$6:$6</definedName>
    <definedName name="Z_DF43B8DA_68E8_4080_9138_D41A38219876_.wvu.Rows" localSheetId="40" hidden="1">'5C1V_Laf Ren'!$6:$6</definedName>
    <definedName name="Z_DF43B8DA_68E8_4080_9138_D41A38219876_.wvu.Rows" localSheetId="41" hidden="1">'5C1W_Willow'!$6:$6</definedName>
    <definedName name="Z_DF43B8DA_68E8_4080_9138_D41A38219876_.wvu.Rows" localSheetId="42" hidden="1">'5C1Y_GEO'!$6:$6</definedName>
    <definedName name="Z_DF43B8DA_68E8_4080_9138_D41A38219876_.wvu.Rows" localSheetId="43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'8_2.1.19 SIS'!$5:$6</definedName>
    <definedName name="Z_DF43B8DA_68E8_4080_9138_D41A38219876_.wvu.Rows" localSheetId="58" hidden="1">'8A_2.1.19 RSD Op &amp; 5s'!$3:$3</definedName>
    <definedName name="Z_DF43B8DA_68E8_4080_9138_D41A38219876_.wvu.Rows" localSheetId="60" hidden="1">'LEA Pay Raise'!$4:$4</definedName>
    <definedName name="Z_DF43B8DA_68E8_4080_9138_D41A38219876_.wvu.Rows" localSheetId="62" hidden="1">'Pay Raise By Residency'!$6:$6</definedName>
    <definedName name="Z_DF43B8DA_68E8_4080_9138_D41A38219876_.wvu.Rows" localSheetId="61" hidden="1">'Per Pupil_Weighted Funding'!$3:$3,'Per Pupil_Weighted Funding'!$5:$6</definedName>
    <definedName name="Z_DF43B8DA_68E8_4080_9138_D41A38219876_.wvu.Rows" localSheetId="59" hidden="1">'Source Data'!$5:$6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E23" i="11" l="1"/>
  <c r="E27" i="9"/>
  <c r="H3" i="67" l="1"/>
  <c r="E3" i="67"/>
  <c r="AS15" i="29" l="1"/>
  <c r="AS14" i="29"/>
  <c r="AS13" i="29"/>
  <c r="AS12" i="29"/>
  <c r="AS11" i="29"/>
  <c r="AS8" i="29"/>
  <c r="AS7" i="29"/>
  <c r="X15" i="29"/>
  <c r="X14" i="29"/>
  <c r="X13" i="29"/>
  <c r="X12" i="29"/>
  <c r="X11" i="29"/>
  <c r="X8" i="29"/>
  <c r="X7" i="29"/>
  <c r="O83" i="26"/>
  <c r="O83" i="27"/>
  <c r="O83" i="28"/>
  <c r="O79" i="26"/>
  <c r="O79" i="27"/>
  <c r="O79" i="28"/>
  <c r="O77" i="26"/>
  <c r="O77" i="27"/>
  <c r="O77" i="28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3" i="26"/>
  <c r="O12" i="26"/>
  <c r="O11" i="26"/>
  <c r="O10" i="26"/>
  <c r="O9" i="26"/>
  <c r="O8" i="26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3" i="27"/>
  <c r="O12" i="27"/>
  <c r="O11" i="27"/>
  <c r="O10" i="27"/>
  <c r="O9" i="27"/>
  <c r="O8" i="27"/>
  <c r="O75" i="28"/>
  <c r="O74" i="28"/>
  <c r="O73" i="28"/>
  <c r="O72" i="28"/>
  <c r="O71" i="28"/>
  <c r="O70" i="28"/>
  <c r="O69" i="28"/>
  <c r="O68" i="28"/>
  <c r="O67" i="28"/>
  <c r="O66" i="28"/>
  <c r="O65" i="28"/>
  <c r="O64" i="28"/>
  <c r="O63" i="28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3" i="28"/>
  <c r="O12" i="28"/>
  <c r="O11" i="28"/>
  <c r="O10" i="28"/>
  <c r="O9" i="28"/>
  <c r="O8" i="28"/>
  <c r="O7" i="28"/>
  <c r="O7" i="27"/>
  <c r="O7" i="26"/>
  <c r="S86" i="25"/>
  <c r="Q75" i="25"/>
  <c r="Q74" i="25"/>
  <c r="Q73" i="25"/>
  <c r="Q72" i="25"/>
  <c r="Q71" i="25"/>
  <c r="Q70" i="25"/>
  <c r="Q69" i="25"/>
  <c r="Q68" i="25"/>
  <c r="Q67" i="25"/>
  <c r="Q66" i="25"/>
  <c r="Q65" i="25"/>
  <c r="Q64" i="25"/>
  <c r="Q63" i="25"/>
  <c r="Q62" i="25"/>
  <c r="Q61" i="25"/>
  <c r="Q60" i="25"/>
  <c r="Q59" i="25"/>
  <c r="Q58" i="25"/>
  <c r="Q57" i="25"/>
  <c r="Q56" i="25"/>
  <c r="Q55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" i="25"/>
  <c r="Q38" i="25"/>
  <c r="Q37" i="25"/>
  <c r="Q36" i="25"/>
  <c r="Q35" i="25"/>
  <c r="Q34" i="25"/>
  <c r="Q33" i="25"/>
  <c r="Q32" i="25"/>
  <c r="Q31" i="25"/>
  <c r="Q30" i="25"/>
  <c r="Q29" i="25"/>
  <c r="Q28" i="25"/>
  <c r="Q27" i="25"/>
  <c r="Q26" i="25"/>
  <c r="Q25" i="25"/>
  <c r="Q24" i="25"/>
  <c r="Q23" i="25"/>
  <c r="Q22" i="25"/>
  <c r="Q21" i="25"/>
  <c r="Q20" i="25"/>
  <c r="Q19" i="25"/>
  <c r="Q18" i="25"/>
  <c r="Q17" i="25"/>
  <c r="Q16" i="25"/>
  <c r="Q15" i="25"/>
  <c r="Q14" i="25"/>
  <c r="Q13" i="25"/>
  <c r="Q12" i="25"/>
  <c r="Q11" i="25"/>
  <c r="Q10" i="25"/>
  <c r="Q9" i="25"/>
  <c r="Q8" i="25"/>
  <c r="Q7" i="25"/>
  <c r="H83" i="25"/>
  <c r="H79" i="25"/>
  <c r="H77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S8" i="16" l="1"/>
  <c r="S7" i="16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X57" i="9"/>
  <c r="AX56" i="9"/>
  <c r="AX55" i="9"/>
  <c r="AX54" i="9"/>
  <c r="AX53" i="9"/>
  <c r="AX52" i="9"/>
  <c r="AX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4" i="9"/>
  <c r="AX13" i="9"/>
  <c r="AX12" i="9"/>
  <c r="AX11" i="9"/>
  <c r="AX10" i="9"/>
  <c r="AX9" i="9"/>
  <c r="AX8" i="9"/>
  <c r="AX7" i="9"/>
  <c r="M136" i="15" l="1"/>
  <c r="M135" i="15"/>
  <c r="M134" i="15"/>
  <c r="M133" i="15"/>
  <c r="M132" i="15"/>
  <c r="M131" i="15"/>
  <c r="M130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2" i="15"/>
  <c r="M91" i="15"/>
  <c r="M90" i="15"/>
  <c r="M89" i="15"/>
  <c r="M88" i="15"/>
  <c r="M87" i="15"/>
  <c r="M86" i="15"/>
  <c r="M83" i="15"/>
  <c r="M82" i="15"/>
  <c r="M81" i="15"/>
  <c r="M80" i="15"/>
  <c r="M79" i="15"/>
  <c r="M78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N76" i="71" l="1"/>
  <c r="M76" i="71"/>
  <c r="N75" i="71"/>
  <c r="M75" i="71"/>
  <c r="N74" i="71"/>
  <c r="M74" i="71"/>
  <c r="N73" i="71"/>
  <c r="M73" i="71"/>
  <c r="N72" i="71"/>
  <c r="M72" i="71"/>
  <c r="N71" i="71"/>
  <c r="M71" i="71"/>
  <c r="N70" i="71"/>
  <c r="M70" i="71"/>
  <c r="N69" i="71"/>
  <c r="M69" i="71"/>
  <c r="N68" i="71"/>
  <c r="M68" i="71"/>
  <c r="N67" i="71"/>
  <c r="M67" i="71"/>
  <c r="N66" i="71"/>
  <c r="M66" i="71"/>
  <c r="N65" i="71"/>
  <c r="M65" i="71"/>
  <c r="N64" i="71"/>
  <c r="M64" i="71"/>
  <c r="N63" i="71"/>
  <c r="M63" i="71"/>
  <c r="N62" i="71"/>
  <c r="M62" i="71"/>
  <c r="N61" i="71"/>
  <c r="M61" i="71"/>
  <c r="N60" i="71"/>
  <c r="M60" i="71"/>
  <c r="N59" i="71"/>
  <c r="M59" i="71"/>
  <c r="N58" i="71"/>
  <c r="M58" i="71"/>
  <c r="N57" i="71"/>
  <c r="M57" i="71"/>
  <c r="N56" i="71"/>
  <c r="M56" i="71"/>
  <c r="N55" i="71"/>
  <c r="M55" i="71"/>
  <c r="N54" i="71"/>
  <c r="M54" i="71"/>
  <c r="N53" i="71"/>
  <c r="M53" i="71"/>
  <c r="N52" i="71"/>
  <c r="M52" i="71"/>
  <c r="N51" i="71"/>
  <c r="M51" i="71"/>
  <c r="N50" i="71"/>
  <c r="M50" i="71"/>
  <c r="N49" i="71"/>
  <c r="M49" i="71"/>
  <c r="N48" i="71"/>
  <c r="M48" i="71"/>
  <c r="N47" i="71"/>
  <c r="M47" i="71"/>
  <c r="N46" i="71"/>
  <c r="M46" i="71"/>
  <c r="N45" i="71"/>
  <c r="M45" i="71"/>
  <c r="N44" i="71"/>
  <c r="M44" i="71"/>
  <c r="N43" i="71"/>
  <c r="M43" i="71"/>
  <c r="N42" i="71"/>
  <c r="M42" i="71"/>
  <c r="N41" i="71"/>
  <c r="M41" i="71"/>
  <c r="N40" i="71"/>
  <c r="M40" i="71"/>
  <c r="N39" i="71"/>
  <c r="M39" i="71"/>
  <c r="N38" i="71"/>
  <c r="M38" i="71"/>
  <c r="N37" i="71"/>
  <c r="M37" i="71"/>
  <c r="N36" i="71"/>
  <c r="M36" i="71"/>
  <c r="N35" i="71"/>
  <c r="M35" i="71"/>
  <c r="N34" i="71"/>
  <c r="M34" i="71"/>
  <c r="N33" i="71"/>
  <c r="M33" i="71"/>
  <c r="N32" i="71"/>
  <c r="M32" i="71"/>
  <c r="N31" i="71"/>
  <c r="M31" i="71"/>
  <c r="N30" i="71"/>
  <c r="M30" i="71"/>
  <c r="N29" i="71"/>
  <c r="M29" i="71"/>
  <c r="N28" i="71"/>
  <c r="M28" i="71"/>
  <c r="N27" i="71"/>
  <c r="M27" i="71"/>
  <c r="N26" i="71"/>
  <c r="M26" i="71"/>
  <c r="N25" i="71"/>
  <c r="M25" i="71"/>
  <c r="N24" i="71"/>
  <c r="M24" i="71"/>
  <c r="N23" i="71"/>
  <c r="M23" i="71"/>
  <c r="N22" i="71"/>
  <c r="M22" i="71"/>
  <c r="N21" i="71"/>
  <c r="M21" i="71"/>
  <c r="N20" i="71"/>
  <c r="M20" i="71"/>
  <c r="N19" i="71"/>
  <c r="M19" i="71"/>
  <c r="N18" i="71"/>
  <c r="M18" i="71"/>
  <c r="N17" i="71"/>
  <c r="M17" i="71"/>
  <c r="N16" i="71"/>
  <c r="M16" i="71"/>
  <c r="N15" i="71"/>
  <c r="M15" i="71"/>
  <c r="N14" i="71"/>
  <c r="M14" i="71"/>
  <c r="N13" i="71"/>
  <c r="M13" i="71"/>
  <c r="N12" i="71"/>
  <c r="M12" i="71"/>
  <c r="N11" i="71"/>
  <c r="M11" i="71"/>
  <c r="N10" i="71"/>
  <c r="M10" i="71"/>
  <c r="N9" i="71"/>
  <c r="M9" i="71"/>
  <c r="N8" i="71"/>
  <c r="M8" i="71"/>
  <c r="N7" i="71"/>
  <c r="M7" i="71"/>
  <c r="H138" i="14"/>
  <c r="H137" i="14"/>
  <c r="H136" i="14"/>
  <c r="H135" i="14"/>
  <c r="H134" i="14"/>
  <c r="H133" i="14"/>
  <c r="H132" i="14"/>
  <c r="H129" i="14"/>
  <c r="H128" i="14"/>
  <c r="H127" i="14"/>
  <c r="H126" i="14"/>
  <c r="H125" i="14"/>
  <c r="H124" i="14"/>
  <c r="H119" i="14"/>
  <c r="H118" i="14"/>
  <c r="H117" i="14"/>
  <c r="H116" i="14"/>
  <c r="H115" i="14"/>
  <c r="H114" i="14"/>
  <c r="H113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D138" i="14"/>
  <c r="D137" i="14"/>
  <c r="D136" i="14"/>
  <c r="D135" i="14"/>
  <c r="D134" i="14"/>
  <c r="D133" i="14"/>
  <c r="D132" i="14"/>
  <c r="D129" i="14"/>
  <c r="D128" i="14"/>
  <c r="D127" i="14"/>
  <c r="D126" i="14"/>
  <c r="D125" i="14"/>
  <c r="D124" i="14"/>
  <c r="D119" i="14"/>
  <c r="D118" i="14"/>
  <c r="D117" i="14"/>
  <c r="D116" i="14"/>
  <c r="D115" i="14"/>
  <c r="D114" i="14"/>
  <c r="D113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H7" i="14"/>
  <c r="D7" i="14"/>
  <c r="T136" i="15" l="1"/>
  <c r="T135" i="15"/>
  <c r="T134" i="15"/>
  <c r="T133" i="15"/>
  <c r="T132" i="15"/>
  <c r="T131" i="15"/>
  <c r="T130" i="15"/>
  <c r="T127" i="15"/>
  <c r="T126" i="15"/>
  <c r="T125" i="15"/>
  <c r="T124" i="15"/>
  <c r="T123" i="15"/>
  <c r="T122" i="15"/>
  <c r="T121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2" i="15"/>
  <c r="T91" i="15"/>
  <c r="T90" i="15"/>
  <c r="T89" i="15"/>
  <c r="T88" i="15"/>
  <c r="T87" i="15"/>
  <c r="T86" i="15"/>
  <c r="T83" i="15"/>
  <c r="T82" i="15"/>
  <c r="T81" i="15"/>
  <c r="T80" i="15"/>
  <c r="T79" i="15"/>
  <c r="T78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T7" i="15"/>
  <c r="K136" i="15" l="1"/>
  <c r="K135" i="15"/>
  <c r="K134" i="15"/>
  <c r="K133" i="15"/>
  <c r="K132" i="15"/>
  <c r="K131" i="15"/>
  <c r="K130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2" i="15"/>
  <c r="K91" i="15"/>
  <c r="K90" i="15"/>
  <c r="K89" i="15"/>
  <c r="K88" i="15"/>
  <c r="K87" i="15"/>
  <c r="K86" i="15"/>
  <c r="K83" i="15"/>
  <c r="K82" i="15"/>
  <c r="K81" i="15"/>
  <c r="K80" i="15"/>
  <c r="K79" i="15"/>
  <c r="K78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C75" i="25" l="1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AM5" i="76" l="1"/>
  <c r="AN5" i="76" s="1"/>
  <c r="AS5" i="76" s="1"/>
  <c r="F136" i="15" l="1"/>
  <c r="F135" i="15"/>
  <c r="F134" i="15"/>
  <c r="F133" i="15"/>
  <c r="F132" i="15"/>
  <c r="F131" i="15"/>
  <c r="F130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2" i="15"/>
  <c r="F91" i="15"/>
  <c r="F90" i="15"/>
  <c r="F89" i="15"/>
  <c r="F88" i="15"/>
  <c r="F87" i="15"/>
  <c r="F86" i="15"/>
  <c r="F82" i="15"/>
  <c r="F81" i="15"/>
  <c r="F80" i="15"/>
  <c r="F79" i="15"/>
  <c r="F78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I107" i="14" l="1"/>
  <c r="L107" i="14" l="1"/>
  <c r="J107" i="14"/>
  <c r="K107" i="14" s="1"/>
  <c r="E107" i="14"/>
  <c r="F107" i="14" l="1"/>
  <c r="N107" i="14" s="1"/>
  <c r="M107" i="14"/>
  <c r="G107" i="14" l="1"/>
  <c r="O107" i="14" s="1"/>
  <c r="AM4" i="76" s="1"/>
  <c r="AM74" i="76" l="1"/>
  <c r="AM58" i="76"/>
  <c r="AM42" i="76"/>
  <c r="AM69" i="76"/>
  <c r="AM53" i="76"/>
  <c r="AM44" i="76"/>
  <c r="AM25" i="76"/>
  <c r="AM9" i="76"/>
  <c r="AM51" i="76"/>
  <c r="AM32" i="76"/>
  <c r="AM16" i="76"/>
  <c r="AM64" i="76"/>
  <c r="AM39" i="76"/>
  <c r="AM30" i="76"/>
  <c r="AM27" i="76"/>
  <c r="AM26" i="76"/>
  <c r="AM55" i="76"/>
  <c r="AM40" i="76"/>
  <c r="AM70" i="76"/>
  <c r="AM38" i="76"/>
  <c r="AM65" i="76"/>
  <c r="AM41" i="76"/>
  <c r="AM75" i="76"/>
  <c r="AM48" i="76"/>
  <c r="AM12" i="76"/>
  <c r="AM56" i="76"/>
  <c r="AM22" i="76"/>
  <c r="AM18" i="76"/>
  <c r="AM62" i="76"/>
  <c r="AM47" i="76"/>
  <c r="AM13" i="76"/>
  <c r="AM35" i="76"/>
  <c r="AM72" i="76"/>
  <c r="AM71" i="76"/>
  <c r="AM15" i="76"/>
  <c r="AM54" i="76"/>
  <c r="AM68" i="76"/>
  <c r="AM21" i="76"/>
  <c r="AM28" i="76"/>
  <c r="AM36" i="76"/>
  <c r="AM19" i="76"/>
  <c r="AM7" i="76"/>
  <c r="AM57" i="76"/>
  <c r="AM59" i="76"/>
  <c r="AM37" i="76"/>
  <c r="AM11" i="76"/>
  <c r="AM66" i="76"/>
  <c r="AM50" i="76"/>
  <c r="AM34" i="76"/>
  <c r="AM61" i="76"/>
  <c r="AM60" i="76"/>
  <c r="AM31" i="76"/>
  <c r="AM17" i="76"/>
  <c r="AM67" i="76"/>
  <c r="AM45" i="76"/>
  <c r="AM24" i="76"/>
  <c r="AM8" i="76"/>
  <c r="AM52" i="76"/>
  <c r="AM33" i="76"/>
  <c r="AM14" i="76"/>
  <c r="AM63" i="76"/>
  <c r="AM10" i="76"/>
  <c r="AM23" i="76"/>
  <c r="AM46" i="76"/>
  <c r="AM73" i="76"/>
  <c r="AM29" i="76"/>
  <c r="AM20" i="76"/>
  <c r="AM49" i="76"/>
  <c r="AM43" i="76"/>
  <c r="AN9" i="29" l="1"/>
  <c r="P9" i="29"/>
  <c r="AN7" i="9" l="1"/>
  <c r="AN8" i="9"/>
  <c r="AN9" i="9"/>
  <c r="AP9" i="9" s="1"/>
  <c r="AN10" i="9"/>
  <c r="AN11" i="9"/>
  <c r="AN12" i="9"/>
  <c r="AN13" i="9"/>
  <c r="AP13" i="9" s="1"/>
  <c r="AN14" i="9"/>
  <c r="AN16" i="9"/>
  <c r="AN17" i="9"/>
  <c r="AN18" i="9"/>
  <c r="AO18" i="9" s="1"/>
  <c r="AN19" i="9"/>
  <c r="AP19" i="9" s="1"/>
  <c r="AN20" i="9"/>
  <c r="AN21" i="9"/>
  <c r="AN22" i="9"/>
  <c r="AO22" i="9" s="1"/>
  <c r="AN24" i="9"/>
  <c r="AO24" i="9" s="1"/>
  <c r="AN25" i="9"/>
  <c r="AN26" i="9"/>
  <c r="AN27" i="9"/>
  <c r="AN28" i="9"/>
  <c r="AO28" i="9" s="1"/>
  <c r="AN29" i="9"/>
  <c r="AN30" i="9"/>
  <c r="AN31" i="9"/>
  <c r="AO31" i="9" s="1"/>
  <c r="AN32" i="9"/>
  <c r="AO32" i="9" s="1"/>
  <c r="AN33" i="9"/>
  <c r="AN34" i="9"/>
  <c r="AN35" i="9"/>
  <c r="AP35" i="9" s="1"/>
  <c r="AN36" i="9"/>
  <c r="AN37" i="9"/>
  <c r="AN38" i="9"/>
  <c r="AN39" i="9"/>
  <c r="AP39" i="9" s="1"/>
  <c r="AN40" i="9"/>
  <c r="AP40" i="9" s="1"/>
  <c r="AN41" i="9"/>
  <c r="AN42" i="9"/>
  <c r="AN43" i="9"/>
  <c r="AO43" i="9" s="1"/>
  <c r="AN44" i="9"/>
  <c r="AO44" i="9" s="1"/>
  <c r="AN45" i="9"/>
  <c r="AN46" i="9"/>
  <c r="AN47" i="9"/>
  <c r="AO47" i="9" s="1"/>
  <c r="AN48" i="9"/>
  <c r="AN49" i="9"/>
  <c r="AN50" i="9"/>
  <c r="AN51" i="9"/>
  <c r="AP51" i="9" s="1"/>
  <c r="AN52" i="9"/>
  <c r="AO52" i="9" s="1"/>
  <c r="AN53" i="9"/>
  <c r="AN54" i="9"/>
  <c r="AN55" i="9"/>
  <c r="AP55" i="9" s="1"/>
  <c r="AN56" i="9"/>
  <c r="AP56" i="9" s="1"/>
  <c r="AN57" i="9"/>
  <c r="AN58" i="9"/>
  <c r="AN59" i="9"/>
  <c r="AO59" i="9" s="1"/>
  <c r="AN60" i="9"/>
  <c r="AO60" i="9" s="1"/>
  <c r="AN61" i="9"/>
  <c r="AN62" i="9"/>
  <c r="AN63" i="9"/>
  <c r="AN64" i="9"/>
  <c r="AO64" i="9" s="1"/>
  <c r="AN65" i="9"/>
  <c r="AN66" i="9"/>
  <c r="AN67" i="9"/>
  <c r="AP67" i="9" s="1"/>
  <c r="AN68" i="9"/>
  <c r="AP68" i="9" s="1"/>
  <c r="AN69" i="9"/>
  <c r="AN70" i="9"/>
  <c r="AN71" i="9"/>
  <c r="AO71" i="9" s="1"/>
  <c r="AN72" i="9"/>
  <c r="AN73" i="9"/>
  <c r="AN74" i="9"/>
  <c r="AN75" i="9"/>
  <c r="AO75" i="9" s="1"/>
  <c r="N7" i="16"/>
  <c r="N8" i="1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S7" i="29"/>
  <c r="S8" i="29"/>
  <c r="S11" i="29"/>
  <c r="S12" i="29"/>
  <c r="S13" i="29"/>
  <c r="S14" i="29"/>
  <c r="AQ14" i="29"/>
  <c r="AQ13" i="29"/>
  <c r="AQ12" i="29"/>
  <c r="AQ11" i="29"/>
  <c r="AQ8" i="29"/>
  <c r="AQ7" i="29"/>
  <c r="BU5" i="11"/>
  <c r="AI75" i="68"/>
  <c r="AI74" i="68"/>
  <c r="AK74" i="68" s="1"/>
  <c r="AO74" i="68" s="1"/>
  <c r="AI73" i="68"/>
  <c r="AI72" i="68"/>
  <c r="AI71" i="68"/>
  <c r="F71" i="67" s="1"/>
  <c r="AI70" i="68"/>
  <c r="F70" i="67" s="1"/>
  <c r="AI69" i="68"/>
  <c r="AI68" i="68"/>
  <c r="AI67" i="68"/>
  <c r="AI66" i="68"/>
  <c r="AI65" i="68"/>
  <c r="AI64" i="68"/>
  <c r="AI63" i="68"/>
  <c r="AK63" i="68" s="1"/>
  <c r="AL63" i="68" s="1"/>
  <c r="AI62" i="68"/>
  <c r="F62" i="67" s="1"/>
  <c r="AI61" i="68"/>
  <c r="AI60" i="68"/>
  <c r="AI59" i="68"/>
  <c r="AI58" i="68"/>
  <c r="AI57" i="68"/>
  <c r="AI56" i="68"/>
  <c r="AI55" i="68"/>
  <c r="F55" i="67" s="1"/>
  <c r="AI54" i="68"/>
  <c r="AI53" i="68"/>
  <c r="AI52" i="68"/>
  <c r="AI51" i="68"/>
  <c r="AK51" i="68" s="1"/>
  <c r="AN51" i="68" s="1"/>
  <c r="AI50" i="68"/>
  <c r="AK50" i="68" s="1"/>
  <c r="AL50" i="68" s="1"/>
  <c r="AI49" i="68"/>
  <c r="AI48" i="68"/>
  <c r="AI47" i="68"/>
  <c r="AK47" i="68" s="1"/>
  <c r="AI46" i="68"/>
  <c r="AK46" i="68" s="1"/>
  <c r="AI45" i="68"/>
  <c r="AI44" i="68"/>
  <c r="AI43" i="68"/>
  <c r="AI42" i="68"/>
  <c r="F42" i="67" s="1"/>
  <c r="AI41" i="68"/>
  <c r="AI40" i="68"/>
  <c r="AI39" i="68"/>
  <c r="AK39" i="68" s="1"/>
  <c r="AI38" i="68"/>
  <c r="AK38" i="68" s="1"/>
  <c r="AM38" i="68" s="1"/>
  <c r="G38" i="67" s="1"/>
  <c r="AI37" i="68"/>
  <c r="AI36" i="68"/>
  <c r="AI35" i="68"/>
  <c r="AI34" i="68"/>
  <c r="AI33" i="68"/>
  <c r="AI32" i="68"/>
  <c r="AI31" i="68"/>
  <c r="AK31" i="68" s="1"/>
  <c r="AI30" i="68"/>
  <c r="AI29" i="68"/>
  <c r="AI28" i="68"/>
  <c r="AI27" i="68"/>
  <c r="AI26" i="68"/>
  <c r="AI25" i="68"/>
  <c r="AI24" i="68"/>
  <c r="AI23" i="68"/>
  <c r="F23" i="67" s="1"/>
  <c r="AI22" i="68"/>
  <c r="AI21" i="68"/>
  <c r="AI20" i="68"/>
  <c r="AI19" i="68"/>
  <c r="AI18" i="68"/>
  <c r="AI17" i="68"/>
  <c r="AI16" i="68"/>
  <c r="AI15" i="68"/>
  <c r="AK15" i="68" s="1"/>
  <c r="AL15" i="68" s="1"/>
  <c r="AI14" i="68"/>
  <c r="F14" i="67" s="1"/>
  <c r="AI13" i="68"/>
  <c r="AI12" i="68"/>
  <c r="AI11" i="68"/>
  <c r="AI10" i="68"/>
  <c r="AI9" i="68"/>
  <c r="AI8" i="68"/>
  <c r="AI7" i="68"/>
  <c r="AK7" i="68" s="1"/>
  <c r="D131" i="15"/>
  <c r="D135" i="15"/>
  <c r="E135" i="15" s="1"/>
  <c r="D134" i="15"/>
  <c r="D133" i="15"/>
  <c r="E133" i="15" s="1"/>
  <c r="D132" i="15"/>
  <c r="E132" i="15" s="1"/>
  <c r="D130" i="15"/>
  <c r="E130" i="15" s="1"/>
  <c r="D127" i="15"/>
  <c r="E127" i="15" s="1"/>
  <c r="D126" i="15"/>
  <c r="E126" i="15" s="1"/>
  <c r="D123" i="15"/>
  <c r="E123" i="15" s="1"/>
  <c r="D122" i="15"/>
  <c r="E122" i="15" s="1"/>
  <c r="D121" i="15"/>
  <c r="E121" i="15" s="1"/>
  <c r="D120" i="15"/>
  <c r="E120" i="15" s="1"/>
  <c r="D119" i="15"/>
  <c r="E119" i="15" s="1"/>
  <c r="D118" i="15"/>
  <c r="E118" i="15" s="1"/>
  <c r="D117" i="15"/>
  <c r="E117" i="15" s="1"/>
  <c r="D116" i="15"/>
  <c r="D115" i="15"/>
  <c r="E115" i="15" s="1"/>
  <c r="D114" i="15"/>
  <c r="E114" i="15" s="1"/>
  <c r="D113" i="15"/>
  <c r="E113" i="15" s="1"/>
  <c r="D112" i="15"/>
  <c r="D111" i="15"/>
  <c r="E111" i="15" s="1"/>
  <c r="D110" i="15"/>
  <c r="E110" i="15" s="1"/>
  <c r="D109" i="15"/>
  <c r="E109" i="15" s="1"/>
  <c r="D108" i="15"/>
  <c r="E108" i="15" s="1"/>
  <c r="D107" i="15"/>
  <c r="E107" i="15" s="1"/>
  <c r="D106" i="15"/>
  <c r="E106" i="15" s="1"/>
  <c r="D105" i="15"/>
  <c r="E105" i="15" s="1"/>
  <c r="D104" i="15"/>
  <c r="E104" i="15" s="1"/>
  <c r="D103" i="15"/>
  <c r="E103" i="15" s="1"/>
  <c r="D102" i="15"/>
  <c r="D101" i="15"/>
  <c r="E101" i="15" s="1"/>
  <c r="D100" i="15"/>
  <c r="D99" i="15"/>
  <c r="E99" i="15" s="1"/>
  <c r="D98" i="15"/>
  <c r="E98" i="15" s="1"/>
  <c r="D97" i="15"/>
  <c r="D96" i="15"/>
  <c r="E96" i="15" s="1"/>
  <c r="D95" i="15"/>
  <c r="E95" i="15" s="1"/>
  <c r="D92" i="15"/>
  <c r="D91" i="15"/>
  <c r="E91" i="15" s="1"/>
  <c r="D90" i="15"/>
  <c r="E90" i="15" s="1"/>
  <c r="D89" i="15"/>
  <c r="E89" i="15" s="1"/>
  <c r="D88" i="15"/>
  <c r="D87" i="15"/>
  <c r="E87" i="15" s="1"/>
  <c r="D86" i="15"/>
  <c r="D82" i="15"/>
  <c r="E82" i="15" s="1"/>
  <c r="D81" i="15"/>
  <c r="E81" i="15" s="1"/>
  <c r="D80" i="15"/>
  <c r="D79" i="15"/>
  <c r="E79" i="15" s="1"/>
  <c r="P8" i="16" s="1"/>
  <c r="D78" i="15"/>
  <c r="E78" i="15" s="1"/>
  <c r="P7" i="16" s="1"/>
  <c r="D75" i="15"/>
  <c r="E75" i="15" s="1"/>
  <c r="AU75" i="9" s="1"/>
  <c r="D74" i="15"/>
  <c r="E74" i="15" s="1"/>
  <c r="AU74" i="9" s="1"/>
  <c r="D73" i="15"/>
  <c r="E73" i="15" s="1"/>
  <c r="AU73" i="9" s="1"/>
  <c r="D72" i="15"/>
  <c r="E72" i="15" s="1"/>
  <c r="D71" i="15"/>
  <c r="E71" i="15" s="1"/>
  <c r="AU71" i="9" s="1"/>
  <c r="D70" i="15"/>
  <c r="E70" i="15" s="1"/>
  <c r="AU70" i="9" s="1"/>
  <c r="D69" i="15"/>
  <c r="E69" i="15" s="1"/>
  <c r="AU69" i="9" s="1"/>
  <c r="D68" i="15"/>
  <c r="E68" i="15" s="1"/>
  <c r="AU68" i="9" s="1"/>
  <c r="D67" i="15"/>
  <c r="E67" i="15" s="1"/>
  <c r="D66" i="15"/>
  <c r="E66" i="15" s="1"/>
  <c r="AU66" i="9" s="1"/>
  <c r="D65" i="15"/>
  <c r="E65" i="15" s="1"/>
  <c r="D64" i="15"/>
  <c r="E64" i="15" s="1"/>
  <c r="AU64" i="9" s="1"/>
  <c r="D63" i="15"/>
  <c r="D62" i="15"/>
  <c r="E62" i="15" s="1"/>
  <c r="AU62" i="9" s="1"/>
  <c r="D61" i="15"/>
  <c r="E61" i="15" s="1"/>
  <c r="AU61" i="9" s="1"/>
  <c r="D60" i="15"/>
  <c r="E60" i="15" s="1"/>
  <c r="AU60" i="9" s="1"/>
  <c r="D59" i="15"/>
  <c r="D58" i="15"/>
  <c r="E58" i="15" s="1"/>
  <c r="AU58" i="9" s="1"/>
  <c r="D57" i="15"/>
  <c r="E57" i="15" s="1"/>
  <c r="AU57" i="9" s="1"/>
  <c r="D56" i="15"/>
  <c r="E56" i="15" s="1"/>
  <c r="AU56" i="9" s="1"/>
  <c r="D55" i="15"/>
  <c r="E55" i="15" s="1"/>
  <c r="AU55" i="9" s="1"/>
  <c r="D54" i="15"/>
  <c r="E54" i="15" s="1"/>
  <c r="AU54" i="9" s="1"/>
  <c r="D53" i="15"/>
  <c r="E53" i="15" s="1"/>
  <c r="AU53" i="9" s="1"/>
  <c r="D52" i="15"/>
  <c r="E52" i="15" s="1"/>
  <c r="AU52" i="9" s="1"/>
  <c r="D51" i="15"/>
  <c r="E51" i="15" s="1"/>
  <c r="AU51" i="9" s="1"/>
  <c r="D50" i="15"/>
  <c r="E50" i="15" s="1"/>
  <c r="AU50" i="9" s="1"/>
  <c r="D49" i="15"/>
  <c r="E49" i="15" s="1"/>
  <c r="AU49" i="9" s="1"/>
  <c r="D48" i="15"/>
  <c r="E48" i="15" s="1"/>
  <c r="AU48" i="9" s="1"/>
  <c r="D47" i="15"/>
  <c r="D46" i="15"/>
  <c r="E46" i="15" s="1"/>
  <c r="AU46" i="9" s="1"/>
  <c r="D45" i="15"/>
  <c r="E45" i="15" s="1"/>
  <c r="AU45" i="9" s="1"/>
  <c r="D44" i="15"/>
  <c r="E44" i="15" s="1"/>
  <c r="AU44" i="9" s="1"/>
  <c r="D43" i="15"/>
  <c r="D41" i="15"/>
  <c r="E41" i="15" s="1"/>
  <c r="AU41" i="9" s="1"/>
  <c r="D40" i="15"/>
  <c r="E40" i="15" s="1"/>
  <c r="AU40" i="9" s="1"/>
  <c r="D39" i="15"/>
  <c r="E39" i="15" s="1"/>
  <c r="AU39" i="9" s="1"/>
  <c r="D38" i="15"/>
  <c r="E38" i="15" s="1"/>
  <c r="AU38" i="9" s="1"/>
  <c r="D37" i="15"/>
  <c r="E37" i="15" s="1"/>
  <c r="AU37" i="9" s="1"/>
  <c r="D36" i="15"/>
  <c r="E36" i="15" s="1"/>
  <c r="AU36" i="9" s="1"/>
  <c r="D35" i="15"/>
  <c r="E35" i="15" s="1"/>
  <c r="AU35" i="9" s="1"/>
  <c r="D34" i="15"/>
  <c r="E34" i="15" s="1"/>
  <c r="AU34" i="9" s="1"/>
  <c r="D33" i="15"/>
  <c r="E33" i="15" s="1"/>
  <c r="AU33" i="9" s="1"/>
  <c r="D32" i="15"/>
  <c r="E32" i="15" s="1"/>
  <c r="AU32" i="9" s="1"/>
  <c r="D31" i="15"/>
  <c r="E31" i="15" s="1"/>
  <c r="AU31" i="9" s="1"/>
  <c r="D30" i="15"/>
  <c r="D29" i="15"/>
  <c r="E29" i="15" s="1"/>
  <c r="AU29" i="9" s="1"/>
  <c r="D28" i="15"/>
  <c r="E28" i="15" s="1"/>
  <c r="AU28" i="9" s="1"/>
  <c r="D27" i="15"/>
  <c r="E27" i="15" s="1"/>
  <c r="AU27" i="9" s="1"/>
  <c r="D26" i="15"/>
  <c r="D25" i="15"/>
  <c r="E25" i="15" s="1"/>
  <c r="AU25" i="9" s="1"/>
  <c r="D24" i="15"/>
  <c r="E24" i="15" s="1"/>
  <c r="AU24" i="9" s="1"/>
  <c r="D23" i="15"/>
  <c r="E23" i="15" s="1"/>
  <c r="AU23" i="9" s="1"/>
  <c r="D22" i="15"/>
  <c r="E22" i="15" s="1"/>
  <c r="AU22" i="9" s="1"/>
  <c r="D21" i="15"/>
  <c r="E21" i="15" s="1"/>
  <c r="AU21" i="9" s="1"/>
  <c r="D20" i="15"/>
  <c r="E20" i="15" s="1"/>
  <c r="AU20" i="9" s="1"/>
  <c r="D19" i="15"/>
  <c r="E19" i="15" s="1"/>
  <c r="AU19" i="9" s="1"/>
  <c r="D18" i="15"/>
  <c r="E18" i="15" s="1"/>
  <c r="AU18" i="9" s="1"/>
  <c r="D17" i="15"/>
  <c r="E17" i="15" s="1"/>
  <c r="D16" i="15"/>
  <c r="E16" i="15" s="1"/>
  <c r="AU16" i="9" s="1"/>
  <c r="D15" i="15"/>
  <c r="E15" i="15" s="1"/>
  <c r="AU15" i="9" s="1"/>
  <c r="D14" i="15"/>
  <c r="D13" i="15"/>
  <c r="E13" i="15" s="1"/>
  <c r="AU13" i="9" s="1"/>
  <c r="D12" i="15"/>
  <c r="E12" i="15" s="1"/>
  <c r="AU12" i="9" s="1"/>
  <c r="D11" i="15"/>
  <c r="E11" i="15" s="1"/>
  <c r="AU11" i="9" s="1"/>
  <c r="D10" i="15"/>
  <c r="E10" i="15" s="1"/>
  <c r="AU10" i="9" s="1"/>
  <c r="D9" i="15"/>
  <c r="E9" i="15" s="1"/>
  <c r="AU9" i="9" s="1"/>
  <c r="D8" i="15"/>
  <c r="E8" i="15" s="1"/>
  <c r="AU8" i="9" s="1"/>
  <c r="D7" i="15"/>
  <c r="E7" i="15" s="1"/>
  <c r="AU7" i="9" s="1"/>
  <c r="D8" i="29"/>
  <c r="L108" i="14"/>
  <c r="I108" i="14"/>
  <c r="J108" i="14" s="1"/>
  <c r="K108" i="14" s="1"/>
  <c r="E108" i="14"/>
  <c r="F108" i="14" s="1"/>
  <c r="AV70" i="69"/>
  <c r="AV68" i="69"/>
  <c r="AV66" i="69"/>
  <c r="AV64" i="69"/>
  <c r="C64" i="12"/>
  <c r="AV50" i="69"/>
  <c r="AV44" i="69"/>
  <c r="N131" i="15"/>
  <c r="O131" i="15" s="1"/>
  <c r="Q131" i="15" s="1"/>
  <c r="N135" i="15"/>
  <c r="O135" i="15" s="1"/>
  <c r="Q135" i="15" s="1"/>
  <c r="N134" i="15"/>
  <c r="N133" i="15"/>
  <c r="O133" i="15" s="1"/>
  <c r="Q133" i="15" s="1"/>
  <c r="N132" i="15"/>
  <c r="N130" i="15"/>
  <c r="O130" i="15" s="1"/>
  <c r="Q130" i="15" s="1"/>
  <c r="V7" i="29" s="1"/>
  <c r="N127" i="15"/>
  <c r="O127" i="15" s="1"/>
  <c r="Q127" i="15" s="1"/>
  <c r="N126" i="15"/>
  <c r="O126" i="15" s="1"/>
  <c r="Q126" i="15" s="1"/>
  <c r="N123" i="15"/>
  <c r="O123" i="15" s="1"/>
  <c r="Q123" i="15" s="1"/>
  <c r="N122" i="15"/>
  <c r="O122" i="15" s="1"/>
  <c r="Q122" i="15" s="1"/>
  <c r="N121" i="15"/>
  <c r="O121" i="15" s="1"/>
  <c r="Q121" i="15" s="1"/>
  <c r="N120" i="15"/>
  <c r="O120" i="15" s="1"/>
  <c r="Q120" i="15" s="1"/>
  <c r="N119" i="15"/>
  <c r="O119" i="15" s="1"/>
  <c r="Q119" i="15" s="1"/>
  <c r="N118" i="15"/>
  <c r="O118" i="15" s="1"/>
  <c r="Q118" i="15" s="1"/>
  <c r="N117" i="15"/>
  <c r="O117" i="15" s="1"/>
  <c r="Q117" i="15" s="1"/>
  <c r="N116" i="15"/>
  <c r="O116" i="15" s="1"/>
  <c r="Q116" i="15" s="1"/>
  <c r="N115" i="15"/>
  <c r="O115" i="15" s="1"/>
  <c r="Q115" i="15" s="1"/>
  <c r="N114" i="15"/>
  <c r="O114" i="15" s="1"/>
  <c r="Q114" i="15" s="1"/>
  <c r="N113" i="15"/>
  <c r="O113" i="15" s="1"/>
  <c r="Q113" i="15" s="1"/>
  <c r="N112" i="15"/>
  <c r="O112" i="15" s="1"/>
  <c r="Q112" i="15" s="1"/>
  <c r="N111" i="15"/>
  <c r="O111" i="15" s="1"/>
  <c r="Q111" i="15" s="1"/>
  <c r="N110" i="15"/>
  <c r="O110" i="15" s="1"/>
  <c r="Q110" i="15" s="1"/>
  <c r="N109" i="15"/>
  <c r="O109" i="15" s="1"/>
  <c r="Q109" i="15" s="1"/>
  <c r="N108" i="15"/>
  <c r="O108" i="15" s="1"/>
  <c r="Q108" i="15" s="1"/>
  <c r="N107" i="15"/>
  <c r="O107" i="15" s="1"/>
  <c r="Q107" i="15" s="1"/>
  <c r="N106" i="15"/>
  <c r="O106" i="15" s="1"/>
  <c r="Q106" i="15" s="1"/>
  <c r="N105" i="15"/>
  <c r="O105" i="15" s="1"/>
  <c r="Q105" i="15" s="1"/>
  <c r="N104" i="15"/>
  <c r="O104" i="15" s="1"/>
  <c r="Q104" i="15" s="1"/>
  <c r="N103" i="15"/>
  <c r="O103" i="15" s="1"/>
  <c r="Q103" i="15" s="1"/>
  <c r="N102" i="15"/>
  <c r="O102" i="15" s="1"/>
  <c r="Q102" i="15" s="1"/>
  <c r="N101" i="15"/>
  <c r="O101" i="15" s="1"/>
  <c r="Q101" i="15" s="1"/>
  <c r="N100" i="15"/>
  <c r="O100" i="15" s="1"/>
  <c r="Q100" i="15" s="1"/>
  <c r="N99" i="15"/>
  <c r="O99" i="15" s="1"/>
  <c r="Q99" i="15" s="1"/>
  <c r="N98" i="15"/>
  <c r="O98" i="15" s="1"/>
  <c r="Q98" i="15" s="1"/>
  <c r="N97" i="15"/>
  <c r="O97" i="15" s="1"/>
  <c r="Q97" i="15" s="1"/>
  <c r="N96" i="15"/>
  <c r="O96" i="15" s="1"/>
  <c r="N95" i="15"/>
  <c r="O95" i="15" s="1"/>
  <c r="Q95" i="15" s="1"/>
  <c r="N92" i="15"/>
  <c r="O92" i="15" s="1"/>
  <c r="Q92" i="15" s="1"/>
  <c r="N91" i="15"/>
  <c r="O91" i="15" s="1"/>
  <c r="Q91" i="15" s="1"/>
  <c r="N90" i="15"/>
  <c r="O90" i="15" s="1"/>
  <c r="Q90" i="15" s="1"/>
  <c r="N89" i="15"/>
  <c r="O89" i="15" s="1"/>
  <c r="N88" i="15"/>
  <c r="O88" i="15" s="1"/>
  <c r="Q88" i="15" s="1"/>
  <c r="N87" i="15"/>
  <c r="N86" i="15"/>
  <c r="N83" i="15"/>
  <c r="O83" i="15" s="1"/>
  <c r="Q83" i="15" s="1"/>
  <c r="I83" i="25" s="1"/>
  <c r="J83" i="25" s="1"/>
  <c r="N82" i="15"/>
  <c r="O82" i="15" s="1"/>
  <c r="Q82" i="15" s="1"/>
  <c r="N81" i="15"/>
  <c r="O81" i="15" s="1"/>
  <c r="Q81" i="15" s="1"/>
  <c r="N80" i="15"/>
  <c r="N79" i="15"/>
  <c r="O79" i="15" s="1"/>
  <c r="Q79" i="15" s="1"/>
  <c r="Q8" i="16" s="1"/>
  <c r="N78" i="15"/>
  <c r="O78" i="15" s="1"/>
  <c r="Q78" i="15" s="1"/>
  <c r="Q7" i="16" s="1"/>
  <c r="N75" i="15"/>
  <c r="N74" i="15"/>
  <c r="O74" i="15" s="1"/>
  <c r="Q74" i="15" s="1"/>
  <c r="AV74" i="9" s="1"/>
  <c r="N73" i="15"/>
  <c r="O73" i="15" s="1"/>
  <c r="Q73" i="15" s="1"/>
  <c r="AV73" i="9" s="1"/>
  <c r="N72" i="15"/>
  <c r="O72" i="15" s="1"/>
  <c r="Q72" i="15" s="1"/>
  <c r="AV72" i="9" s="1"/>
  <c r="N71" i="15"/>
  <c r="O71" i="15" s="1"/>
  <c r="Q71" i="15" s="1"/>
  <c r="N70" i="15"/>
  <c r="O70" i="15" s="1"/>
  <c r="Q70" i="15" s="1"/>
  <c r="AV70" i="9" s="1"/>
  <c r="N69" i="15"/>
  <c r="O69" i="15" s="1"/>
  <c r="Q69" i="15" s="1"/>
  <c r="AV69" i="9" s="1"/>
  <c r="N68" i="15"/>
  <c r="O68" i="15" s="1"/>
  <c r="Q68" i="15" s="1"/>
  <c r="AV68" i="9" s="1"/>
  <c r="N67" i="15"/>
  <c r="O67" i="15" s="1"/>
  <c r="Q67" i="15" s="1"/>
  <c r="AV67" i="9" s="1"/>
  <c r="N66" i="15"/>
  <c r="O66" i="15" s="1"/>
  <c r="Q66" i="15" s="1"/>
  <c r="AV66" i="9" s="1"/>
  <c r="N65" i="15"/>
  <c r="O65" i="15" s="1"/>
  <c r="Q65" i="15" s="1"/>
  <c r="AV65" i="9" s="1"/>
  <c r="N64" i="15"/>
  <c r="O64" i="15" s="1"/>
  <c r="Q64" i="15" s="1"/>
  <c r="AV64" i="9" s="1"/>
  <c r="N63" i="15"/>
  <c r="O63" i="15" s="1"/>
  <c r="Q63" i="15" s="1"/>
  <c r="N62" i="15"/>
  <c r="O62" i="15" s="1"/>
  <c r="Q62" i="15" s="1"/>
  <c r="AV62" i="9" s="1"/>
  <c r="N61" i="15"/>
  <c r="O61" i="15" s="1"/>
  <c r="Q61" i="15" s="1"/>
  <c r="AV61" i="9" s="1"/>
  <c r="N60" i="15"/>
  <c r="O60" i="15" s="1"/>
  <c r="Q60" i="15" s="1"/>
  <c r="N59" i="15"/>
  <c r="O59" i="15" s="1"/>
  <c r="Q59" i="15" s="1"/>
  <c r="AV59" i="9" s="1"/>
  <c r="N58" i="15"/>
  <c r="O58" i="15" s="1"/>
  <c r="Q58" i="15" s="1"/>
  <c r="AV58" i="9" s="1"/>
  <c r="N57" i="15"/>
  <c r="O57" i="15" s="1"/>
  <c r="Q57" i="15" s="1"/>
  <c r="AV57" i="9" s="1"/>
  <c r="N56" i="15"/>
  <c r="O56" i="15" s="1"/>
  <c r="Q56" i="15" s="1"/>
  <c r="AV56" i="9" s="1"/>
  <c r="N55" i="15"/>
  <c r="O55" i="15" s="1"/>
  <c r="Q55" i="15" s="1"/>
  <c r="AV55" i="9" s="1"/>
  <c r="N54" i="15"/>
  <c r="O54" i="15" s="1"/>
  <c r="Q54" i="15" s="1"/>
  <c r="N53" i="15"/>
  <c r="O53" i="15" s="1"/>
  <c r="Q53" i="15" s="1"/>
  <c r="AV53" i="9" s="1"/>
  <c r="N52" i="15"/>
  <c r="O52" i="15" s="1"/>
  <c r="Q52" i="15" s="1"/>
  <c r="AV52" i="9" s="1"/>
  <c r="N51" i="15"/>
  <c r="O51" i="15" s="1"/>
  <c r="Q51" i="15" s="1"/>
  <c r="AV51" i="9" s="1"/>
  <c r="N50" i="15"/>
  <c r="O50" i="15" s="1"/>
  <c r="Q50" i="15" s="1"/>
  <c r="AV50" i="9" s="1"/>
  <c r="N49" i="15"/>
  <c r="O49" i="15" s="1"/>
  <c r="Q49" i="15" s="1"/>
  <c r="AV49" i="9" s="1"/>
  <c r="N48" i="15"/>
  <c r="O48" i="15" s="1"/>
  <c r="Q48" i="15" s="1"/>
  <c r="AV48" i="9" s="1"/>
  <c r="N47" i="15"/>
  <c r="O47" i="15" s="1"/>
  <c r="Q47" i="15" s="1"/>
  <c r="N46" i="15"/>
  <c r="O46" i="15" s="1"/>
  <c r="Q46" i="15" s="1"/>
  <c r="AV46" i="9" s="1"/>
  <c r="N45" i="15"/>
  <c r="O45" i="15" s="1"/>
  <c r="Q45" i="15" s="1"/>
  <c r="AV45" i="9" s="1"/>
  <c r="N44" i="15"/>
  <c r="O44" i="15" s="1"/>
  <c r="Q44" i="15" s="1"/>
  <c r="AV44" i="9" s="1"/>
  <c r="N43" i="15"/>
  <c r="O43" i="15" s="1"/>
  <c r="Q43" i="15" s="1"/>
  <c r="AV43" i="9" s="1"/>
  <c r="N41" i="15"/>
  <c r="O41" i="15" s="1"/>
  <c r="Q41" i="15" s="1"/>
  <c r="AV41" i="9" s="1"/>
  <c r="N40" i="15"/>
  <c r="O40" i="15" s="1"/>
  <c r="Q40" i="15" s="1"/>
  <c r="AV40" i="9" s="1"/>
  <c r="N39" i="15"/>
  <c r="O39" i="15" s="1"/>
  <c r="Q39" i="15" s="1"/>
  <c r="AV39" i="9" s="1"/>
  <c r="N38" i="15"/>
  <c r="O38" i="15" s="1"/>
  <c r="Q38" i="15" s="1"/>
  <c r="AV38" i="9" s="1"/>
  <c r="N37" i="15"/>
  <c r="O37" i="15" s="1"/>
  <c r="Q37" i="15" s="1"/>
  <c r="AV37" i="9" s="1"/>
  <c r="N36" i="15"/>
  <c r="O36" i="15" s="1"/>
  <c r="Q36" i="15" s="1"/>
  <c r="AV36" i="9" s="1"/>
  <c r="N35" i="15"/>
  <c r="O35" i="15" s="1"/>
  <c r="Q35" i="15" s="1"/>
  <c r="AV35" i="9" s="1"/>
  <c r="N34" i="15"/>
  <c r="N33" i="15"/>
  <c r="O33" i="15" s="1"/>
  <c r="Q33" i="15" s="1"/>
  <c r="N32" i="15"/>
  <c r="O32" i="15" s="1"/>
  <c r="Q32" i="15" s="1"/>
  <c r="AV32" i="9" s="1"/>
  <c r="N31" i="15"/>
  <c r="O31" i="15" s="1"/>
  <c r="Q31" i="15" s="1"/>
  <c r="AV31" i="9" s="1"/>
  <c r="N30" i="15"/>
  <c r="O30" i="15" s="1"/>
  <c r="Q30" i="15" s="1"/>
  <c r="AV30" i="9" s="1"/>
  <c r="N29" i="15"/>
  <c r="O29" i="15" s="1"/>
  <c r="Q29" i="15" s="1"/>
  <c r="AV29" i="9" s="1"/>
  <c r="N28" i="15"/>
  <c r="O28" i="15" s="1"/>
  <c r="Q28" i="15" s="1"/>
  <c r="AV28" i="9" s="1"/>
  <c r="N27" i="15"/>
  <c r="O27" i="15" s="1"/>
  <c r="Q27" i="15" s="1"/>
  <c r="AV27" i="9" s="1"/>
  <c r="N26" i="15"/>
  <c r="O26" i="15" s="1"/>
  <c r="Q26" i="15" s="1"/>
  <c r="AV26" i="9" s="1"/>
  <c r="N25" i="15"/>
  <c r="O25" i="15" s="1"/>
  <c r="Q25" i="15" s="1"/>
  <c r="AV25" i="9" s="1"/>
  <c r="N24" i="15"/>
  <c r="O24" i="15" s="1"/>
  <c r="Q24" i="15" s="1"/>
  <c r="AV24" i="9" s="1"/>
  <c r="N23" i="15"/>
  <c r="O23" i="15" s="1"/>
  <c r="Q23" i="15" s="1"/>
  <c r="AV23" i="9" s="1"/>
  <c r="N22" i="15"/>
  <c r="O22" i="15" s="1"/>
  <c r="Q22" i="15" s="1"/>
  <c r="AV22" i="9" s="1"/>
  <c r="N21" i="15"/>
  <c r="O21" i="15" s="1"/>
  <c r="Q21" i="15" s="1"/>
  <c r="AV21" i="9" s="1"/>
  <c r="N20" i="15"/>
  <c r="O20" i="15" s="1"/>
  <c r="Q20" i="15" s="1"/>
  <c r="AV20" i="9" s="1"/>
  <c r="N19" i="15"/>
  <c r="O19" i="15" s="1"/>
  <c r="Q19" i="15" s="1"/>
  <c r="AV19" i="9" s="1"/>
  <c r="N18" i="15"/>
  <c r="O18" i="15" s="1"/>
  <c r="Q18" i="15" s="1"/>
  <c r="AV18" i="9" s="1"/>
  <c r="N17" i="15"/>
  <c r="O17" i="15" s="1"/>
  <c r="Q17" i="15" s="1"/>
  <c r="AV17" i="9" s="1"/>
  <c r="N16" i="15"/>
  <c r="O16" i="15" s="1"/>
  <c r="Q16" i="15" s="1"/>
  <c r="AV16" i="9" s="1"/>
  <c r="N15" i="15"/>
  <c r="O15" i="15" s="1"/>
  <c r="Q15" i="15" s="1"/>
  <c r="AV15" i="9" s="1"/>
  <c r="N14" i="15"/>
  <c r="O14" i="15" s="1"/>
  <c r="Q14" i="15" s="1"/>
  <c r="N13" i="15"/>
  <c r="O13" i="15" s="1"/>
  <c r="Q13" i="15" s="1"/>
  <c r="AV13" i="9" s="1"/>
  <c r="N12" i="15"/>
  <c r="O12" i="15" s="1"/>
  <c r="Q12" i="15" s="1"/>
  <c r="AV12" i="9" s="1"/>
  <c r="N11" i="15"/>
  <c r="O11" i="15" s="1"/>
  <c r="Q11" i="15" s="1"/>
  <c r="AV11" i="9" s="1"/>
  <c r="N10" i="15"/>
  <c r="O10" i="15" s="1"/>
  <c r="Q10" i="15" s="1"/>
  <c r="AV10" i="9" s="1"/>
  <c r="N9" i="15"/>
  <c r="O9" i="15" s="1"/>
  <c r="Q9" i="15" s="1"/>
  <c r="AV9" i="9" s="1"/>
  <c r="N8" i="15"/>
  <c r="O8" i="15" s="1"/>
  <c r="Q8" i="15" s="1"/>
  <c r="AV8" i="9" s="1"/>
  <c r="N7" i="15"/>
  <c r="O7" i="15" s="1"/>
  <c r="Q7" i="15" s="1"/>
  <c r="AV7" i="9" s="1"/>
  <c r="J75" i="12"/>
  <c r="K75" i="12" s="1"/>
  <c r="X75" i="73" s="1"/>
  <c r="J74" i="12"/>
  <c r="J73" i="12"/>
  <c r="J72" i="12"/>
  <c r="AA72" i="73" s="1"/>
  <c r="J71" i="12"/>
  <c r="J70" i="12"/>
  <c r="J69" i="12"/>
  <c r="K69" i="12" s="1"/>
  <c r="X69" i="73" s="1"/>
  <c r="J68" i="12"/>
  <c r="J67" i="12"/>
  <c r="J66" i="12"/>
  <c r="K66" i="12" s="1"/>
  <c r="X66" i="73" s="1"/>
  <c r="J65" i="12"/>
  <c r="K65" i="12" s="1"/>
  <c r="X65" i="73" s="1"/>
  <c r="J64" i="12"/>
  <c r="K64" i="12" s="1"/>
  <c r="X64" i="73" s="1"/>
  <c r="J63" i="12"/>
  <c r="J62" i="12"/>
  <c r="J61" i="12"/>
  <c r="K61" i="12" s="1"/>
  <c r="X61" i="73" s="1"/>
  <c r="J60" i="12"/>
  <c r="J59" i="12"/>
  <c r="J58" i="12"/>
  <c r="J57" i="12"/>
  <c r="K57" i="12" s="1"/>
  <c r="X57" i="73" s="1"/>
  <c r="J56" i="12"/>
  <c r="K56" i="12" s="1"/>
  <c r="X56" i="73" s="1"/>
  <c r="J55" i="12"/>
  <c r="K55" i="12" s="1"/>
  <c r="X55" i="73" s="1"/>
  <c r="J54" i="12"/>
  <c r="J53" i="12"/>
  <c r="J52" i="12"/>
  <c r="J51" i="12"/>
  <c r="J50" i="12"/>
  <c r="J49" i="12"/>
  <c r="J48" i="12"/>
  <c r="K48" i="12" s="1"/>
  <c r="X48" i="73" s="1"/>
  <c r="J47" i="12"/>
  <c r="J46" i="12"/>
  <c r="J45" i="12"/>
  <c r="J44" i="12"/>
  <c r="K44" i="12" s="1"/>
  <c r="X44" i="73" s="1"/>
  <c r="J43" i="12"/>
  <c r="J42" i="12"/>
  <c r="K42" i="12" s="1"/>
  <c r="X42" i="73" s="1"/>
  <c r="J41" i="12"/>
  <c r="K41" i="12" s="1"/>
  <c r="X41" i="73" s="1"/>
  <c r="J40" i="12"/>
  <c r="K40" i="12" s="1"/>
  <c r="X40" i="73" s="1"/>
  <c r="J39" i="12"/>
  <c r="J38" i="12"/>
  <c r="AA38" i="73" s="1"/>
  <c r="J37" i="12"/>
  <c r="K37" i="12" s="1"/>
  <c r="X37" i="73" s="1"/>
  <c r="J36" i="12"/>
  <c r="K36" i="12" s="1"/>
  <c r="X36" i="73" s="1"/>
  <c r="J35" i="12"/>
  <c r="K35" i="12" s="1"/>
  <c r="X35" i="73" s="1"/>
  <c r="J34" i="12"/>
  <c r="J33" i="12"/>
  <c r="K33" i="12" s="1"/>
  <c r="X33" i="73" s="1"/>
  <c r="J32" i="12"/>
  <c r="J31" i="12"/>
  <c r="J30" i="12"/>
  <c r="AA30" i="73" s="1"/>
  <c r="J29" i="12"/>
  <c r="J28" i="12"/>
  <c r="K28" i="12" s="1"/>
  <c r="X28" i="73" s="1"/>
  <c r="J27" i="12"/>
  <c r="J26" i="12"/>
  <c r="J25" i="12"/>
  <c r="K25" i="12" s="1"/>
  <c r="X25" i="73" s="1"/>
  <c r="J24" i="12"/>
  <c r="K24" i="12" s="1"/>
  <c r="X24" i="73" s="1"/>
  <c r="J23" i="12"/>
  <c r="K23" i="12" s="1"/>
  <c r="X23" i="73" s="1"/>
  <c r="J22" i="12"/>
  <c r="J21" i="12"/>
  <c r="K21" i="12" s="1"/>
  <c r="X21" i="73" s="1"/>
  <c r="J20" i="12"/>
  <c r="AA20" i="73" s="1"/>
  <c r="J19" i="12"/>
  <c r="J18" i="12"/>
  <c r="K18" i="12" s="1"/>
  <c r="X18" i="73" s="1"/>
  <c r="J17" i="12"/>
  <c r="K17" i="12" s="1"/>
  <c r="X17" i="73" s="1"/>
  <c r="J16" i="12"/>
  <c r="K16" i="12" s="1"/>
  <c r="X16" i="73" s="1"/>
  <c r="J15" i="12"/>
  <c r="K15" i="12" s="1"/>
  <c r="X15" i="73" s="1"/>
  <c r="J14" i="12"/>
  <c r="J13" i="12"/>
  <c r="J12" i="12"/>
  <c r="K12" i="12" s="1"/>
  <c r="X12" i="73" s="1"/>
  <c r="J11" i="12"/>
  <c r="J10" i="12"/>
  <c r="K10" i="12" s="1"/>
  <c r="X10" i="73" s="1"/>
  <c r="J9" i="12"/>
  <c r="J8" i="12"/>
  <c r="AA8" i="73" s="1"/>
  <c r="J7" i="12"/>
  <c r="H75" i="12"/>
  <c r="H74" i="12"/>
  <c r="I74" i="12" s="1"/>
  <c r="S74" i="73" s="1"/>
  <c r="H73" i="12"/>
  <c r="I73" i="12" s="1"/>
  <c r="S73" i="73" s="1"/>
  <c r="H72" i="12"/>
  <c r="I72" i="12" s="1"/>
  <c r="S72" i="73" s="1"/>
  <c r="H71" i="12"/>
  <c r="H70" i="12"/>
  <c r="I70" i="12" s="1"/>
  <c r="S70" i="73" s="1"/>
  <c r="H69" i="12"/>
  <c r="I69" i="12" s="1"/>
  <c r="S69" i="73" s="1"/>
  <c r="H68" i="12"/>
  <c r="V68" i="73" s="1"/>
  <c r="H67" i="12"/>
  <c r="H66" i="12"/>
  <c r="I66" i="12" s="1"/>
  <c r="S66" i="73" s="1"/>
  <c r="H65" i="12"/>
  <c r="H64" i="12"/>
  <c r="V64" i="73" s="1"/>
  <c r="H63" i="12"/>
  <c r="H62" i="12"/>
  <c r="I62" i="12" s="1"/>
  <c r="S62" i="73" s="1"/>
  <c r="H61" i="12"/>
  <c r="H60" i="12"/>
  <c r="V60" i="73" s="1"/>
  <c r="H59" i="12"/>
  <c r="H58" i="12"/>
  <c r="I58" i="12" s="1"/>
  <c r="S58" i="73" s="1"/>
  <c r="H57" i="12"/>
  <c r="I57" i="12" s="1"/>
  <c r="S57" i="73" s="1"/>
  <c r="H56" i="12"/>
  <c r="H55" i="12"/>
  <c r="H54" i="12"/>
  <c r="I54" i="12" s="1"/>
  <c r="S54" i="73" s="1"/>
  <c r="H53" i="12"/>
  <c r="I53" i="12" s="1"/>
  <c r="S53" i="73" s="1"/>
  <c r="H52" i="12"/>
  <c r="I52" i="12" s="1"/>
  <c r="S52" i="73" s="1"/>
  <c r="H51" i="12"/>
  <c r="H50" i="12"/>
  <c r="H49" i="12"/>
  <c r="H48" i="12"/>
  <c r="I48" i="12" s="1"/>
  <c r="S48" i="73" s="1"/>
  <c r="H47" i="12"/>
  <c r="H46" i="12"/>
  <c r="I46" i="12" s="1"/>
  <c r="S46" i="73" s="1"/>
  <c r="H45" i="12"/>
  <c r="I45" i="12" s="1"/>
  <c r="S45" i="73" s="1"/>
  <c r="H44" i="12"/>
  <c r="I44" i="12" s="1"/>
  <c r="S44" i="73" s="1"/>
  <c r="H43" i="12"/>
  <c r="H42" i="12"/>
  <c r="V42" i="73" s="1"/>
  <c r="H41" i="12"/>
  <c r="V41" i="73" s="1"/>
  <c r="H40" i="12"/>
  <c r="I40" i="12" s="1"/>
  <c r="S40" i="73" s="1"/>
  <c r="H39" i="12"/>
  <c r="I39" i="12" s="1"/>
  <c r="S39" i="73" s="1"/>
  <c r="H38" i="12"/>
  <c r="I38" i="12" s="1"/>
  <c r="S38" i="73" s="1"/>
  <c r="H37" i="12"/>
  <c r="H36" i="12"/>
  <c r="I36" i="12" s="1"/>
  <c r="S36" i="73" s="1"/>
  <c r="H35" i="12"/>
  <c r="H34" i="12"/>
  <c r="H33" i="12"/>
  <c r="I33" i="12" s="1"/>
  <c r="S33" i="73" s="1"/>
  <c r="H32" i="12"/>
  <c r="V32" i="73" s="1"/>
  <c r="H31" i="12"/>
  <c r="V31" i="73" s="1"/>
  <c r="H30" i="12"/>
  <c r="I30" i="12" s="1"/>
  <c r="S30" i="73" s="1"/>
  <c r="H29" i="12"/>
  <c r="V29" i="73" s="1"/>
  <c r="H28" i="12"/>
  <c r="I28" i="12" s="1"/>
  <c r="S28" i="73" s="1"/>
  <c r="H27" i="12"/>
  <c r="H26" i="12"/>
  <c r="V26" i="73" s="1"/>
  <c r="H25" i="12"/>
  <c r="I25" i="12" s="1"/>
  <c r="S25" i="73" s="1"/>
  <c r="H24" i="12"/>
  <c r="I24" i="12" s="1"/>
  <c r="S24" i="73" s="1"/>
  <c r="H23" i="12"/>
  <c r="H22" i="12"/>
  <c r="V22" i="73" s="1"/>
  <c r="H21" i="12"/>
  <c r="I21" i="12" s="1"/>
  <c r="S21" i="73" s="1"/>
  <c r="H20" i="12"/>
  <c r="V20" i="73" s="1"/>
  <c r="H19" i="12"/>
  <c r="H18" i="12"/>
  <c r="I18" i="12" s="1"/>
  <c r="S18" i="73" s="1"/>
  <c r="H17" i="12"/>
  <c r="V17" i="73" s="1"/>
  <c r="H16" i="12"/>
  <c r="I16" i="12" s="1"/>
  <c r="S16" i="73" s="1"/>
  <c r="H15" i="12"/>
  <c r="H14" i="12"/>
  <c r="H13" i="12"/>
  <c r="H12" i="12"/>
  <c r="H11" i="12"/>
  <c r="I11" i="12" s="1"/>
  <c r="S11" i="73" s="1"/>
  <c r="H10" i="12"/>
  <c r="I10" i="12" s="1"/>
  <c r="S10" i="73" s="1"/>
  <c r="H9" i="12"/>
  <c r="I9" i="12" s="1"/>
  <c r="S9" i="73" s="1"/>
  <c r="H8" i="12"/>
  <c r="H7" i="12"/>
  <c r="I7" i="12" s="1"/>
  <c r="S7" i="73" s="1"/>
  <c r="F75" i="12"/>
  <c r="F74" i="12"/>
  <c r="F73" i="12"/>
  <c r="F72" i="12"/>
  <c r="G72" i="12" s="1"/>
  <c r="N72" i="73" s="1"/>
  <c r="F71" i="12"/>
  <c r="G71" i="12" s="1"/>
  <c r="N71" i="73" s="1"/>
  <c r="F70" i="12"/>
  <c r="F69" i="12"/>
  <c r="F68" i="12"/>
  <c r="F67" i="12"/>
  <c r="Q67" i="73" s="1"/>
  <c r="F66" i="12"/>
  <c r="G66" i="12" s="1"/>
  <c r="N66" i="73" s="1"/>
  <c r="F65" i="12"/>
  <c r="F64" i="12"/>
  <c r="F63" i="12"/>
  <c r="G63" i="12" s="1"/>
  <c r="N63" i="73" s="1"/>
  <c r="F62" i="12"/>
  <c r="G62" i="12" s="1"/>
  <c r="N62" i="73" s="1"/>
  <c r="F61" i="12"/>
  <c r="F60" i="12"/>
  <c r="F59" i="12"/>
  <c r="Q59" i="73" s="1"/>
  <c r="F58" i="12"/>
  <c r="F57" i="12"/>
  <c r="F56" i="12"/>
  <c r="F55" i="12"/>
  <c r="Q55" i="73" s="1"/>
  <c r="F54" i="12"/>
  <c r="F53" i="12"/>
  <c r="F52" i="12"/>
  <c r="F51" i="12"/>
  <c r="F50" i="12"/>
  <c r="F49" i="12"/>
  <c r="F48" i="12"/>
  <c r="G48" i="12" s="1"/>
  <c r="N48" i="73" s="1"/>
  <c r="F47" i="12"/>
  <c r="G47" i="12" s="1"/>
  <c r="N47" i="73" s="1"/>
  <c r="F46" i="12"/>
  <c r="F45" i="12"/>
  <c r="F44" i="12"/>
  <c r="F43" i="12"/>
  <c r="G43" i="12" s="1"/>
  <c r="N43" i="73" s="1"/>
  <c r="F42" i="12"/>
  <c r="F41" i="12"/>
  <c r="F40" i="12"/>
  <c r="F39" i="12"/>
  <c r="G39" i="12" s="1"/>
  <c r="N39" i="73" s="1"/>
  <c r="F38" i="12"/>
  <c r="G38" i="12" s="1"/>
  <c r="N38" i="73" s="1"/>
  <c r="F37" i="12"/>
  <c r="F36" i="12"/>
  <c r="F35" i="12"/>
  <c r="G35" i="12" s="1"/>
  <c r="N35" i="73" s="1"/>
  <c r="F34" i="12"/>
  <c r="Q34" i="73" s="1"/>
  <c r="F33" i="12"/>
  <c r="F32" i="12"/>
  <c r="Q32" i="73" s="1"/>
  <c r="F31" i="12"/>
  <c r="G31" i="12" s="1"/>
  <c r="N31" i="73" s="1"/>
  <c r="F30" i="12"/>
  <c r="Q30" i="73" s="1"/>
  <c r="F29" i="12"/>
  <c r="F28" i="12"/>
  <c r="F27" i="12"/>
  <c r="G27" i="12" s="1"/>
  <c r="N27" i="73" s="1"/>
  <c r="F26" i="12"/>
  <c r="G26" i="12" s="1"/>
  <c r="N26" i="73" s="1"/>
  <c r="F25" i="12"/>
  <c r="F24" i="12"/>
  <c r="F23" i="12"/>
  <c r="G23" i="12" s="1"/>
  <c r="N23" i="73" s="1"/>
  <c r="F22" i="12"/>
  <c r="G22" i="12" s="1"/>
  <c r="N22" i="73" s="1"/>
  <c r="F21" i="12"/>
  <c r="F20" i="12"/>
  <c r="F19" i="12"/>
  <c r="G19" i="12" s="1"/>
  <c r="N19" i="73" s="1"/>
  <c r="F18" i="12"/>
  <c r="Q18" i="73" s="1"/>
  <c r="F17" i="12"/>
  <c r="F16" i="12"/>
  <c r="F15" i="12"/>
  <c r="F14" i="12"/>
  <c r="F13" i="12"/>
  <c r="G13" i="12" s="1"/>
  <c r="N13" i="73" s="1"/>
  <c r="F12" i="12"/>
  <c r="F11" i="12"/>
  <c r="G11" i="12" s="1"/>
  <c r="N11" i="73" s="1"/>
  <c r="F10" i="12"/>
  <c r="G10" i="12" s="1"/>
  <c r="N10" i="73" s="1"/>
  <c r="F9" i="12"/>
  <c r="F8" i="12"/>
  <c r="G8" i="12" s="1"/>
  <c r="N8" i="73" s="1"/>
  <c r="F7" i="12"/>
  <c r="G7" i="12" s="1"/>
  <c r="N7" i="73" s="1"/>
  <c r="D75" i="12"/>
  <c r="D74" i="12"/>
  <c r="L74" i="73" s="1"/>
  <c r="D73" i="12"/>
  <c r="D72" i="12"/>
  <c r="D71" i="12"/>
  <c r="D70" i="12"/>
  <c r="D69" i="12"/>
  <c r="D68" i="12"/>
  <c r="D67" i="12"/>
  <c r="E67" i="12" s="1"/>
  <c r="I67" i="73" s="1"/>
  <c r="D66" i="12"/>
  <c r="D65" i="12"/>
  <c r="D64" i="12"/>
  <c r="D63" i="12"/>
  <c r="E63" i="12" s="1"/>
  <c r="I63" i="73" s="1"/>
  <c r="D62" i="12"/>
  <c r="D61" i="12"/>
  <c r="D60" i="12"/>
  <c r="D59" i="12"/>
  <c r="E59" i="12" s="1"/>
  <c r="I59" i="73" s="1"/>
  <c r="D58" i="12"/>
  <c r="D57" i="12"/>
  <c r="D56" i="12"/>
  <c r="D55" i="12"/>
  <c r="E55" i="12" s="1"/>
  <c r="I55" i="73" s="1"/>
  <c r="D54" i="12"/>
  <c r="E54" i="12" s="1"/>
  <c r="I54" i="73" s="1"/>
  <c r="D53" i="12"/>
  <c r="E53" i="12" s="1"/>
  <c r="I53" i="73" s="1"/>
  <c r="D52" i="12"/>
  <c r="E52" i="12" s="1"/>
  <c r="I52" i="73" s="1"/>
  <c r="D51" i="12"/>
  <c r="L51" i="73" s="1"/>
  <c r="D50" i="12"/>
  <c r="D49" i="12"/>
  <c r="L49" i="73" s="1"/>
  <c r="D48" i="12"/>
  <c r="D47" i="12"/>
  <c r="E47" i="12" s="1"/>
  <c r="I47" i="73" s="1"/>
  <c r="D46" i="12"/>
  <c r="E46" i="12" s="1"/>
  <c r="I46" i="73" s="1"/>
  <c r="D45" i="12"/>
  <c r="D44" i="12"/>
  <c r="D43" i="12"/>
  <c r="E43" i="12" s="1"/>
  <c r="I43" i="73" s="1"/>
  <c r="D42" i="12"/>
  <c r="D41" i="12"/>
  <c r="D40" i="12"/>
  <c r="D39" i="12"/>
  <c r="E39" i="12" s="1"/>
  <c r="I39" i="73" s="1"/>
  <c r="D38" i="12"/>
  <c r="D37" i="12"/>
  <c r="D36" i="12"/>
  <c r="L36" i="73" s="1"/>
  <c r="D35" i="12"/>
  <c r="E35" i="12" s="1"/>
  <c r="I35" i="73" s="1"/>
  <c r="D34" i="12"/>
  <c r="D33" i="12"/>
  <c r="L33" i="73" s="1"/>
  <c r="D32" i="12"/>
  <c r="D31" i="12"/>
  <c r="E31" i="12" s="1"/>
  <c r="I31" i="73" s="1"/>
  <c r="D30" i="12"/>
  <c r="D29" i="12"/>
  <c r="D28" i="12"/>
  <c r="D27" i="12"/>
  <c r="D26" i="12"/>
  <c r="D25" i="12"/>
  <c r="L25" i="73" s="1"/>
  <c r="D24" i="12"/>
  <c r="D23" i="12"/>
  <c r="E23" i="12" s="1"/>
  <c r="I23" i="73" s="1"/>
  <c r="D22" i="12"/>
  <c r="D21" i="12"/>
  <c r="L21" i="73" s="1"/>
  <c r="D20" i="12"/>
  <c r="D19" i="12"/>
  <c r="D18" i="12"/>
  <c r="E18" i="12" s="1"/>
  <c r="I18" i="73" s="1"/>
  <c r="D17" i="12"/>
  <c r="D16" i="12"/>
  <c r="D15" i="12"/>
  <c r="D14" i="12"/>
  <c r="E14" i="12" s="1"/>
  <c r="I14" i="73" s="1"/>
  <c r="D13" i="12"/>
  <c r="D12" i="12"/>
  <c r="D11" i="12"/>
  <c r="E11" i="12" s="1"/>
  <c r="I11" i="73" s="1"/>
  <c r="D10" i="12"/>
  <c r="E10" i="12" s="1"/>
  <c r="D9" i="12"/>
  <c r="L9" i="73" s="1"/>
  <c r="D8" i="12"/>
  <c r="D7" i="12"/>
  <c r="E7" i="12" s="1"/>
  <c r="I7" i="73" s="1"/>
  <c r="C5" i="76"/>
  <c r="D5" i="76" s="1"/>
  <c r="E5" i="76" s="1"/>
  <c r="F5" i="76" s="1"/>
  <c r="G5" i="76" s="1"/>
  <c r="H5" i="76" s="1"/>
  <c r="I5" i="76" s="1"/>
  <c r="J5" i="76" s="1"/>
  <c r="K5" i="76" s="1"/>
  <c r="L5" i="76" s="1"/>
  <c r="M5" i="76" s="1"/>
  <c r="N5" i="76" s="1"/>
  <c r="O5" i="76" s="1"/>
  <c r="P5" i="76" s="1"/>
  <c r="Q5" i="76" s="1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AN4" i="10" s="1"/>
  <c r="S5" i="76"/>
  <c r="T5" i="76" s="1"/>
  <c r="U5" i="76" s="1"/>
  <c r="V5" i="76" s="1"/>
  <c r="W5" i="76" s="1"/>
  <c r="X5" i="76" s="1"/>
  <c r="Y5" i="76" s="1"/>
  <c r="AA5" i="76"/>
  <c r="AB5" i="76" s="1"/>
  <c r="AF5" i="76"/>
  <c r="AG5" i="76" s="1"/>
  <c r="AH5" i="76" s="1"/>
  <c r="AI5" i="76" s="1"/>
  <c r="AJ5" i="76" s="1"/>
  <c r="AK5" i="76" s="1"/>
  <c r="AL5" i="76" s="1"/>
  <c r="AT5" i="76" s="1"/>
  <c r="AU5" i="76" s="1"/>
  <c r="AV5" i="76" s="1"/>
  <c r="AW5" i="76" s="1"/>
  <c r="AX5" i="76" s="1"/>
  <c r="AY5" i="76" s="1"/>
  <c r="AZ5" i="76" s="1"/>
  <c r="BA5" i="76" s="1"/>
  <c r="BB5" i="76" s="1"/>
  <c r="BC5" i="76" s="1"/>
  <c r="BD5" i="76" s="1"/>
  <c r="BE5" i="76" s="1"/>
  <c r="BF5" i="76" s="1"/>
  <c r="BG5" i="76" s="1"/>
  <c r="BH5" i="76" s="1"/>
  <c r="BI5" i="76" s="1"/>
  <c r="AT10" i="30"/>
  <c r="AE11" i="30"/>
  <c r="AV26" i="30"/>
  <c r="AE19" i="30"/>
  <c r="AV14" i="30"/>
  <c r="AE17" i="30"/>
  <c r="AE38" i="30"/>
  <c r="AT34" i="30"/>
  <c r="AE35" i="30"/>
  <c r="Q1" i="12"/>
  <c r="H120" i="14"/>
  <c r="D120" i="14"/>
  <c r="L118" i="14"/>
  <c r="I118" i="14"/>
  <c r="J118" i="14" s="1"/>
  <c r="K118" i="14" s="1"/>
  <c r="E118" i="14"/>
  <c r="L117" i="14"/>
  <c r="I117" i="14"/>
  <c r="J117" i="14" s="1"/>
  <c r="K117" i="14" s="1"/>
  <c r="E117" i="14"/>
  <c r="F117" i="14" s="1"/>
  <c r="G117" i="14" s="1"/>
  <c r="L116" i="14"/>
  <c r="I116" i="14"/>
  <c r="J116" i="14" s="1"/>
  <c r="E116" i="14"/>
  <c r="F116" i="14" s="1"/>
  <c r="G116" i="14" s="1"/>
  <c r="L115" i="14"/>
  <c r="I115" i="14"/>
  <c r="E115" i="14"/>
  <c r="F115" i="14" s="1"/>
  <c r="L114" i="14"/>
  <c r="I114" i="14"/>
  <c r="J114" i="14" s="1"/>
  <c r="K114" i="14" s="1"/>
  <c r="E114" i="14"/>
  <c r="L119" i="14"/>
  <c r="I119" i="14"/>
  <c r="J119" i="14" s="1"/>
  <c r="K119" i="14" s="1"/>
  <c r="E119" i="14"/>
  <c r="L113" i="14"/>
  <c r="I113" i="14"/>
  <c r="E113" i="14"/>
  <c r="F113" i="14" s="1"/>
  <c r="G113" i="14" s="1"/>
  <c r="H111" i="14"/>
  <c r="D111" i="14"/>
  <c r="L110" i="14"/>
  <c r="I110" i="14"/>
  <c r="J110" i="14" s="1"/>
  <c r="K110" i="14" s="1"/>
  <c r="E110" i="14"/>
  <c r="F110" i="14" s="1"/>
  <c r="L109" i="14"/>
  <c r="I109" i="14"/>
  <c r="E109" i="14"/>
  <c r="F109" i="14" s="1"/>
  <c r="L106" i="14"/>
  <c r="I106" i="14"/>
  <c r="J106" i="14" s="1"/>
  <c r="K106" i="14" s="1"/>
  <c r="E106" i="14"/>
  <c r="F106" i="14" s="1"/>
  <c r="L105" i="14"/>
  <c r="I105" i="14"/>
  <c r="J105" i="14" s="1"/>
  <c r="E105" i="14"/>
  <c r="L104" i="14"/>
  <c r="I104" i="14"/>
  <c r="J104" i="14" s="1"/>
  <c r="E104" i="14"/>
  <c r="F104" i="14" s="1"/>
  <c r="L103" i="14"/>
  <c r="I103" i="14"/>
  <c r="J103" i="14" s="1"/>
  <c r="K103" i="14" s="1"/>
  <c r="E103" i="14"/>
  <c r="F103" i="14" s="1"/>
  <c r="L102" i="14"/>
  <c r="I102" i="14"/>
  <c r="E102" i="14"/>
  <c r="L101" i="14"/>
  <c r="I101" i="14"/>
  <c r="J101" i="14" s="1"/>
  <c r="E101" i="14"/>
  <c r="F101" i="14" s="1"/>
  <c r="G101" i="14" s="1"/>
  <c r="L100" i="14"/>
  <c r="I100" i="14"/>
  <c r="J100" i="14" s="1"/>
  <c r="K100" i="14" s="1"/>
  <c r="E100" i="14"/>
  <c r="F100" i="14" s="1"/>
  <c r="L99" i="14"/>
  <c r="I99" i="14"/>
  <c r="J99" i="14" s="1"/>
  <c r="K99" i="14" s="1"/>
  <c r="E99" i="14"/>
  <c r="F99" i="14" s="1"/>
  <c r="G99" i="14" s="1"/>
  <c r="L98" i="14"/>
  <c r="I98" i="14"/>
  <c r="J98" i="14" s="1"/>
  <c r="E98" i="14"/>
  <c r="F98" i="14" s="1"/>
  <c r="L97" i="14"/>
  <c r="I97" i="14"/>
  <c r="J97" i="14" s="1"/>
  <c r="E97" i="14"/>
  <c r="L96" i="14"/>
  <c r="I96" i="14"/>
  <c r="J96" i="14" s="1"/>
  <c r="E96" i="14"/>
  <c r="F96" i="14" s="1"/>
  <c r="L95" i="14"/>
  <c r="I95" i="14"/>
  <c r="J95" i="14" s="1"/>
  <c r="K95" i="14" s="1"/>
  <c r="E95" i="14"/>
  <c r="F95" i="14" s="1"/>
  <c r="L94" i="14"/>
  <c r="I94" i="14"/>
  <c r="E94" i="14"/>
  <c r="F94" i="14" s="1"/>
  <c r="L93" i="14"/>
  <c r="I93" i="14"/>
  <c r="J93" i="14" s="1"/>
  <c r="K93" i="14" s="1"/>
  <c r="E93" i="14"/>
  <c r="F93" i="14" s="1"/>
  <c r="G93" i="14" s="1"/>
  <c r="L92" i="14"/>
  <c r="I92" i="14"/>
  <c r="J92" i="14" s="1"/>
  <c r="E92" i="14"/>
  <c r="F92" i="14" s="1"/>
  <c r="G92" i="14" s="1"/>
  <c r="L91" i="14"/>
  <c r="I91" i="14"/>
  <c r="J91" i="14" s="1"/>
  <c r="E91" i="14"/>
  <c r="F91" i="14" s="1"/>
  <c r="L90" i="14"/>
  <c r="I90" i="14"/>
  <c r="J90" i="14" s="1"/>
  <c r="E90" i="14"/>
  <c r="F90" i="14" s="1"/>
  <c r="G90" i="14" s="1"/>
  <c r="L89" i="14"/>
  <c r="I89" i="14"/>
  <c r="J89" i="14" s="1"/>
  <c r="K89" i="14" s="1"/>
  <c r="E89" i="14"/>
  <c r="F89" i="14" s="1"/>
  <c r="G89" i="14" s="1"/>
  <c r="L88" i="14"/>
  <c r="I88" i="14"/>
  <c r="J88" i="14" s="1"/>
  <c r="K88" i="14" s="1"/>
  <c r="E88" i="14"/>
  <c r="F88" i="14" s="1"/>
  <c r="L87" i="14"/>
  <c r="I87" i="14"/>
  <c r="J87" i="14" s="1"/>
  <c r="E87" i="14"/>
  <c r="F87" i="14" s="1"/>
  <c r="G87" i="14" s="1"/>
  <c r="L86" i="14"/>
  <c r="I86" i="14"/>
  <c r="J86" i="14" s="1"/>
  <c r="E86" i="14"/>
  <c r="F86" i="14" s="1"/>
  <c r="G86" i="14" s="1"/>
  <c r="L85" i="14"/>
  <c r="I85" i="14"/>
  <c r="J85" i="14" s="1"/>
  <c r="E85" i="14"/>
  <c r="L84" i="14"/>
  <c r="I84" i="14"/>
  <c r="J84" i="14" s="1"/>
  <c r="K84" i="14" s="1"/>
  <c r="E84" i="14"/>
  <c r="F84" i="14" s="1"/>
  <c r="G84" i="14" s="1"/>
  <c r="L83" i="14"/>
  <c r="I83" i="14"/>
  <c r="J83" i="14" s="1"/>
  <c r="K83" i="14" s="1"/>
  <c r="E83" i="14"/>
  <c r="F83" i="14" s="1"/>
  <c r="L82" i="14"/>
  <c r="I82" i="14"/>
  <c r="E82" i="14"/>
  <c r="L81" i="14"/>
  <c r="I81" i="14"/>
  <c r="E81" i="14"/>
  <c r="L80" i="14"/>
  <c r="I80" i="14"/>
  <c r="J80" i="14" s="1"/>
  <c r="E80" i="14"/>
  <c r="F80" i="14" s="1"/>
  <c r="G80" i="14" s="1"/>
  <c r="L79" i="14"/>
  <c r="I79" i="14"/>
  <c r="J79" i="14" s="1"/>
  <c r="E79" i="14"/>
  <c r="L78" i="14"/>
  <c r="I78" i="14"/>
  <c r="J78" i="14" s="1"/>
  <c r="E78" i="14"/>
  <c r="H139" i="14"/>
  <c r="D139" i="14"/>
  <c r="L138" i="14"/>
  <c r="I138" i="14"/>
  <c r="E138" i="14"/>
  <c r="F138" i="14" s="1"/>
  <c r="L137" i="14"/>
  <c r="I137" i="14"/>
  <c r="E137" i="14"/>
  <c r="L136" i="14"/>
  <c r="I136" i="14"/>
  <c r="J136" i="14" s="1"/>
  <c r="E136" i="14"/>
  <c r="F136" i="14" s="1"/>
  <c r="L135" i="14"/>
  <c r="I135" i="14"/>
  <c r="E135" i="14"/>
  <c r="F135" i="14" s="1"/>
  <c r="G135" i="14" s="1"/>
  <c r="L134" i="14"/>
  <c r="I134" i="14"/>
  <c r="E134" i="14"/>
  <c r="L133" i="14"/>
  <c r="I133" i="14"/>
  <c r="E133" i="14"/>
  <c r="F133" i="14" s="1"/>
  <c r="G133" i="14" s="1"/>
  <c r="L132" i="14"/>
  <c r="I132" i="14"/>
  <c r="J132" i="14" s="1"/>
  <c r="K132" i="14" s="1"/>
  <c r="E132" i="14"/>
  <c r="F132" i="14" s="1"/>
  <c r="H130" i="14"/>
  <c r="D130" i="14"/>
  <c r="L129" i="14"/>
  <c r="I129" i="14"/>
  <c r="J129" i="14" s="1"/>
  <c r="K129" i="14" s="1"/>
  <c r="E129" i="14"/>
  <c r="F129" i="14" s="1"/>
  <c r="L128" i="14"/>
  <c r="I128" i="14"/>
  <c r="J128" i="14" s="1"/>
  <c r="E128" i="14"/>
  <c r="L127" i="14"/>
  <c r="I127" i="14"/>
  <c r="J127" i="14" s="1"/>
  <c r="K127" i="14" s="1"/>
  <c r="E127" i="14"/>
  <c r="L126" i="14"/>
  <c r="I126" i="14"/>
  <c r="E126" i="14"/>
  <c r="F126" i="14" s="1"/>
  <c r="L125" i="14"/>
  <c r="I125" i="14"/>
  <c r="E125" i="14"/>
  <c r="L124" i="14"/>
  <c r="I124" i="14"/>
  <c r="J124" i="14" s="1"/>
  <c r="K124" i="14" s="1"/>
  <c r="E124" i="14"/>
  <c r="F124" i="14" s="1"/>
  <c r="G124" i="14" s="1"/>
  <c r="H76" i="14"/>
  <c r="D76" i="14"/>
  <c r="L75" i="14"/>
  <c r="I75" i="14"/>
  <c r="E75" i="14"/>
  <c r="F75" i="14" s="1"/>
  <c r="G75" i="14" s="1"/>
  <c r="L74" i="14"/>
  <c r="I74" i="14"/>
  <c r="E74" i="14"/>
  <c r="F74" i="14" s="1"/>
  <c r="G74" i="14" s="1"/>
  <c r="L73" i="14"/>
  <c r="I73" i="14"/>
  <c r="J73" i="14" s="1"/>
  <c r="K73" i="14" s="1"/>
  <c r="E73" i="14"/>
  <c r="L72" i="14"/>
  <c r="I72" i="14"/>
  <c r="J72" i="14" s="1"/>
  <c r="E72" i="14"/>
  <c r="F72" i="14" s="1"/>
  <c r="L71" i="14"/>
  <c r="I71" i="14"/>
  <c r="J71" i="14" s="1"/>
  <c r="E71" i="14"/>
  <c r="F71" i="14" s="1"/>
  <c r="G71" i="14" s="1"/>
  <c r="L70" i="14"/>
  <c r="I70" i="14"/>
  <c r="J70" i="14" s="1"/>
  <c r="K70" i="14" s="1"/>
  <c r="E70" i="14"/>
  <c r="L69" i="14"/>
  <c r="I69" i="14"/>
  <c r="J69" i="14" s="1"/>
  <c r="K69" i="14" s="1"/>
  <c r="E69" i="14"/>
  <c r="L68" i="14"/>
  <c r="I68" i="14"/>
  <c r="J68" i="14" s="1"/>
  <c r="K68" i="14" s="1"/>
  <c r="E68" i="14"/>
  <c r="F68" i="14" s="1"/>
  <c r="L67" i="14"/>
  <c r="I67" i="14"/>
  <c r="J67" i="14" s="1"/>
  <c r="E67" i="14"/>
  <c r="F67" i="14" s="1"/>
  <c r="L66" i="14"/>
  <c r="I66" i="14"/>
  <c r="J66" i="14" s="1"/>
  <c r="E66" i="14"/>
  <c r="F66" i="14" s="1"/>
  <c r="G66" i="14" s="1"/>
  <c r="L65" i="14"/>
  <c r="I65" i="14"/>
  <c r="J65" i="14" s="1"/>
  <c r="K65" i="14" s="1"/>
  <c r="E65" i="14"/>
  <c r="F65" i="14" s="1"/>
  <c r="L64" i="14"/>
  <c r="I64" i="14"/>
  <c r="J64" i="14" s="1"/>
  <c r="E64" i="14"/>
  <c r="L63" i="14"/>
  <c r="I63" i="14"/>
  <c r="J63" i="14" s="1"/>
  <c r="E63" i="14"/>
  <c r="L62" i="14"/>
  <c r="I62" i="14"/>
  <c r="J62" i="14" s="1"/>
  <c r="E62" i="14"/>
  <c r="L61" i="14"/>
  <c r="I61" i="14"/>
  <c r="J61" i="14" s="1"/>
  <c r="E61" i="14"/>
  <c r="F61" i="14" s="1"/>
  <c r="G61" i="14" s="1"/>
  <c r="L60" i="14"/>
  <c r="I60" i="14"/>
  <c r="J60" i="14" s="1"/>
  <c r="K60" i="14" s="1"/>
  <c r="E60" i="14"/>
  <c r="L59" i="14"/>
  <c r="I59" i="14"/>
  <c r="J59" i="14" s="1"/>
  <c r="E59" i="14"/>
  <c r="F59" i="14" s="1"/>
  <c r="L58" i="14"/>
  <c r="I58" i="14"/>
  <c r="J58" i="14" s="1"/>
  <c r="K58" i="14" s="1"/>
  <c r="E58" i="14"/>
  <c r="L57" i="14"/>
  <c r="I57" i="14"/>
  <c r="J57" i="14" s="1"/>
  <c r="E57" i="14"/>
  <c r="F57" i="14" s="1"/>
  <c r="G57" i="14" s="1"/>
  <c r="L56" i="14"/>
  <c r="I56" i="14"/>
  <c r="J56" i="14" s="1"/>
  <c r="E56" i="14"/>
  <c r="F56" i="14" s="1"/>
  <c r="L55" i="14"/>
  <c r="I55" i="14"/>
  <c r="J55" i="14" s="1"/>
  <c r="E55" i="14"/>
  <c r="F55" i="14" s="1"/>
  <c r="G55" i="14" s="1"/>
  <c r="L54" i="14"/>
  <c r="I54" i="14"/>
  <c r="J54" i="14" s="1"/>
  <c r="K54" i="14" s="1"/>
  <c r="E54" i="14"/>
  <c r="L53" i="14"/>
  <c r="I53" i="14"/>
  <c r="J53" i="14" s="1"/>
  <c r="K53" i="14" s="1"/>
  <c r="E53" i="14"/>
  <c r="F53" i="14" s="1"/>
  <c r="L52" i="14"/>
  <c r="I52" i="14"/>
  <c r="J52" i="14" s="1"/>
  <c r="K52" i="14" s="1"/>
  <c r="E52" i="14"/>
  <c r="F52" i="14" s="1"/>
  <c r="G52" i="14" s="1"/>
  <c r="L51" i="14"/>
  <c r="I51" i="14"/>
  <c r="J51" i="14" s="1"/>
  <c r="K51" i="14" s="1"/>
  <c r="E51" i="14"/>
  <c r="F51" i="14" s="1"/>
  <c r="L50" i="14"/>
  <c r="I50" i="14"/>
  <c r="J50" i="14" s="1"/>
  <c r="E50" i="14"/>
  <c r="L49" i="14"/>
  <c r="I49" i="14"/>
  <c r="J49" i="14" s="1"/>
  <c r="E49" i="14"/>
  <c r="L48" i="14"/>
  <c r="I48" i="14"/>
  <c r="J48" i="14" s="1"/>
  <c r="K48" i="14" s="1"/>
  <c r="E48" i="14"/>
  <c r="L47" i="14"/>
  <c r="I47" i="14"/>
  <c r="J47" i="14" s="1"/>
  <c r="E47" i="14"/>
  <c r="F47" i="14" s="1"/>
  <c r="G47" i="14" s="1"/>
  <c r="L46" i="14"/>
  <c r="I46" i="14"/>
  <c r="J46" i="14" s="1"/>
  <c r="K46" i="14" s="1"/>
  <c r="E46" i="14"/>
  <c r="F46" i="14" s="1"/>
  <c r="L45" i="14"/>
  <c r="I45" i="14"/>
  <c r="J45" i="14" s="1"/>
  <c r="K45" i="14" s="1"/>
  <c r="E45" i="14"/>
  <c r="L44" i="14"/>
  <c r="I44" i="14"/>
  <c r="E44" i="14"/>
  <c r="L43" i="14"/>
  <c r="I43" i="14"/>
  <c r="E43" i="14"/>
  <c r="F43" i="14" s="1"/>
  <c r="L42" i="14"/>
  <c r="I42" i="14"/>
  <c r="J42" i="14" s="1"/>
  <c r="N42" i="14" s="1"/>
  <c r="E42" i="14"/>
  <c r="F42" i="14" s="1"/>
  <c r="G42" i="14" s="1"/>
  <c r="L41" i="14"/>
  <c r="I41" i="14"/>
  <c r="J41" i="14" s="1"/>
  <c r="K41" i="14" s="1"/>
  <c r="E41" i="14"/>
  <c r="F41" i="14" s="1"/>
  <c r="L40" i="14"/>
  <c r="I40" i="14"/>
  <c r="J40" i="14" s="1"/>
  <c r="K40" i="14" s="1"/>
  <c r="E40" i="14"/>
  <c r="F40" i="14" s="1"/>
  <c r="L39" i="14"/>
  <c r="I39" i="14"/>
  <c r="J39" i="14" s="1"/>
  <c r="K39" i="14" s="1"/>
  <c r="E39" i="14"/>
  <c r="F39" i="14" s="1"/>
  <c r="L38" i="14"/>
  <c r="I38" i="14"/>
  <c r="M38" i="14" s="1"/>
  <c r="E38" i="14"/>
  <c r="F38" i="14" s="1"/>
  <c r="L37" i="14"/>
  <c r="I37" i="14"/>
  <c r="J37" i="14" s="1"/>
  <c r="E37" i="14"/>
  <c r="F37" i="14" s="1"/>
  <c r="G37" i="14" s="1"/>
  <c r="L36" i="14"/>
  <c r="I36" i="14"/>
  <c r="E36" i="14"/>
  <c r="F36" i="14" s="1"/>
  <c r="G36" i="14" s="1"/>
  <c r="L35" i="14"/>
  <c r="I35" i="14"/>
  <c r="E35" i="14"/>
  <c r="F35" i="14" s="1"/>
  <c r="L34" i="14"/>
  <c r="I34" i="14"/>
  <c r="M34" i="14" s="1"/>
  <c r="E34" i="14"/>
  <c r="F34" i="14" s="1"/>
  <c r="L33" i="14"/>
  <c r="I33" i="14"/>
  <c r="J33" i="14" s="1"/>
  <c r="E33" i="14"/>
  <c r="F33" i="14" s="1"/>
  <c r="L32" i="14"/>
  <c r="I32" i="14"/>
  <c r="J32" i="14" s="1"/>
  <c r="K32" i="14" s="1"/>
  <c r="E32" i="14"/>
  <c r="F32" i="14" s="1"/>
  <c r="L31" i="14"/>
  <c r="I31" i="14"/>
  <c r="J31" i="14" s="1"/>
  <c r="K31" i="14" s="1"/>
  <c r="E31" i="14"/>
  <c r="L30" i="14"/>
  <c r="I30" i="14"/>
  <c r="J30" i="14" s="1"/>
  <c r="K30" i="14" s="1"/>
  <c r="E30" i="14"/>
  <c r="L29" i="14"/>
  <c r="I29" i="14"/>
  <c r="J29" i="14" s="1"/>
  <c r="E29" i="14"/>
  <c r="F29" i="14" s="1"/>
  <c r="G29" i="14" s="1"/>
  <c r="L28" i="14"/>
  <c r="I28" i="14"/>
  <c r="J28" i="14" s="1"/>
  <c r="E28" i="14"/>
  <c r="L27" i="14"/>
  <c r="I27" i="14"/>
  <c r="J27" i="14" s="1"/>
  <c r="E27" i="14"/>
  <c r="L26" i="14"/>
  <c r="I26" i="14"/>
  <c r="J26" i="14" s="1"/>
  <c r="E26" i="14"/>
  <c r="F26" i="14" s="1"/>
  <c r="G26" i="14" s="1"/>
  <c r="L25" i="14"/>
  <c r="I25" i="14"/>
  <c r="J25" i="14" s="1"/>
  <c r="E25" i="14"/>
  <c r="F25" i="14" s="1"/>
  <c r="L24" i="14"/>
  <c r="I24" i="14"/>
  <c r="J24" i="14" s="1"/>
  <c r="K24" i="14" s="1"/>
  <c r="E24" i="14"/>
  <c r="F24" i="14" s="1"/>
  <c r="L23" i="14"/>
  <c r="I23" i="14"/>
  <c r="E23" i="14"/>
  <c r="F23" i="14" s="1"/>
  <c r="G23" i="14" s="1"/>
  <c r="L22" i="14"/>
  <c r="I22" i="14"/>
  <c r="J22" i="14" s="1"/>
  <c r="E22" i="14"/>
  <c r="F22" i="14" s="1"/>
  <c r="G22" i="14" s="1"/>
  <c r="L21" i="14"/>
  <c r="I21" i="14"/>
  <c r="J21" i="14" s="1"/>
  <c r="K21" i="14" s="1"/>
  <c r="E21" i="14"/>
  <c r="F21" i="14" s="1"/>
  <c r="G21" i="14" s="1"/>
  <c r="L20" i="14"/>
  <c r="I20" i="14"/>
  <c r="J20" i="14" s="1"/>
  <c r="E20" i="14"/>
  <c r="L19" i="14"/>
  <c r="I19" i="14"/>
  <c r="J19" i="14" s="1"/>
  <c r="E19" i="14"/>
  <c r="L18" i="14"/>
  <c r="I18" i="14"/>
  <c r="J18" i="14" s="1"/>
  <c r="E18" i="14"/>
  <c r="F18" i="14" s="1"/>
  <c r="L17" i="14"/>
  <c r="I17" i="14"/>
  <c r="J17" i="14" s="1"/>
  <c r="K17" i="14" s="1"/>
  <c r="E17" i="14"/>
  <c r="F17" i="14" s="1"/>
  <c r="L16" i="14"/>
  <c r="I16" i="14"/>
  <c r="J16" i="14" s="1"/>
  <c r="K16" i="14" s="1"/>
  <c r="E16" i="14"/>
  <c r="F16" i="14" s="1"/>
  <c r="L15" i="14"/>
  <c r="I15" i="14"/>
  <c r="J15" i="14" s="1"/>
  <c r="E15" i="14"/>
  <c r="F15" i="14" s="1"/>
  <c r="L14" i="14"/>
  <c r="I14" i="14"/>
  <c r="J14" i="14" s="1"/>
  <c r="N14" i="14" s="1"/>
  <c r="E14" i="14"/>
  <c r="F14" i="14" s="1"/>
  <c r="L13" i="14"/>
  <c r="I13" i="14"/>
  <c r="J13" i="14" s="1"/>
  <c r="K13" i="14" s="1"/>
  <c r="E13" i="14"/>
  <c r="L12" i="14"/>
  <c r="I12" i="14"/>
  <c r="J12" i="14" s="1"/>
  <c r="E12" i="14"/>
  <c r="F12" i="14" s="1"/>
  <c r="L11" i="14"/>
  <c r="I11" i="14"/>
  <c r="E11" i="14"/>
  <c r="F11" i="14" s="1"/>
  <c r="L10" i="14"/>
  <c r="I10" i="14"/>
  <c r="E10" i="14"/>
  <c r="F10" i="14" s="1"/>
  <c r="L9" i="14"/>
  <c r="I9" i="14"/>
  <c r="E9" i="14"/>
  <c r="L8" i="14"/>
  <c r="I8" i="14"/>
  <c r="E8" i="14"/>
  <c r="F8" i="14" s="1"/>
  <c r="L7" i="14"/>
  <c r="I7" i="14"/>
  <c r="J7" i="14" s="1"/>
  <c r="E7" i="14"/>
  <c r="F7" i="14" s="1"/>
  <c r="O5" i="14"/>
  <c r="K5" i="14"/>
  <c r="G5" i="14"/>
  <c r="J102" i="14"/>
  <c r="K102" i="14" s="1"/>
  <c r="J81" i="14"/>
  <c r="K81" i="14" s="1"/>
  <c r="F85" i="14"/>
  <c r="I41" i="12"/>
  <c r="S41" i="73" s="1"/>
  <c r="E76" i="13"/>
  <c r="AV7" i="69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BD76" i="69"/>
  <c r="BE76" i="69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G130" i="15"/>
  <c r="G131" i="15"/>
  <c r="G132" i="15"/>
  <c r="G133" i="15"/>
  <c r="G134" i="15"/>
  <c r="G136" i="15"/>
  <c r="G135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6" i="15"/>
  <c r="G124" i="15"/>
  <c r="G125" i="15"/>
  <c r="G127" i="15"/>
  <c r="G86" i="15"/>
  <c r="G87" i="15"/>
  <c r="G88" i="15"/>
  <c r="G89" i="15"/>
  <c r="G90" i="15"/>
  <c r="G91" i="15"/>
  <c r="G92" i="15"/>
  <c r="G78" i="15"/>
  <c r="G79" i="15"/>
  <c r="G80" i="15"/>
  <c r="G81" i="15"/>
  <c r="G82" i="15"/>
  <c r="G83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L3" i="15"/>
  <c r="AC7" i="29"/>
  <c r="BC20" i="9"/>
  <c r="BC24" i="9"/>
  <c r="BC28" i="9"/>
  <c r="BC32" i="9"/>
  <c r="BC37" i="9"/>
  <c r="BC40" i="9"/>
  <c r="BC45" i="9"/>
  <c r="BC46" i="9"/>
  <c r="BC49" i="9"/>
  <c r="BC50" i="9"/>
  <c r="BC54" i="9"/>
  <c r="BC55" i="9"/>
  <c r="BC58" i="9"/>
  <c r="BC62" i="9"/>
  <c r="BC65" i="9"/>
  <c r="BC66" i="9"/>
  <c r="BC70" i="9"/>
  <c r="BC71" i="9"/>
  <c r="BC74" i="9"/>
  <c r="O134" i="15"/>
  <c r="Q134" i="15" s="1"/>
  <c r="O136" i="15"/>
  <c r="Q136" i="15" s="1"/>
  <c r="O124" i="15"/>
  <c r="Q124" i="15" s="1"/>
  <c r="O125" i="15"/>
  <c r="Q125" i="15" s="1"/>
  <c r="O87" i="15"/>
  <c r="Q87" i="15" s="1"/>
  <c r="O34" i="15"/>
  <c r="Q34" i="15" s="1"/>
  <c r="AV34" i="9" s="1"/>
  <c r="O75" i="15"/>
  <c r="Q75" i="15" s="1"/>
  <c r="AV75" i="9" s="1"/>
  <c r="E131" i="15"/>
  <c r="E136" i="15"/>
  <c r="U15" i="29" s="1"/>
  <c r="E100" i="15"/>
  <c r="E102" i="15"/>
  <c r="E112" i="15"/>
  <c r="E116" i="15"/>
  <c r="E88" i="15"/>
  <c r="E92" i="15"/>
  <c r="E14" i="15"/>
  <c r="AU14" i="9" s="1"/>
  <c r="E26" i="15"/>
  <c r="E30" i="15"/>
  <c r="AU30" i="9" s="1"/>
  <c r="E43" i="15"/>
  <c r="AU43" i="9" s="1"/>
  <c r="E47" i="15"/>
  <c r="AU47" i="9" s="1"/>
  <c r="E59" i="15"/>
  <c r="AU59" i="9" s="1"/>
  <c r="E63" i="15"/>
  <c r="AU63" i="9" s="1"/>
  <c r="E139" i="15"/>
  <c r="I139" i="15"/>
  <c r="J139" i="15" s="1"/>
  <c r="E73" i="68"/>
  <c r="G14" i="29"/>
  <c r="G16" i="29"/>
  <c r="G13" i="29"/>
  <c r="G12" i="29"/>
  <c r="G11" i="29"/>
  <c r="G15" i="29"/>
  <c r="G7" i="29"/>
  <c r="G8" i="29"/>
  <c r="F75" i="27"/>
  <c r="F74" i="27"/>
  <c r="F73" i="27"/>
  <c r="G73" i="27" s="1"/>
  <c r="F72" i="27"/>
  <c r="G72" i="27" s="1"/>
  <c r="F71" i="27"/>
  <c r="G71" i="27" s="1"/>
  <c r="F70" i="27"/>
  <c r="F69" i="27"/>
  <c r="G69" i="27" s="1"/>
  <c r="F68" i="27"/>
  <c r="G68" i="27" s="1"/>
  <c r="F67" i="27"/>
  <c r="F66" i="27"/>
  <c r="F65" i="27"/>
  <c r="F64" i="27"/>
  <c r="G64" i="27" s="1"/>
  <c r="F63" i="27"/>
  <c r="G63" i="27" s="1"/>
  <c r="F62" i="27"/>
  <c r="F61" i="27"/>
  <c r="G61" i="27" s="1"/>
  <c r="F60" i="27"/>
  <c r="G60" i="27" s="1"/>
  <c r="F59" i="27"/>
  <c r="G59" i="27" s="1"/>
  <c r="F58" i="27"/>
  <c r="F57" i="27"/>
  <c r="F56" i="27"/>
  <c r="G56" i="27" s="1"/>
  <c r="F55" i="27"/>
  <c r="F54" i="27"/>
  <c r="F53" i="27"/>
  <c r="F52" i="27"/>
  <c r="G52" i="27" s="1"/>
  <c r="F51" i="27"/>
  <c r="G51" i="27" s="1"/>
  <c r="F50" i="27"/>
  <c r="F49" i="27"/>
  <c r="F48" i="27"/>
  <c r="G48" i="27" s="1"/>
  <c r="F47" i="27"/>
  <c r="G47" i="27" s="1"/>
  <c r="F46" i="27"/>
  <c r="F45" i="27"/>
  <c r="F44" i="27"/>
  <c r="G44" i="27" s="1"/>
  <c r="F43" i="27"/>
  <c r="F42" i="27"/>
  <c r="F41" i="27"/>
  <c r="F40" i="27"/>
  <c r="G40" i="27" s="1"/>
  <c r="F39" i="27"/>
  <c r="G39" i="27" s="1"/>
  <c r="F38" i="27"/>
  <c r="F37" i="27"/>
  <c r="F36" i="27"/>
  <c r="G36" i="27" s="1"/>
  <c r="F35" i="27"/>
  <c r="F34" i="27"/>
  <c r="F33" i="27"/>
  <c r="G33" i="27" s="1"/>
  <c r="F32" i="27"/>
  <c r="G32" i="27" s="1"/>
  <c r="F31" i="27"/>
  <c r="F30" i="27"/>
  <c r="F29" i="27"/>
  <c r="F28" i="27"/>
  <c r="G28" i="27" s="1"/>
  <c r="F27" i="27"/>
  <c r="G27" i="27" s="1"/>
  <c r="F26" i="27"/>
  <c r="F25" i="27"/>
  <c r="F24" i="27"/>
  <c r="F23" i="27"/>
  <c r="G23" i="27" s="1"/>
  <c r="F22" i="27"/>
  <c r="F21" i="27"/>
  <c r="F20" i="27"/>
  <c r="G20" i="27" s="1"/>
  <c r="F19" i="27"/>
  <c r="G19" i="27" s="1"/>
  <c r="F18" i="27"/>
  <c r="F17" i="27"/>
  <c r="F16" i="27"/>
  <c r="G16" i="27" s="1"/>
  <c r="F15" i="27"/>
  <c r="G15" i="27" s="1"/>
  <c r="F14" i="27"/>
  <c r="F13" i="27"/>
  <c r="F12" i="27"/>
  <c r="G12" i="27" s="1"/>
  <c r="F11" i="27"/>
  <c r="F10" i="27"/>
  <c r="F9" i="27"/>
  <c r="F8" i="27"/>
  <c r="G8" i="27" s="1"/>
  <c r="F75" i="28"/>
  <c r="G75" i="28" s="1"/>
  <c r="F74" i="28"/>
  <c r="G74" i="28" s="1"/>
  <c r="F73" i="28"/>
  <c r="G73" i="28" s="1"/>
  <c r="F72" i="28"/>
  <c r="F71" i="28"/>
  <c r="G71" i="28" s="1"/>
  <c r="F70" i="28"/>
  <c r="G70" i="28" s="1"/>
  <c r="F69" i="28"/>
  <c r="F68" i="28"/>
  <c r="G68" i="28" s="1"/>
  <c r="F67" i="28"/>
  <c r="F66" i="28"/>
  <c r="G66" i="28" s="1"/>
  <c r="F65" i="28"/>
  <c r="G65" i="28" s="1"/>
  <c r="F64" i="28"/>
  <c r="G64" i="28" s="1"/>
  <c r="F63" i="28"/>
  <c r="F62" i="28"/>
  <c r="G62" i="28" s="1"/>
  <c r="F61" i="28"/>
  <c r="G61" i="28" s="1"/>
  <c r="F60" i="28"/>
  <c r="F59" i="28"/>
  <c r="F58" i="28"/>
  <c r="G58" i="28" s="1"/>
  <c r="F57" i="28"/>
  <c r="F56" i="28"/>
  <c r="G56" i="28" s="1"/>
  <c r="F55" i="28"/>
  <c r="F54" i="28"/>
  <c r="G54" i="28" s="1"/>
  <c r="F53" i="28"/>
  <c r="G53" i="28" s="1"/>
  <c r="F52" i="28"/>
  <c r="F51" i="28"/>
  <c r="G51" i="28" s="1"/>
  <c r="F50" i="28"/>
  <c r="G50" i="28" s="1"/>
  <c r="F49" i="28"/>
  <c r="F48" i="28"/>
  <c r="G48" i="28" s="1"/>
  <c r="F47" i="28"/>
  <c r="F46" i="28"/>
  <c r="F45" i="28"/>
  <c r="G45" i="28" s="1"/>
  <c r="F44" i="28"/>
  <c r="F43" i="28"/>
  <c r="F42" i="28"/>
  <c r="G42" i="28" s="1"/>
  <c r="F41" i="28"/>
  <c r="G41" i="28" s="1"/>
  <c r="F40" i="28"/>
  <c r="F39" i="28"/>
  <c r="F38" i="28"/>
  <c r="G38" i="28" s="1"/>
  <c r="F37" i="28"/>
  <c r="G37" i="28" s="1"/>
  <c r="F36" i="28"/>
  <c r="F35" i="28"/>
  <c r="G35" i="28" s="1"/>
  <c r="F34" i="28"/>
  <c r="G34" i="28" s="1"/>
  <c r="F33" i="28"/>
  <c r="G33" i="28" s="1"/>
  <c r="F32" i="28"/>
  <c r="F31" i="28"/>
  <c r="G31" i="28" s="1"/>
  <c r="F30" i="28"/>
  <c r="G30" i="28" s="1"/>
  <c r="F29" i="28"/>
  <c r="G29" i="28" s="1"/>
  <c r="F28" i="28"/>
  <c r="G28" i="28" s="1"/>
  <c r="F27" i="28"/>
  <c r="F26" i="28"/>
  <c r="G26" i="28" s="1"/>
  <c r="F25" i="28"/>
  <c r="G25" i="28" s="1"/>
  <c r="F24" i="28"/>
  <c r="F23" i="28"/>
  <c r="F22" i="28"/>
  <c r="G22" i="28" s="1"/>
  <c r="F21" i="28"/>
  <c r="G21" i="28" s="1"/>
  <c r="F20" i="28"/>
  <c r="F19" i="28"/>
  <c r="F18" i="28"/>
  <c r="F17" i="28"/>
  <c r="G17" i="28" s="1"/>
  <c r="F16" i="28"/>
  <c r="F15" i="28"/>
  <c r="F14" i="28"/>
  <c r="G14" i="28" s="1"/>
  <c r="F13" i="28"/>
  <c r="G13" i="28" s="1"/>
  <c r="F12" i="28"/>
  <c r="F11" i="28"/>
  <c r="F10" i="28"/>
  <c r="G10" i="28" s="1"/>
  <c r="F9" i="28"/>
  <c r="G9" i="28" s="1"/>
  <c r="F8" i="28"/>
  <c r="G8" i="28" s="1"/>
  <c r="F75" i="26"/>
  <c r="G75" i="26" s="1"/>
  <c r="F74" i="26"/>
  <c r="G74" i="26" s="1"/>
  <c r="F73" i="26"/>
  <c r="G73" i="26" s="1"/>
  <c r="F72" i="26"/>
  <c r="F71" i="26"/>
  <c r="G71" i="26" s="1"/>
  <c r="F70" i="26"/>
  <c r="G70" i="26" s="1"/>
  <c r="F69" i="26"/>
  <c r="F68" i="26"/>
  <c r="F67" i="26"/>
  <c r="G67" i="26" s="1"/>
  <c r="F66" i="26"/>
  <c r="G66" i="26" s="1"/>
  <c r="F65" i="26"/>
  <c r="F64" i="26"/>
  <c r="F63" i="26"/>
  <c r="G63" i="26" s="1"/>
  <c r="F62" i="26"/>
  <c r="G62" i="26" s="1"/>
  <c r="F61" i="26"/>
  <c r="F60" i="26"/>
  <c r="G60" i="26" s="1"/>
  <c r="F59" i="26"/>
  <c r="G59" i="26" s="1"/>
  <c r="F58" i="26"/>
  <c r="G58" i="26" s="1"/>
  <c r="F57" i="26"/>
  <c r="F56" i="26"/>
  <c r="F55" i="26"/>
  <c r="G55" i="26" s="1"/>
  <c r="F54" i="26"/>
  <c r="G54" i="26" s="1"/>
  <c r="F53" i="26"/>
  <c r="F52" i="26"/>
  <c r="G52" i="26" s="1"/>
  <c r="F51" i="26"/>
  <c r="G51" i="26" s="1"/>
  <c r="F50" i="26"/>
  <c r="G50" i="26" s="1"/>
  <c r="F49" i="26"/>
  <c r="F48" i="26"/>
  <c r="F47" i="26"/>
  <c r="G47" i="26" s="1"/>
  <c r="F46" i="26"/>
  <c r="G46" i="26" s="1"/>
  <c r="F45" i="26"/>
  <c r="F44" i="26"/>
  <c r="F43" i="26"/>
  <c r="G43" i="26" s="1"/>
  <c r="F42" i="26"/>
  <c r="G42" i="26" s="1"/>
  <c r="F41" i="26"/>
  <c r="F40" i="26"/>
  <c r="F39" i="26"/>
  <c r="G39" i="26" s="1"/>
  <c r="F38" i="26"/>
  <c r="G38" i="26" s="1"/>
  <c r="F37" i="26"/>
  <c r="F36" i="26"/>
  <c r="G36" i="26" s="1"/>
  <c r="F35" i="26"/>
  <c r="G35" i="26" s="1"/>
  <c r="F34" i="26"/>
  <c r="G34" i="26" s="1"/>
  <c r="F33" i="26"/>
  <c r="F32" i="26"/>
  <c r="G32" i="26" s="1"/>
  <c r="F31" i="26"/>
  <c r="G31" i="26" s="1"/>
  <c r="F30" i="26"/>
  <c r="G30" i="26" s="1"/>
  <c r="F29" i="26"/>
  <c r="F28" i="26"/>
  <c r="G28" i="26" s="1"/>
  <c r="F27" i="26"/>
  <c r="G27" i="26" s="1"/>
  <c r="F26" i="26"/>
  <c r="G26" i="26" s="1"/>
  <c r="F25" i="26"/>
  <c r="F24" i="26"/>
  <c r="F23" i="26"/>
  <c r="G23" i="26" s="1"/>
  <c r="F22" i="26"/>
  <c r="G22" i="26" s="1"/>
  <c r="F21" i="26"/>
  <c r="F20" i="26"/>
  <c r="F19" i="26"/>
  <c r="G19" i="26" s="1"/>
  <c r="F18" i="26"/>
  <c r="F17" i="26"/>
  <c r="F16" i="26"/>
  <c r="F15" i="26"/>
  <c r="G15" i="26" s="1"/>
  <c r="F14" i="26"/>
  <c r="F13" i="26"/>
  <c r="F12" i="26"/>
  <c r="F11" i="26"/>
  <c r="G11" i="26" s="1"/>
  <c r="F10" i="26"/>
  <c r="G10" i="26" s="1"/>
  <c r="F9" i="26"/>
  <c r="F8" i="26"/>
  <c r="F7" i="27"/>
  <c r="G7" i="27" s="1"/>
  <c r="F7" i="28"/>
  <c r="F7" i="26"/>
  <c r="G7" i="26" s="1"/>
  <c r="I125" i="15"/>
  <c r="E125" i="15"/>
  <c r="I124" i="15"/>
  <c r="E124" i="15"/>
  <c r="AT36" i="30"/>
  <c r="AT37" i="30"/>
  <c r="AB37" i="30"/>
  <c r="K36" i="30"/>
  <c r="AK70" i="68"/>
  <c r="AK76" i="69"/>
  <c r="AL76" i="69"/>
  <c r="AM76" i="69"/>
  <c r="AN76" i="69"/>
  <c r="AO76" i="69"/>
  <c r="AP76" i="69"/>
  <c r="AQ76" i="69"/>
  <c r="AR76" i="69"/>
  <c r="AS76" i="69"/>
  <c r="C4" i="69"/>
  <c r="D4" i="69" s="1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 s="1"/>
  <c r="U4" i="69" s="1"/>
  <c r="V4" i="69" s="1"/>
  <c r="W4" i="69" s="1"/>
  <c r="X4" i="69" s="1"/>
  <c r="Y4" i="69" s="1"/>
  <c r="AA4" i="69"/>
  <c r="AB4" i="69"/>
  <c r="AF4" i="69"/>
  <c r="AG4" i="69" s="1"/>
  <c r="AH4" i="69" s="1"/>
  <c r="AI4" i="69" s="1"/>
  <c r="AJ4" i="69" s="1"/>
  <c r="AK4" i="69" s="1"/>
  <c r="AL4" i="69" s="1"/>
  <c r="AS4" i="69" s="1"/>
  <c r="AT4" i="69" s="1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P12" i="9"/>
  <c r="AO16" i="9"/>
  <c r="AP26" i="9"/>
  <c r="AO30" i="9"/>
  <c r="AP34" i="9"/>
  <c r="AP38" i="9"/>
  <c r="AP45" i="9"/>
  <c r="AP50" i="9"/>
  <c r="AP52" i="9"/>
  <c r="AP53" i="9"/>
  <c r="AP54" i="9"/>
  <c r="AO58" i="9"/>
  <c r="AP60" i="9"/>
  <c r="AP62" i="9"/>
  <c r="AO66" i="9"/>
  <c r="AP70" i="9"/>
  <c r="AO74" i="9"/>
  <c r="E83" i="15"/>
  <c r="I130" i="15"/>
  <c r="I131" i="15"/>
  <c r="I132" i="15"/>
  <c r="I133" i="15"/>
  <c r="I134" i="15"/>
  <c r="I136" i="15"/>
  <c r="I135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J121" i="15" s="1"/>
  <c r="I122" i="15"/>
  <c r="I123" i="15"/>
  <c r="I126" i="15"/>
  <c r="I127" i="15"/>
  <c r="I86" i="15"/>
  <c r="I87" i="15"/>
  <c r="J87" i="15" s="1"/>
  <c r="I88" i="15"/>
  <c r="I89" i="15"/>
  <c r="I90" i="15"/>
  <c r="I91" i="15"/>
  <c r="I92" i="15"/>
  <c r="I78" i="15"/>
  <c r="I79" i="15"/>
  <c r="I80" i="15"/>
  <c r="I81" i="15"/>
  <c r="I82" i="15"/>
  <c r="I83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J19" i="15" s="1"/>
  <c r="BA19" i="9" s="1"/>
  <c r="I20" i="15"/>
  <c r="I21" i="15"/>
  <c r="I22" i="15"/>
  <c r="I23" i="15"/>
  <c r="I24" i="15"/>
  <c r="I25" i="15"/>
  <c r="I26" i="15"/>
  <c r="I27" i="15"/>
  <c r="I28" i="15"/>
  <c r="I29" i="15"/>
  <c r="I30" i="15"/>
  <c r="I31" i="15"/>
  <c r="J31" i="15" s="1"/>
  <c r="BA31" i="9" s="1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I46" i="15"/>
  <c r="I47" i="15"/>
  <c r="I48" i="15"/>
  <c r="J48" i="15" s="1"/>
  <c r="BA48" i="9" s="1"/>
  <c r="I49" i="15"/>
  <c r="I50" i="15"/>
  <c r="I51" i="15"/>
  <c r="I52" i="15"/>
  <c r="I53" i="15"/>
  <c r="I54" i="15"/>
  <c r="I55" i="15"/>
  <c r="I56" i="15"/>
  <c r="I57" i="15"/>
  <c r="I58" i="15"/>
  <c r="I59" i="15"/>
  <c r="I60" i="15"/>
  <c r="J60" i="15" s="1"/>
  <c r="BA60" i="9" s="1"/>
  <c r="I61" i="15"/>
  <c r="I62" i="15"/>
  <c r="I63" i="15"/>
  <c r="I64" i="15"/>
  <c r="J64" i="15" s="1"/>
  <c r="I65" i="15"/>
  <c r="I66" i="15"/>
  <c r="I67" i="15"/>
  <c r="I68" i="15"/>
  <c r="J68" i="15" s="1"/>
  <c r="I69" i="15"/>
  <c r="I70" i="15"/>
  <c r="I71" i="15"/>
  <c r="I72" i="15"/>
  <c r="J72" i="15" s="1"/>
  <c r="BA72" i="9" s="1"/>
  <c r="I73" i="15"/>
  <c r="I74" i="15"/>
  <c r="I75" i="15"/>
  <c r="P137" i="15"/>
  <c r="P128" i="15"/>
  <c r="P93" i="15"/>
  <c r="P84" i="15"/>
  <c r="K84" i="15"/>
  <c r="H137" i="15"/>
  <c r="H128" i="15"/>
  <c r="H93" i="15"/>
  <c r="H84" i="15"/>
  <c r="E7" i="68"/>
  <c r="AC7" i="68" s="1"/>
  <c r="X7" i="68"/>
  <c r="Q7" i="68"/>
  <c r="X8" i="68"/>
  <c r="Q8" i="68"/>
  <c r="X9" i="68"/>
  <c r="Q9" i="68"/>
  <c r="X10" i="68"/>
  <c r="Q10" i="68"/>
  <c r="X11" i="68"/>
  <c r="Q11" i="68"/>
  <c r="X12" i="68"/>
  <c r="Q12" i="68"/>
  <c r="X13" i="68"/>
  <c r="Q13" i="68"/>
  <c r="X14" i="68"/>
  <c r="Q14" i="68"/>
  <c r="X15" i="68"/>
  <c r="Q15" i="68"/>
  <c r="X16" i="68"/>
  <c r="Q16" i="68"/>
  <c r="X17" i="68"/>
  <c r="Q17" i="68"/>
  <c r="X18" i="68"/>
  <c r="Q18" i="68"/>
  <c r="X19" i="68"/>
  <c r="Q19" i="68"/>
  <c r="X20" i="68"/>
  <c r="Q20" i="68"/>
  <c r="X21" i="68"/>
  <c r="Q21" i="68"/>
  <c r="X22" i="68"/>
  <c r="Q22" i="68"/>
  <c r="X23" i="68"/>
  <c r="AE23" i="68" s="1"/>
  <c r="Q23" i="68"/>
  <c r="X24" i="68"/>
  <c r="Q24" i="68"/>
  <c r="X25" i="68"/>
  <c r="Q25" i="68"/>
  <c r="X26" i="68"/>
  <c r="Q26" i="68"/>
  <c r="X27" i="68"/>
  <c r="AE27" i="68" s="1"/>
  <c r="C27" i="67" s="1"/>
  <c r="Q27" i="68"/>
  <c r="X28" i="68"/>
  <c r="Q28" i="68"/>
  <c r="X29" i="68"/>
  <c r="Q29" i="68"/>
  <c r="X30" i="68"/>
  <c r="Q30" i="68"/>
  <c r="X31" i="68"/>
  <c r="AE31" i="68" s="1"/>
  <c r="Q31" i="68"/>
  <c r="X32" i="68"/>
  <c r="Q32" i="68"/>
  <c r="X33" i="68"/>
  <c r="Q33" i="68"/>
  <c r="X34" i="68"/>
  <c r="Q34" i="68"/>
  <c r="X35" i="68"/>
  <c r="AE35" i="68" s="1"/>
  <c r="AQ35" i="68" s="1"/>
  <c r="Y35" i="12" s="1"/>
  <c r="Q35" i="68"/>
  <c r="X36" i="68"/>
  <c r="Q36" i="68"/>
  <c r="X37" i="68"/>
  <c r="Q37" i="68"/>
  <c r="X38" i="68"/>
  <c r="Q38" i="68"/>
  <c r="X39" i="68"/>
  <c r="AE39" i="68" s="1"/>
  <c r="C39" i="67" s="1"/>
  <c r="Q39" i="68"/>
  <c r="X40" i="68"/>
  <c r="Q40" i="68"/>
  <c r="X41" i="68"/>
  <c r="Q41" i="68"/>
  <c r="X42" i="68"/>
  <c r="Q42" i="68"/>
  <c r="X43" i="68"/>
  <c r="AE43" i="68" s="1"/>
  <c r="Q43" i="68"/>
  <c r="X44" i="68"/>
  <c r="Q44" i="68"/>
  <c r="X45" i="68"/>
  <c r="Q45" i="68"/>
  <c r="X46" i="68"/>
  <c r="Q46" i="68"/>
  <c r="X47" i="68"/>
  <c r="AE47" i="68" s="1"/>
  <c r="Q47" i="68"/>
  <c r="X48" i="68"/>
  <c r="Q48" i="68"/>
  <c r="X49" i="68"/>
  <c r="Q49" i="68"/>
  <c r="X50" i="68"/>
  <c r="Q50" i="68"/>
  <c r="X51" i="68"/>
  <c r="AE51" i="68" s="1"/>
  <c r="Q51" i="68"/>
  <c r="X52" i="68"/>
  <c r="Q52" i="68"/>
  <c r="X53" i="68"/>
  <c r="Q53" i="68"/>
  <c r="X54" i="68"/>
  <c r="Q54" i="68"/>
  <c r="X55" i="68"/>
  <c r="AE55" i="68" s="1"/>
  <c r="C55" i="67" s="1"/>
  <c r="Q55" i="68"/>
  <c r="X56" i="68"/>
  <c r="Q56" i="68"/>
  <c r="X57" i="68"/>
  <c r="Q57" i="68"/>
  <c r="X58" i="68"/>
  <c r="Q58" i="68"/>
  <c r="X59" i="68"/>
  <c r="AE59" i="68" s="1"/>
  <c r="C59" i="67" s="1"/>
  <c r="Q59" i="68"/>
  <c r="X60" i="68"/>
  <c r="Q60" i="68"/>
  <c r="X61" i="68"/>
  <c r="Q61" i="68"/>
  <c r="X62" i="68"/>
  <c r="Q62" i="68"/>
  <c r="X63" i="68"/>
  <c r="AE63" i="68" s="1"/>
  <c r="C63" i="67" s="1"/>
  <c r="Q63" i="68"/>
  <c r="X64" i="68"/>
  <c r="Q64" i="68"/>
  <c r="X65" i="68"/>
  <c r="Q65" i="68"/>
  <c r="X66" i="68"/>
  <c r="Q66" i="68"/>
  <c r="X67" i="68"/>
  <c r="AE67" i="68" s="1"/>
  <c r="C67" i="67" s="1"/>
  <c r="Q67" i="68"/>
  <c r="X68" i="68"/>
  <c r="Q68" i="68"/>
  <c r="X69" i="68"/>
  <c r="Q69" i="68"/>
  <c r="X70" i="68"/>
  <c r="Q70" i="68"/>
  <c r="X71" i="68"/>
  <c r="AE71" i="68" s="1"/>
  <c r="Q71" i="68"/>
  <c r="X72" i="68"/>
  <c r="Q72" i="68"/>
  <c r="X73" i="68"/>
  <c r="Q73" i="68"/>
  <c r="X74" i="68"/>
  <c r="Q74" i="68"/>
  <c r="X75" i="68"/>
  <c r="AE75" i="68" s="1"/>
  <c r="Q75" i="68"/>
  <c r="E8" i="68"/>
  <c r="E9" i="68"/>
  <c r="E10" i="68"/>
  <c r="H10" i="68" s="1"/>
  <c r="D10" i="67" s="1"/>
  <c r="E11" i="68"/>
  <c r="H11" i="68" s="1"/>
  <c r="D11" i="67" s="1"/>
  <c r="E12" i="68"/>
  <c r="H12" i="68" s="1"/>
  <c r="D12" i="67" s="1"/>
  <c r="E13" i="68"/>
  <c r="E14" i="68"/>
  <c r="H14" i="68" s="1"/>
  <c r="D14" i="67" s="1"/>
  <c r="E15" i="68"/>
  <c r="H15" i="68" s="1"/>
  <c r="D15" i="67" s="1"/>
  <c r="E16" i="68"/>
  <c r="E17" i="68"/>
  <c r="AC17" i="68" s="1"/>
  <c r="E18" i="68"/>
  <c r="H18" i="68" s="1"/>
  <c r="D18" i="67" s="1"/>
  <c r="E19" i="68"/>
  <c r="E20" i="68"/>
  <c r="H20" i="68"/>
  <c r="D20" i="67" s="1"/>
  <c r="E21" i="68"/>
  <c r="E22" i="68"/>
  <c r="G22" i="68" s="1"/>
  <c r="E23" i="68"/>
  <c r="E24" i="68"/>
  <c r="E25" i="68"/>
  <c r="E26" i="68"/>
  <c r="E27" i="68"/>
  <c r="E28" i="68"/>
  <c r="E29" i="68"/>
  <c r="E30" i="68"/>
  <c r="E31" i="68"/>
  <c r="E32" i="68"/>
  <c r="E33" i="68"/>
  <c r="E34" i="68"/>
  <c r="G34" i="68" s="1"/>
  <c r="E35" i="68"/>
  <c r="AB35" i="68" s="1"/>
  <c r="E36" i="68"/>
  <c r="E37" i="68"/>
  <c r="E38" i="68"/>
  <c r="E39" i="68"/>
  <c r="E40" i="68"/>
  <c r="H40" i="68" s="1"/>
  <c r="D40" i="67" s="1"/>
  <c r="E41" i="68"/>
  <c r="E42" i="68"/>
  <c r="E43" i="68"/>
  <c r="E44" i="68"/>
  <c r="H44" i="68" s="1"/>
  <c r="D44" i="67" s="1"/>
  <c r="E45" i="68"/>
  <c r="H45" i="68"/>
  <c r="D45" i="67" s="1"/>
  <c r="E46" i="68"/>
  <c r="G46" i="68" s="1"/>
  <c r="E47" i="68"/>
  <c r="H47" i="68" s="1"/>
  <c r="D47" i="67" s="1"/>
  <c r="E48" i="68"/>
  <c r="E49" i="68"/>
  <c r="H49" i="68" s="1"/>
  <c r="D49" i="67" s="1"/>
  <c r="E50" i="68"/>
  <c r="AB50" i="68" s="1"/>
  <c r="E51" i="68"/>
  <c r="E52" i="68"/>
  <c r="E53" i="68"/>
  <c r="E54" i="68"/>
  <c r="AB54" i="68" s="1"/>
  <c r="E55" i="68"/>
  <c r="E56" i="68"/>
  <c r="E57" i="68"/>
  <c r="E58" i="68"/>
  <c r="E59" i="68"/>
  <c r="E60" i="68"/>
  <c r="H60" i="68"/>
  <c r="D60" i="67" s="1"/>
  <c r="E61" i="68"/>
  <c r="G61" i="68" s="1"/>
  <c r="E62" i="68"/>
  <c r="E63" i="68"/>
  <c r="AB63" i="68" s="1"/>
  <c r="E64" i="68"/>
  <c r="E65" i="68"/>
  <c r="E66" i="68"/>
  <c r="G66" i="68" s="1"/>
  <c r="E67" i="68"/>
  <c r="E68" i="68"/>
  <c r="H68" i="68" s="1"/>
  <c r="D68" i="67" s="1"/>
  <c r="E69" i="68"/>
  <c r="E70" i="68"/>
  <c r="E71" i="68"/>
  <c r="E72" i="68"/>
  <c r="E74" i="68"/>
  <c r="E75" i="68"/>
  <c r="G75" i="68" s="1"/>
  <c r="AK9" i="68"/>
  <c r="AO9" i="68" s="1"/>
  <c r="AK12" i="68"/>
  <c r="AN12" i="68" s="1"/>
  <c r="F20" i="67"/>
  <c r="AK29" i="68"/>
  <c r="AK33" i="68"/>
  <c r="AK36" i="68"/>
  <c r="AM36" i="68" s="1"/>
  <c r="G36" i="67" s="1"/>
  <c r="AK40" i="68"/>
  <c r="AL40" i="68" s="1"/>
  <c r="AK49" i="68"/>
  <c r="AL49" i="68" s="1"/>
  <c r="AK68" i="68"/>
  <c r="AN68" i="68" s="1"/>
  <c r="AK71" i="68"/>
  <c r="AK72" i="68"/>
  <c r="AN72" i="68" s="1"/>
  <c r="AK20" i="68"/>
  <c r="AL20" i="68" s="1"/>
  <c r="I7" i="67"/>
  <c r="I8" i="67"/>
  <c r="I9" i="67"/>
  <c r="I76" i="67" s="1"/>
  <c r="I10" i="67"/>
  <c r="I11" i="67"/>
  <c r="I12" i="67"/>
  <c r="I13" i="67"/>
  <c r="I14" i="67"/>
  <c r="I15" i="67"/>
  <c r="I16" i="67"/>
  <c r="I17" i="67"/>
  <c r="AM18" i="68"/>
  <c r="G18" i="67" s="1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AV17" i="30"/>
  <c r="AV20" i="30"/>
  <c r="AE9" i="30"/>
  <c r="BC75" i="9"/>
  <c r="BC73" i="9"/>
  <c r="BC72" i="9"/>
  <c r="BC69" i="9"/>
  <c r="BC68" i="9"/>
  <c r="BC67" i="9"/>
  <c r="BC64" i="9"/>
  <c r="BC63" i="9"/>
  <c r="BC61" i="9"/>
  <c r="BC60" i="9"/>
  <c r="BC59" i="9"/>
  <c r="BC57" i="9"/>
  <c r="BC56" i="9"/>
  <c r="BC53" i="9"/>
  <c r="BC52" i="9"/>
  <c r="BC51" i="9"/>
  <c r="BC48" i="9"/>
  <c r="BC47" i="9"/>
  <c r="BC44" i="9"/>
  <c r="BC43" i="9"/>
  <c r="BC41" i="9"/>
  <c r="BC39" i="9"/>
  <c r="BC38" i="9"/>
  <c r="BC36" i="9"/>
  <c r="BC35" i="9"/>
  <c r="BC34" i="9"/>
  <c r="BC33" i="9"/>
  <c r="BC31" i="9"/>
  <c r="BC30" i="9"/>
  <c r="BC29" i="9"/>
  <c r="BC27" i="9"/>
  <c r="BC26" i="9"/>
  <c r="BC25" i="9"/>
  <c r="BC23" i="9"/>
  <c r="BC22" i="9"/>
  <c r="BC21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E4" i="15"/>
  <c r="F4" i="15" s="1"/>
  <c r="G4" i="15" s="1"/>
  <c r="H4" i="15" s="1"/>
  <c r="I4" i="15" s="1"/>
  <c r="J4" i="15" s="1"/>
  <c r="K4" i="15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/>
  <c r="F4" i="16"/>
  <c r="G4" i="16"/>
  <c r="AW76" i="69"/>
  <c r="AX76" i="69"/>
  <c r="AY76" i="69"/>
  <c r="AZ76" i="69"/>
  <c r="BA76" i="69"/>
  <c r="BB76" i="69"/>
  <c r="BC76" i="69"/>
  <c r="BF76" i="69"/>
  <c r="BG76" i="69"/>
  <c r="BH76" i="69"/>
  <c r="F11" i="70"/>
  <c r="D14" i="29"/>
  <c r="H14" i="29" s="1"/>
  <c r="F10" i="70"/>
  <c r="F9" i="70"/>
  <c r="D13" i="29"/>
  <c r="H13" i="29" s="1"/>
  <c r="F8" i="70"/>
  <c r="D12" i="29"/>
  <c r="F7" i="70"/>
  <c r="D11" i="29"/>
  <c r="H11" i="29" s="1"/>
  <c r="F5" i="70"/>
  <c r="F6" i="70"/>
  <c r="F4" i="70"/>
  <c r="D7" i="29"/>
  <c r="D9" i="29" s="1"/>
  <c r="E2" i="70"/>
  <c r="F2" i="70"/>
  <c r="D12" i="70"/>
  <c r="E12" i="70"/>
  <c r="AC12" i="29"/>
  <c r="AJ4" i="30"/>
  <c r="AK4" i="30" s="1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E4" i="30"/>
  <c r="AF4" i="30" s="1"/>
  <c r="AG4" i="30" s="1"/>
  <c r="F4" i="30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 s="1"/>
  <c r="AG4" i="17" s="1"/>
  <c r="D4" i="17"/>
  <c r="E4" i="17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N1" i="12"/>
  <c r="D4" i="73"/>
  <c r="E4" i="73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U4" i="73"/>
  <c r="V4" i="73"/>
  <c r="W4" i="73"/>
  <c r="X4" i="73"/>
  <c r="Y4" i="73"/>
  <c r="Z4" i="73"/>
  <c r="AA4" i="73"/>
  <c r="AB4" i="73"/>
  <c r="AC4" i="73"/>
  <c r="AD4" i="73"/>
  <c r="AE4" i="73"/>
  <c r="AF4" i="73"/>
  <c r="AG4" i="73"/>
  <c r="C76" i="68"/>
  <c r="AG76" i="69"/>
  <c r="AH76" i="69"/>
  <c r="AI76" i="69"/>
  <c r="AJ76" i="69"/>
  <c r="D4" i="28"/>
  <c r="E4" i="28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 s="1"/>
  <c r="E4" i="71" s="1"/>
  <c r="F4" i="71" s="1"/>
  <c r="G4" i="71" s="1"/>
  <c r="H4" i="71" s="1"/>
  <c r="I4" i="71" s="1"/>
  <c r="J4" i="71" s="1"/>
  <c r="K4" i="71" s="1"/>
  <c r="L4" i="71" s="1"/>
  <c r="M4" i="71" s="1"/>
  <c r="N4" i="71" s="1"/>
  <c r="O4" i="71" s="1"/>
  <c r="P4" i="71" s="1"/>
  <c r="Q4" i="71" s="1"/>
  <c r="AU21" i="29"/>
  <c r="Y76" i="68"/>
  <c r="U76" i="68"/>
  <c r="T76" i="68"/>
  <c r="N76" i="68"/>
  <c r="M76" i="68"/>
  <c r="D4" i="27"/>
  <c r="E4" i="27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/>
  <c r="F4" i="26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9" i="16"/>
  <c r="Z68" i="68"/>
  <c r="AH76" i="68"/>
  <c r="AG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 s="1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D4" i="68"/>
  <c r="D4" i="67"/>
  <c r="E4" i="67" s="1"/>
  <c r="F4" i="67" s="1"/>
  <c r="G4" i="67" s="1"/>
  <c r="H4" i="67" s="1"/>
  <c r="I4" i="67" s="1"/>
  <c r="J4" i="67" s="1"/>
  <c r="AP76" i="68"/>
  <c r="AA7" i="68"/>
  <c r="AA8" i="68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N18" i="68"/>
  <c r="AO18" i="68"/>
  <c r="D76" i="68"/>
  <c r="AJ76" i="68"/>
  <c r="AL18" i="68"/>
  <c r="AX76" i="9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F19" i="67"/>
  <c r="F33" i="67"/>
  <c r="F49" i="67"/>
  <c r="F51" i="67"/>
  <c r="F47" i="67"/>
  <c r="D76" i="69"/>
  <c r="AC14" i="29"/>
  <c r="F74" i="67"/>
  <c r="Q76" i="12"/>
  <c r="G40" i="68"/>
  <c r="F50" i="67"/>
  <c r="AC15" i="29"/>
  <c r="F9" i="67"/>
  <c r="G68" i="68"/>
  <c r="F29" i="67"/>
  <c r="AC11" i="29"/>
  <c r="AO42" i="9"/>
  <c r="AO38" i="9"/>
  <c r="AP73" i="9"/>
  <c r="AP71" i="9"/>
  <c r="AO11" i="9"/>
  <c r="AC13" i="29"/>
  <c r="X7" i="16"/>
  <c r="X8" i="16"/>
  <c r="AC8" i="29"/>
  <c r="Q76" i="25"/>
  <c r="Q84" i="25" s="1"/>
  <c r="H76" i="25"/>
  <c r="H84" i="25" s="1"/>
  <c r="O76" i="26"/>
  <c r="O84" i="26" s="1"/>
  <c r="O76" i="28"/>
  <c r="O84" i="28" s="1"/>
  <c r="O76" i="27"/>
  <c r="O84" i="27" s="1"/>
  <c r="AE12" i="17"/>
  <c r="AC19" i="68"/>
  <c r="AO67" i="9"/>
  <c r="G29" i="68"/>
  <c r="AP49" i="9"/>
  <c r="F68" i="67"/>
  <c r="AB21" i="68"/>
  <c r="F72" i="67"/>
  <c r="F40" i="67"/>
  <c r="F36" i="67"/>
  <c r="G45" i="68"/>
  <c r="AB55" i="68"/>
  <c r="AB45" i="68"/>
  <c r="AK69" i="68"/>
  <c r="F69" i="67"/>
  <c r="AK65" i="68"/>
  <c r="F65" i="67"/>
  <c r="AK61" i="68"/>
  <c r="AM61" i="68" s="1"/>
  <c r="G61" i="67" s="1"/>
  <c r="F61" i="67"/>
  <c r="AK53" i="68"/>
  <c r="AM53" i="68" s="1"/>
  <c r="G53" i="67" s="1"/>
  <c r="F53" i="67"/>
  <c r="AK41" i="68"/>
  <c r="F41" i="67"/>
  <c r="AK25" i="68"/>
  <c r="F25" i="67"/>
  <c r="AK17" i="68"/>
  <c r="AL17" i="68" s="1"/>
  <c r="F17" i="67"/>
  <c r="AK13" i="68"/>
  <c r="F13" i="67"/>
  <c r="H54" i="68"/>
  <c r="D54" i="67" s="1"/>
  <c r="G14" i="68"/>
  <c r="AK62" i="68"/>
  <c r="F46" i="67"/>
  <c r="AK42" i="68"/>
  <c r="F38" i="67"/>
  <c r="AB71" i="68"/>
  <c r="AB11" i="68"/>
  <c r="AK56" i="68"/>
  <c r="AM56" i="68" s="1"/>
  <c r="G56" i="67" s="1"/>
  <c r="F56" i="67"/>
  <c r="AK52" i="68"/>
  <c r="F52" i="67"/>
  <c r="AK48" i="68"/>
  <c r="AO48" i="68" s="1"/>
  <c r="F48" i="67"/>
  <c r="AK44" i="68"/>
  <c r="F44" i="67"/>
  <c r="AK32" i="68"/>
  <c r="AM32" i="68" s="1"/>
  <c r="G32" i="67" s="1"/>
  <c r="F32" i="67"/>
  <c r="AK28" i="68"/>
  <c r="F28" i="67"/>
  <c r="F12" i="67"/>
  <c r="AK8" i="68"/>
  <c r="F8" i="67"/>
  <c r="H73" i="68"/>
  <c r="D73" i="67"/>
  <c r="AC61" i="68"/>
  <c r="G57" i="68"/>
  <c r="AC49" i="68"/>
  <c r="H41" i="68"/>
  <c r="D41" i="67" s="1"/>
  <c r="G41" i="68"/>
  <c r="AB41" i="68"/>
  <c r="AC41" i="68"/>
  <c r="H21" i="68"/>
  <c r="D21" i="67" s="1"/>
  <c r="G21" i="68"/>
  <c r="Q76" i="68"/>
  <c r="F39" i="67"/>
  <c r="AP33" i="9"/>
  <c r="AO50" i="9"/>
  <c r="AO45" i="9"/>
  <c r="AO53" i="9"/>
  <c r="AO61" i="9"/>
  <c r="G72" i="68"/>
  <c r="G44" i="68"/>
  <c r="AO7" i="9"/>
  <c r="AP44" i="9"/>
  <c r="AO33" i="9"/>
  <c r="AB68" i="68"/>
  <c r="AB66" i="68"/>
  <c r="AB40" i="68"/>
  <c r="AB32" i="68"/>
  <c r="AB14" i="68"/>
  <c r="AP42" i="9"/>
  <c r="F93" i="15"/>
  <c r="AB72" i="68"/>
  <c r="AB62" i="68"/>
  <c r="AB20" i="68"/>
  <c r="AC39" i="68"/>
  <c r="AB33" i="68"/>
  <c r="G20" i="68"/>
  <c r="AB47" i="68"/>
  <c r="G8" i="68"/>
  <c r="G47" i="68"/>
  <c r="AD63" i="68"/>
  <c r="C47" i="67"/>
  <c r="AK24" i="68"/>
  <c r="F24" i="67"/>
  <c r="AK21" i="68"/>
  <c r="AL21" i="68" s="1"/>
  <c r="F21" i="67"/>
  <c r="F10" i="67"/>
  <c r="AK37" i="68"/>
  <c r="AO37" i="68" s="1"/>
  <c r="F37" i="67"/>
  <c r="F7" i="67"/>
  <c r="AK73" i="68"/>
  <c r="AL73" i="68" s="1"/>
  <c r="F73" i="67"/>
  <c r="F64" i="67"/>
  <c r="AK64" i="68"/>
  <c r="AK60" i="68"/>
  <c r="AM60" i="68" s="1"/>
  <c r="G60" i="67" s="1"/>
  <c r="F60" i="67"/>
  <c r="AK57" i="68"/>
  <c r="F57" i="67"/>
  <c r="AK54" i="68"/>
  <c r="AO54" i="68" s="1"/>
  <c r="F54" i="67"/>
  <c r="AK45" i="68"/>
  <c r="AM45" i="68" s="1"/>
  <c r="G45" i="67" s="1"/>
  <c r="F45" i="67"/>
  <c r="AK23" i="68"/>
  <c r="AL23" i="68" s="1"/>
  <c r="F63" i="67"/>
  <c r="AK16" i="68"/>
  <c r="AO16" i="68" s="1"/>
  <c r="F16" i="67"/>
  <c r="AB70" i="68"/>
  <c r="C43" i="67"/>
  <c r="H16" i="68"/>
  <c r="D16" i="67" s="1"/>
  <c r="AB16" i="68"/>
  <c r="G16" i="68"/>
  <c r="H65" i="68"/>
  <c r="D65" i="67"/>
  <c r="AB65" i="68"/>
  <c r="G65" i="68"/>
  <c r="AB46" i="68"/>
  <c r="AB38" i="68"/>
  <c r="H29" i="68"/>
  <c r="D29" i="67"/>
  <c r="AB29" i="68"/>
  <c r="AC29" i="68"/>
  <c r="AB75" i="68"/>
  <c r="H71" i="68"/>
  <c r="D71" i="67" s="1"/>
  <c r="G71" i="68"/>
  <c r="AC59" i="68"/>
  <c r="H48" i="68"/>
  <c r="D48" i="67" s="1"/>
  <c r="G48" i="68"/>
  <c r="AB48" i="68"/>
  <c r="AC23" i="68"/>
  <c r="G23" i="68"/>
  <c r="H67" i="68"/>
  <c r="D67" i="67" s="1"/>
  <c r="AD67" i="68"/>
  <c r="AC67" i="68"/>
  <c r="G67" i="68"/>
  <c r="AB67" i="68"/>
  <c r="H61" i="68"/>
  <c r="D61" i="67" s="1"/>
  <c r="AB61" i="68"/>
  <c r="H31" i="68"/>
  <c r="D31" i="67"/>
  <c r="G31" i="68"/>
  <c r="AB31" i="68"/>
  <c r="AC31" i="68"/>
  <c r="AB25" i="68"/>
  <c r="G25" i="68"/>
  <c r="H25" i="68"/>
  <c r="D25" i="67" s="1"/>
  <c r="AC25" i="68"/>
  <c r="AC9" i="68"/>
  <c r="E76" i="68"/>
  <c r="G76" i="68" s="1"/>
  <c r="AO37" i="9"/>
  <c r="AP46" i="9"/>
  <c r="P76" i="69"/>
  <c r="AO46" i="9"/>
  <c r="AO41" i="9"/>
  <c r="F84" i="15"/>
  <c r="AP11" i="9"/>
  <c r="AO73" i="9"/>
  <c r="AP66" i="9"/>
  <c r="AO49" i="9"/>
  <c r="AP31" i="9"/>
  <c r="AO26" i="9"/>
  <c r="AP7" i="9"/>
  <c r="AP75" i="9"/>
  <c r="AP69" i="9"/>
  <c r="AP61" i="9"/>
  <c r="AO20" i="9"/>
  <c r="AO12" i="9"/>
  <c r="AP58" i="9"/>
  <c r="AP30" i="9"/>
  <c r="AP22" i="9"/>
  <c r="AP74" i="9"/>
  <c r="AO57" i="9"/>
  <c r="AO54" i="9"/>
  <c r="AP32" i="9"/>
  <c r="AP16" i="9"/>
  <c r="AV33" i="30"/>
  <c r="AQ71" i="68"/>
  <c r="Y71" i="12" s="1"/>
  <c r="AO8" i="29"/>
  <c r="AO7" i="29"/>
  <c r="Q8" i="29"/>
  <c r="Q7" i="29"/>
  <c r="AB34" i="68"/>
  <c r="G18" i="68"/>
  <c r="AC75" i="68"/>
  <c r="AB10" i="68"/>
  <c r="H22" i="68"/>
  <c r="D22" i="67" s="1"/>
  <c r="H50" i="68"/>
  <c r="D50" i="67" s="1"/>
  <c r="AB18" i="68"/>
  <c r="H46" i="68"/>
  <c r="D46" i="67" s="1"/>
  <c r="H34" i="68"/>
  <c r="D34" i="67" s="1"/>
  <c r="H75" i="68"/>
  <c r="D75" i="67" s="1"/>
  <c r="AB22" i="68"/>
  <c r="G50" i="68"/>
  <c r="G10" i="68"/>
  <c r="AS74" i="76"/>
  <c r="AS72" i="76"/>
  <c r="AS70" i="76"/>
  <c r="AS68" i="76"/>
  <c r="AS66" i="76"/>
  <c r="AS64" i="76"/>
  <c r="AS62" i="76"/>
  <c r="AS75" i="76"/>
  <c r="AS73" i="76"/>
  <c r="AS71" i="76"/>
  <c r="AS69" i="76"/>
  <c r="AS67" i="76"/>
  <c r="AS65" i="76"/>
  <c r="AS63" i="76"/>
  <c r="AS61" i="76"/>
  <c r="AS59" i="76"/>
  <c r="AS57" i="76"/>
  <c r="AS55" i="76"/>
  <c r="AS53" i="76"/>
  <c r="AS60" i="76"/>
  <c r="AS58" i="76"/>
  <c r="AS56" i="76"/>
  <c r="AS54" i="76"/>
  <c r="AS52" i="76"/>
  <c r="AS50" i="76"/>
  <c r="AS48" i="76"/>
  <c r="AS46" i="76"/>
  <c r="AS44" i="76"/>
  <c r="AS42" i="76"/>
  <c r="AS51" i="76"/>
  <c r="AS49" i="76"/>
  <c r="AS47" i="76"/>
  <c r="AS45" i="76"/>
  <c r="AS43" i="76"/>
  <c r="AS41" i="76"/>
  <c r="AS40" i="76"/>
  <c r="AS36" i="76"/>
  <c r="AS32" i="76"/>
  <c r="AS28" i="76"/>
  <c r="AS24" i="76"/>
  <c r="AS21" i="76"/>
  <c r="AS19" i="76"/>
  <c r="AS17" i="76"/>
  <c r="AS39" i="76"/>
  <c r="AS35" i="76"/>
  <c r="AS31" i="76"/>
  <c r="AS27" i="76"/>
  <c r="AS23" i="76"/>
  <c r="AS18" i="76"/>
  <c r="AS38" i="76"/>
  <c r="AS34" i="76"/>
  <c r="AS30" i="76"/>
  <c r="AS26" i="76"/>
  <c r="AS22" i="76"/>
  <c r="AS20" i="76"/>
  <c r="AS16" i="76"/>
  <c r="AS14" i="76"/>
  <c r="AS37" i="76"/>
  <c r="AS33" i="76"/>
  <c r="AS29" i="76"/>
  <c r="AS25" i="76"/>
  <c r="AS15" i="76"/>
  <c r="AS12" i="76"/>
  <c r="AS8" i="76"/>
  <c r="AS11" i="76"/>
  <c r="AS7" i="76"/>
  <c r="AS10" i="76"/>
  <c r="AS76" i="76" s="1"/>
  <c r="AS77" i="76" s="1"/>
  <c r="AS13" i="76"/>
  <c r="AS9" i="76"/>
  <c r="AO74" i="76"/>
  <c r="AO72" i="76"/>
  <c r="AO70" i="76"/>
  <c r="AO68" i="76"/>
  <c r="AO66" i="76"/>
  <c r="AO64" i="76"/>
  <c r="AO62" i="76"/>
  <c r="AO75" i="76"/>
  <c r="AO73" i="76"/>
  <c r="AO71" i="76"/>
  <c r="AO69" i="76"/>
  <c r="AO67" i="76"/>
  <c r="AO65" i="76"/>
  <c r="AO63" i="76"/>
  <c r="AO61" i="76"/>
  <c r="AO59" i="76"/>
  <c r="AO57" i="76"/>
  <c r="AO55" i="76"/>
  <c r="AO53" i="76"/>
  <c r="AO60" i="76"/>
  <c r="AO58" i="76"/>
  <c r="AO56" i="76"/>
  <c r="AO54" i="76"/>
  <c r="AO52" i="76"/>
  <c r="AO50" i="76"/>
  <c r="AO48" i="76"/>
  <c r="AO46" i="76"/>
  <c r="AO44" i="76"/>
  <c r="AO42" i="76"/>
  <c r="AO51" i="76"/>
  <c r="AO49" i="76"/>
  <c r="AO47" i="76"/>
  <c r="AO45" i="76"/>
  <c r="AO43" i="76"/>
  <c r="AO41" i="76"/>
  <c r="AO38" i="76"/>
  <c r="AO34" i="76"/>
  <c r="AO30" i="76"/>
  <c r="AO26" i="76"/>
  <c r="AO21" i="76"/>
  <c r="AO19" i="76"/>
  <c r="AO15" i="76"/>
  <c r="AO37" i="76"/>
  <c r="AO33" i="76"/>
  <c r="AO29" i="76"/>
  <c r="AO25" i="76"/>
  <c r="AO16" i="76"/>
  <c r="AO14" i="76"/>
  <c r="AO40" i="76"/>
  <c r="AO36" i="76"/>
  <c r="AO32" i="76"/>
  <c r="AO28" i="76"/>
  <c r="AO24" i="76"/>
  <c r="AO22" i="76"/>
  <c r="AO20" i="76"/>
  <c r="AO18" i="76"/>
  <c r="AO39" i="76"/>
  <c r="AO35" i="76"/>
  <c r="AO31" i="76"/>
  <c r="AO27" i="76"/>
  <c r="AO23" i="76"/>
  <c r="AO17" i="76"/>
  <c r="AO10" i="76"/>
  <c r="AO13" i="76"/>
  <c r="AO9" i="76"/>
  <c r="AO12" i="76"/>
  <c r="AO8" i="76"/>
  <c r="AO11" i="76"/>
  <c r="AO7" i="76"/>
  <c r="C8" i="16"/>
  <c r="AR73" i="76"/>
  <c r="AR69" i="76"/>
  <c r="AR65" i="76"/>
  <c r="AR61" i="76"/>
  <c r="AR60" i="76"/>
  <c r="AR72" i="76"/>
  <c r="AR68" i="76"/>
  <c r="AR64" i="76"/>
  <c r="AR75" i="76"/>
  <c r="AR71" i="76"/>
  <c r="AR67" i="76"/>
  <c r="AR63" i="76"/>
  <c r="AR59" i="76"/>
  <c r="AR74" i="76"/>
  <c r="AR70" i="76"/>
  <c r="AR66" i="76"/>
  <c r="AR62" i="76"/>
  <c r="AR56" i="76"/>
  <c r="AR55" i="76"/>
  <c r="AR52" i="76"/>
  <c r="AR50" i="76"/>
  <c r="AR48" i="76"/>
  <c r="AR46" i="76"/>
  <c r="AR44" i="76"/>
  <c r="AR42" i="76"/>
  <c r="AR40" i="76"/>
  <c r="AR38" i="76"/>
  <c r="AR36" i="76"/>
  <c r="AR34" i="76"/>
  <c r="AR32" i="76"/>
  <c r="AR30" i="76"/>
  <c r="AR28" i="76"/>
  <c r="AR26" i="76"/>
  <c r="AR24" i="76"/>
  <c r="AR58" i="76"/>
  <c r="AR54" i="76"/>
  <c r="AR57" i="76"/>
  <c r="AR53" i="76"/>
  <c r="AR51" i="76"/>
  <c r="AR49" i="76"/>
  <c r="AR47" i="76"/>
  <c r="AR45" i="76"/>
  <c r="AR43" i="76"/>
  <c r="AR41" i="76"/>
  <c r="AR39" i="76"/>
  <c r="AR37" i="76"/>
  <c r="AR35" i="76"/>
  <c r="AR33" i="76"/>
  <c r="AR31" i="76"/>
  <c r="AR29" i="76"/>
  <c r="AR27" i="76"/>
  <c r="AR25" i="76"/>
  <c r="AR23" i="76"/>
  <c r="AR21" i="76"/>
  <c r="AR19" i="76"/>
  <c r="AR17" i="76"/>
  <c r="AR15" i="76"/>
  <c r="AR13" i="76"/>
  <c r="AR11" i="76"/>
  <c r="AR9" i="76"/>
  <c r="AR7" i="76"/>
  <c r="AR22" i="76"/>
  <c r="AR20" i="76"/>
  <c r="AR18" i="76"/>
  <c r="AR16" i="76"/>
  <c r="AR14" i="76"/>
  <c r="AR12" i="76"/>
  <c r="AR10" i="76"/>
  <c r="AR8" i="76"/>
  <c r="C7" i="16"/>
  <c r="AQ75" i="76"/>
  <c r="AQ73" i="76"/>
  <c r="AQ71" i="76"/>
  <c r="AQ69" i="76"/>
  <c r="AQ67" i="76"/>
  <c r="AQ65" i="76"/>
  <c r="AQ63" i="76"/>
  <c r="AQ61" i="76"/>
  <c r="AQ74" i="76"/>
  <c r="AQ72" i="76"/>
  <c r="AQ70" i="76"/>
  <c r="AQ68" i="76"/>
  <c r="AQ66" i="76"/>
  <c r="AQ64" i="76"/>
  <c r="AQ62" i="76"/>
  <c r="AQ60" i="76"/>
  <c r="AQ58" i="76"/>
  <c r="AQ56" i="76"/>
  <c r="AQ54" i="76"/>
  <c r="AQ59" i="76"/>
  <c r="AQ57" i="76"/>
  <c r="AQ55" i="76"/>
  <c r="AQ53" i="76"/>
  <c r="AQ51" i="76"/>
  <c r="AQ49" i="76"/>
  <c r="AQ47" i="76"/>
  <c r="AQ45" i="76"/>
  <c r="AQ43" i="76"/>
  <c r="AQ41" i="76"/>
  <c r="AQ52" i="76"/>
  <c r="AQ50" i="76"/>
  <c r="AQ48" i="76"/>
  <c r="AQ46" i="76"/>
  <c r="AQ44" i="76"/>
  <c r="AQ42" i="76"/>
  <c r="AQ37" i="76"/>
  <c r="AQ33" i="76"/>
  <c r="AQ29" i="76"/>
  <c r="AQ25" i="76"/>
  <c r="AQ22" i="76"/>
  <c r="AQ20" i="76"/>
  <c r="AQ18" i="76"/>
  <c r="AQ14" i="76"/>
  <c r="AQ40" i="76"/>
  <c r="AQ36" i="76"/>
  <c r="AQ32" i="76"/>
  <c r="AQ28" i="76"/>
  <c r="AQ24" i="76"/>
  <c r="AQ17" i="76"/>
  <c r="AQ39" i="76"/>
  <c r="AQ35" i="76"/>
  <c r="AQ31" i="76"/>
  <c r="AQ27" i="76"/>
  <c r="AQ23" i="76"/>
  <c r="AQ21" i="76"/>
  <c r="AQ19" i="76"/>
  <c r="AQ15" i="76"/>
  <c r="AQ38" i="76"/>
  <c r="AQ34" i="76"/>
  <c r="AQ30" i="76"/>
  <c r="AQ26" i="76"/>
  <c r="AQ16" i="76"/>
  <c r="AQ13" i="76"/>
  <c r="AQ9" i="76"/>
  <c r="AQ12" i="76"/>
  <c r="AQ8" i="76"/>
  <c r="AQ76" i="76" s="1"/>
  <c r="AQ77" i="76" s="1"/>
  <c r="AQ11" i="76"/>
  <c r="AQ7" i="76"/>
  <c r="AQ10" i="76"/>
  <c r="AP74" i="76"/>
  <c r="AP70" i="76"/>
  <c r="AP66" i="76"/>
  <c r="AP62" i="76"/>
  <c r="AP59" i="76"/>
  <c r="AP73" i="76"/>
  <c r="AP69" i="76"/>
  <c r="AP65" i="76"/>
  <c r="AP61" i="76"/>
  <c r="AP72" i="76"/>
  <c r="AP68" i="76"/>
  <c r="AP64" i="76"/>
  <c r="AP60" i="76"/>
  <c r="AP75" i="76"/>
  <c r="AP71" i="76"/>
  <c r="AP67" i="76"/>
  <c r="AP63" i="76"/>
  <c r="AP57" i="76"/>
  <c r="AP53" i="76"/>
  <c r="AP56" i="76"/>
  <c r="AP51" i="76"/>
  <c r="AP49" i="76"/>
  <c r="AP47" i="76"/>
  <c r="AP45" i="76"/>
  <c r="AP43" i="76"/>
  <c r="AP41" i="76"/>
  <c r="AP39" i="76"/>
  <c r="AP37" i="76"/>
  <c r="AP35" i="76"/>
  <c r="AP33" i="76"/>
  <c r="AP31" i="76"/>
  <c r="AP29" i="76"/>
  <c r="AP27" i="76"/>
  <c r="AP25" i="76"/>
  <c r="AP23" i="76"/>
  <c r="AP55" i="76"/>
  <c r="AP58" i="76"/>
  <c r="AP54" i="76"/>
  <c r="AP52" i="76"/>
  <c r="AP50" i="76"/>
  <c r="AP48" i="76"/>
  <c r="AP46" i="76"/>
  <c r="AP44" i="76"/>
  <c r="AP42" i="76"/>
  <c r="AP40" i="76"/>
  <c r="AP38" i="76"/>
  <c r="AP36" i="76"/>
  <c r="AP34" i="76"/>
  <c r="AP32" i="76"/>
  <c r="AP30" i="76"/>
  <c r="AP28" i="76"/>
  <c r="AP26" i="76"/>
  <c r="AP24" i="76"/>
  <c r="AP22" i="76"/>
  <c r="AP20" i="76"/>
  <c r="AP18" i="76"/>
  <c r="AP16" i="76"/>
  <c r="AP14" i="76"/>
  <c r="AP12" i="76"/>
  <c r="AP10" i="76"/>
  <c r="AP8" i="76"/>
  <c r="AP21" i="76"/>
  <c r="AP19" i="76"/>
  <c r="AP17" i="76"/>
  <c r="AP15" i="76"/>
  <c r="AP13" i="76"/>
  <c r="AP11" i="76"/>
  <c r="AP9" i="76"/>
  <c r="AP7" i="76"/>
  <c r="AC71" i="68"/>
  <c r="AC63" i="68"/>
  <c r="AC45" i="68"/>
  <c r="AC43" i="68"/>
  <c r="AC37" i="68"/>
  <c r="AC21" i="68"/>
  <c r="AC70" i="68"/>
  <c r="AC52" i="68"/>
  <c r="AC32" i="68"/>
  <c r="AC14" i="68"/>
  <c r="F128" i="15"/>
  <c r="AD59" i="68"/>
  <c r="F12" i="70"/>
  <c r="G17" i="68"/>
  <c r="AC22" i="68"/>
  <c r="AB17" i="68"/>
  <c r="H17" i="68"/>
  <c r="D17" i="67" s="1"/>
  <c r="AB13" i="68"/>
  <c r="H13" i="68"/>
  <c r="D13" i="67" s="1"/>
  <c r="AC50" i="68"/>
  <c r="G7" i="68"/>
  <c r="H7" i="68"/>
  <c r="D7" i="67" s="1"/>
  <c r="G13" i="68"/>
  <c r="Z76" i="68"/>
  <c r="H70" i="68"/>
  <c r="D70" i="67"/>
  <c r="G70" i="68"/>
  <c r="H58" i="68"/>
  <c r="D58" i="67" s="1"/>
  <c r="G58" i="68"/>
  <c r="AB58" i="68"/>
  <c r="G54" i="68"/>
  <c r="H42" i="68"/>
  <c r="D42" i="67" s="1"/>
  <c r="G42" i="68"/>
  <c r="H35" i="68"/>
  <c r="D35" i="67" s="1"/>
  <c r="H32" i="68"/>
  <c r="D32" i="67" s="1"/>
  <c r="G32" i="68"/>
  <c r="H28" i="68"/>
  <c r="D28" i="67"/>
  <c r="G28" i="68"/>
  <c r="H24" i="68"/>
  <c r="D24" i="67" s="1"/>
  <c r="G24" i="68"/>
  <c r="G11" i="68"/>
  <c r="AB19" i="68"/>
  <c r="G64" i="68"/>
  <c r="AB56" i="68"/>
  <c r="AB44" i="68"/>
  <c r="AB42" i="68"/>
  <c r="AB28" i="68"/>
  <c r="K93" i="15"/>
  <c r="H72" i="68"/>
  <c r="D72" i="67" s="1"/>
  <c r="H26" i="68"/>
  <c r="D26" i="67" s="1"/>
  <c r="G60" i="68"/>
  <c r="AC55" i="68"/>
  <c r="H69" i="68"/>
  <c r="D69" i="67" s="1"/>
  <c r="H27" i="68"/>
  <c r="D27" i="67" s="1"/>
  <c r="G27" i="68"/>
  <c r="AB27" i="68"/>
  <c r="AC27" i="68"/>
  <c r="G12" i="68"/>
  <c r="H8" i="68"/>
  <c r="D8" i="67" s="1"/>
  <c r="AB74" i="68"/>
  <c r="AB60" i="68"/>
  <c r="AB52" i="68"/>
  <c r="AB24" i="68"/>
  <c r="AB12" i="68"/>
  <c r="AB8" i="68"/>
  <c r="G73" i="68"/>
  <c r="AB73" i="68"/>
  <c r="AC73" i="68"/>
  <c r="H56" i="68"/>
  <c r="D56" i="67" s="1"/>
  <c r="G56" i="68"/>
  <c r="H52" i="68"/>
  <c r="D52" i="67" s="1"/>
  <c r="G52" i="68"/>
  <c r="H37" i="68"/>
  <c r="D37" i="67" s="1"/>
  <c r="G37" i="68"/>
  <c r="AB37" i="68"/>
  <c r="H30" i="68"/>
  <c r="D30" i="67" s="1"/>
  <c r="AC30" i="68"/>
  <c r="H66" i="68"/>
  <c r="D66" i="67" s="1"/>
  <c r="G62" i="68"/>
  <c r="H62" i="68"/>
  <c r="D62" i="67" s="1"/>
  <c r="AC62" i="68"/>
  <c r="L31" i="73"/>
  <c r="AD27" i="68"/>
  <c r="C51" i="67"/>
  <c r="H63" i="68"/>
  <c r="D63" i="67" s="1"/>
  <c r="G63" i="68"/>
  <c r="H39" i="68"/>
  <c r="D39" i="67" s="1"/>
  <c r="G45" i="26"/>
  <c r="AC47" i="68"/>
  <c r="AC35" i="68"/>
  <c r="G46" i="28"/>
  <c r="AB57" i="68"/>
  <c r="AC13" i="68"/>
  <c r="F137" i="15"/>
  <c r="V48" i="73"/>
  <c r="G23" i="28"/>
  <c r="G59" i="28"/>
  <c r="G19" i="28"/>
  <c r="G24" i="27"/>
  <c r="G50" i="27"/>
  <c r="G69" i="28"/>
  <c r="G14" i="27"/>
  <c r="AC65" i="68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AC11" i="68"/>
  <c r="G18" i="28"/>
  <c r="G37" i="26"/>
  <c r="G70" i="27"/>
  <c r="G31" i="27"/>
  <c r="G61" i="26"/>
  <c r="G18" i="26"/>
  <c r="G55" i="27"/>
  <c r="G34" i="27"/>
  <c r="G16" i="28"/>
  <c r="G49" i="26"/>
  <c r="G58" i="27"/>
  <c r="G22" i="27"/>
  <c r="G64" i="26"/>
  <c r="G56" i="26"/>
  <c r="G24" i="26"/>
  <c r="G37" i="27"/>
  <c r="G29" i="27"/>
  <c r="Q27" i="30"/>
  <c r="K128" i="15"/>
  <c r="K137" i="15"/>
  <c r="G15" i="28"/>
  <c r="G65" i="27"/>
  <c r="G41" i="27"/>
  <c r="N30" i="30"/>
  <c r="Q13" i="30"/>
  <c r="G14" i="26"/>
  <c r="G75" i="27"/>
  <c r="G67" i="27"/>
  <c r="G43" i="27"/>
  <c r="G35" i="27"/>
  <c r="G11" i="27"/>
  <c r="N18" i="30"/>
  <c r="E22" i="30"/>
  <c r="AO35" i="9"/>
  <c r="AP59" i="9"/>
  <c r="AP43" i="9"/>
  <c r="AO8" i="9"/>
  <c r="AP8" i="9"/>
  <c r="AP65" i="9"/>
  <c r="AO65" i="9"/>
  <c r="AP29" i="9"/>
  <c r="AO29" i="9"/>
  <c r="AO25" i="9"/>
  <c r="AP25" i="9"/>
  <c r="AP17" i="9"/>
  <c r="M137" i="15"/>
  <c r="G7" i="16"/>
  <c r="E38" i="30"/>
  <c r="AO17" i="9"/>
  <c r="AP21" i="9"/>
  <c r="AP41" i="9"/>
  <c r="AO21" i="9"/>
  <c r="AO69" i="9"/>
  <c r="AO13" i="9"/>
  <c r="AP20" i="9"/>
  <c r="AO34" i="9"/>
  <c r="AO70" i="9"/>
  <c r="AP37" i="9"/>
  <c r="AP57" i="9"/>
  <c r="AP47" i="9"/>
  <c r="AO62" i="9"/>
  <c r="M93" i="15"/>
  <c r="M84" i="15"/>
  <c r="M128" i="15"/>
  <c r="V57" i="73"/>
  <c r="V69" i="73"/>
  <c r="K73" i="12"/>
  <c r="X73" i="73" s="1"/>
  <c r="AA73" i="73"/>
  <c r="K53" i="12"/>
  <c r="X53" i="73" s="1"/>
  <c r="AA53" i="73"/>
  <c r="AA65" i="73"/>
  <c r="AA69" i="73"/>
  <c r="AA55" i="73"/>
  <c r="AA61" i="73"/>
  <c r="AA41" i="73"/>
  <c r="AA37" i="73"/>
  <c r="AA33" i="73"/>
  <c r="AA25" i="73"/>
  <c r="AA23" i="73"/>
  <c r="K20" i="12"/>
  <c r="X20" i="73" s="1"/>
  <c r="Q19" i="73"/>
  <c r="K49" i="12"/>
  <c r="X49" i="73" s="1"/>
  <c r="AA49" i="73"/>
  <c r="I17" i="12"/>
  <c r="S17" i="73" s="1"/>
  <c r="AA44" i="73"/>
  <c r="I20" i="12"/>
  <c r="S20" i="73" s="1"/>
  <c r="V21" i="73"/>
  <c r="K29" i="12"/>
  <c r="X29" i="73" s="1"/>
  <c r="AA29" i="73"/>
  <c r="G11" i="17"/>
  <c r="G10" i="17"/>
  <c r="C7" i="17"/>
  <c r="C8" i="17"/>
  <c r="AA48" i="73"/>
  <c r="AA57" i="73"/>
  <c r="AA17" i="73"/>
  <c r="V73" i="73"/>
  <c r="Q31" i="73"/>
  <c r="AA21" i="73"/>
  <c r="AA12" i="73"/>
  <c r="AA40" i="73"/>
  <c r="Q11" i="73"/>
  <c r="AA56" i="73"/>
  <c r="AA36" i="73"/>
  <c r="G51" i="12"/>
  <c r="N51" i="73" s="1"/>
  <c r="Q51" i="73"/>
  <c r="K45" i="12"/>
  <c r="X45" i="73" s="1"/>
  <c r="AA45" i="73"/>
  <c r="K38" i="12"/>
  <c r="X38" i="73" s="1"/>
  <c r="AA75" i="73"/>
  <c r="L55" i="73"/>
  <c r="Q22" i="73"/>
  <c r="V25" i="73"/>
  <c r="G18" i="12"/>
  <c r="N18" i="73" s="1"/>
  <c r="K13" i="12"/>
  <c r="X13" i="73" s="1"/>
  <c r="AA13" i="73"/>
  <c r="K9" i="12"/>
  <c r="X9" i="73" s="1"/>
  <c r="AA9" i="73"/>
  <c r="E19" i="30"/>
  <c r="C76" i="25"/>
  <c r="E18" i="30"/>
  <c r="E32" i="30"/>
  <c r="E29" i="30"/>
  <c r="G9" i="17"/>
  <c r="E16" i="30"/>
  <c r="E7" i="30"/>
  <c r="E25" i="30"/>
  <c r="E30" i="30"/>
  <c r="E9" i="30"/>
  <c r="E14" i="30"/>
  <c r="E11" i="30"/>
  <c r="E15" i="30"/>
  <c r="E24" i="30"/>
  <c r="E27" i="30"/>
  <c r="E28" i="30"/>
  <c r="E39" i="30"/>
  <c r="H76" i="15"/>
  <c r="J44" i="15"/>
  <c r="BA44" i="9" s="1"/>
  <c r="N36" i="30"/>
  <c r="G30" i="12"/>
  <c r="N30" i="73" s="1"/>
  <c r="E25" i="12"/>
  <c r="I25" i="73" s="1"/>
  <c r="Q26" i="73"/>
  <c r="G34" i="12"/>
  <c r="N34" i="73" s="1"/>
  <c r="Q7" i="17"/>
  <c r="AA15" i="73"/>
  <c r="O86" i="15"/>
  <c r="Q86" i="15" s="1"/>
  <c r="F30" i="14"/>
  <c r="M95" i="14"/>
  <c r="J11" i="14"/>
  <c r="K11" i="14" s="1"/>
  <c r="J44" i="14"/>
  <c r="K44" i="14" s="1"/>
  <c r="J133" i="14"/>
  <c r="K133" i="14" s="1"/>
  <c r="J94" i="14"/>
  <c r="K94" i="14" s="1"/>
  <c r="F118" i="14"/>
  <c r="G118" i="14" s="1"/>
  <c r="F97" i="14"/>
  <c r="G97" i="14" s="1"/>
  <c r="J9" i="14"/>
  <c r="K9" i="14" s="1"/>
  <c r="J43" i="14"/>
  <c r="K43" i="14" s="1"/>
  <c r="M43" i="14"/>
  <c r="J137" i="14"/>
  <c r="K137" i="14" s="1"/>
  <c r="G85" i="14"/>
  <c r="F114" i="14"/>
  <c r="G114" i="14" s="1"/>
  <c r="F50" i="14"/>
  <c r="F62" i="14"/>
  <c r="G62" i="14" s="1"/>
  <c r="J125" i="14"/>
  <c r="K125" i="14" s="1"/>
  <c r="M126" i="14"/>
  <c r="J135" i="14"/>
  <c r="M51" i="14"/>
  <c r="M129" i="14"/>
  <c r="E20" i="30"/>
  <c r="AO68" i="68"/>
  <c r="AN74" i="68"/>
  <c r="AL62" i="68"/>
  <c r="AN38" i="68"/>
  <c r="AL24" i="68"/>
  <c r="AL65" i="68"/>
  <c r="AV71" i="9"/>
  <c r="J35" i="14"/>
  <c r="F134" i="14"/>
  <c r="G134" i="14" s="1"/>
  <c r="J8" i="14"/>
  <c r="K8" i="14" s="1"/>
  <c r="F63" i="14"/>
  <c r="G63" i="14" s="1"/>
  <c r="J74" i="14"/>
  <c r="G14" i="14"/>
  <c r="K19" i="14"/>
  <c r="F70" i="14"/>
  <c r="G70" i="14" s="1"/>
  <c r="K7" i="14"/>
  <c r="J23" i="14"/>
  <c r="K23" i="14" s="1"/>
  <c r="F128" i="14"/>
  <c r="G128" i="14" s="1"/>
  <c r="F79" i="14"/>
  <c r="G79" i="14" s="1"/>
  <c r="J82" i="14"/>
  <c r="K82" i="14" s="1"/>
  <c r="F27" i="14"/>
  <c r="G27" i="14" s="1"/>
  <c r="F54" i="14"/>
  <c r="J75" i="14"/>
  <c r="F105" i="14"/>
  <c r="F102" i="14"/>
  <c r="G108" i="14"/>
  <c r="P83" i="28"/>
  <c r="Q83" i="28" s="1"/>
  <c r="O80" i="15"/>
  <c r="E86" i="15"/>
  <c r="C7" i="12"/>
  <c r="BI7" i="69"/>
  <c r="AV14" i="69"/>
  <c r="BI14" i="69" s="1"/>
  <c r="AV22" i="69"/>
  <c r="AV30" i="69"/>
  <c r="C30" i="12" s="1"/>
  <c r="AV38" i="69"/>
  <c r="AV46" i="69"/>
  <c r="AV72" i="69"/>
  <c r="BI72" i="69"/>
  <c r="AV12" i="69"/>
  <c r="AV20" i="69"/>
  <c r="BI20" i="69" s="1"/>
  <c r="AV28" i="69"/>
  <c r="AV36" i="69"/>
  <c r="C50" i="12"/>
  <c r="H50" i="13" s="1"/>
  <c r="I50" i="13" s="1"/>
  <c r="BI50" i="69"/>
  <c r="AV54" i="69"/>
  <c r="AV58" i="69"/>
  <c r="AV62" i="69"/>
  <c r="BI66" i="69"/>
  <c r="C66" i="12"/>
  <c r="D66" i="13" s="1"/>
  <c r="BI70" i="69"/>
  <c r="C70" i="12"/>
  <c r="F70" i="13" s="1"/>
  <c r="AV10" i="69"/>
  <c r="C10" i="12"/>
  <c r="D10" i="13" s="1"/>
  <c r="AV18" i="69"/>
  <c r="C18" i="12"/>
  <c r="AV26" i="69"/>
  <c r="AV34" i="69"/>
  <c r="BI34" i="69" s="1"/>
  <c r="D42" i="13"/>
  <c r="AV8" i="69"/>
  <c r="BI8" i="69" s="1"/>
  <c r="AV16" i="69"/>
  <c r="AV24" i="69"/>
  <c r="AV32" i="69"/>
  <c r="C32" i="12" s="1"/>
  <c r="AV40" i="69"/>
  <c r="AV48" i="69"/>
  <c r="C48" i="12" s="1"/>
  <c r="AV52" i="69"/>
  <c r="AV56" i="69"/>
  <c r="C56" i="12" s="1"/>
  <c r="AV60" i="69"/>
  <c r="E64" i="73"/>
  <c r="AF64" i="73" s="1"/>
  <c r="C68" i="12"/>
  <c r="BI68" i="69"/>
  <c r="AV74" i="69"/>
  <c r="H64" i="13"/>
  <c r="I64" i="13" s="1"/>
  <c r="BI56" i="69"/>
  <c r="BI10" i="69"/>
  <c r="AV9" i="69"/>
  <c r="C76" i="69"/>
  <c r="AV11" i="69"/>
  <c r="C11" i="12" s="1"/>
  <c r="AV13" i="69"/>
  <c r="AV15" i="69"/>
  <c r="AV17" i="69"/>
  <c r="AV19" i="69"/>
  <c r="C19" i="12" s="1"/>
  <c r="AV21" i="69"/>
  <c r="AV23" i="69"/>
  <c r="AV25" i="69"/>
  <c r="AV27" i="69"/>
  <c r="AV29" i="69"/>
  <c r="AV31" i="69"/>
  <c r="AV33" i="69"/>
  <c r="AV35" i="69"/>
  <c r="BI35" i="69" s="1"/>
  <c r="AV37" i="69"/>
  <c r="AV39" i="69"/>
  <c r="AV41" i="69"/>
  <c r="AV43" i="69"/>
  <c r="C43" i="12" s="1"/>
  <c r="AV45" i="69"/>
  <c r="AV47" i="69"/>
  <c r="AV49" i="69"/>
  <c r="AV51" i="69"/>
  <c r="C51" i="12" s="1"/>
  <c r="AV53" i="69"/>
  <c r="AV55" i="69"/>
  <c r="AV57" i="69"/>
  <c r="AV59" i="69"/>
  <c r="C59" i="12" s="1"/>
  <c r="AV61" i="69"/>
  <c r="AV63" i="69"/>
  <c r="C63" i="12" s="1"/>
  <c r="AV65" i="69"/>
  <c r="AV67" i="69"/>
  <c r="C67" i="12" s="1"/>
  <c r="AV69" i="69"/>
  <c r="AV71" i="69"/>
  <c r="AV73" i="69"/>
  <c r="AV75" i="69"/>
  <c r="BI75" i="69" s="1"/>
  <c r="M64" i="25"/>
  <c r="N64" i="25" s="1"/>
  <c r="D64" i="13"/>
  <c r="L64" i="12"/>
  <c r="M64" i="12" s="1"/>
  <c r="N64" i="12" s="1"/>
  <c r="F64" i="13"/>
  <c r="C20" i="12"/>
  <c r="BI22" i="69"/>
  <c r="C22" i="12"/>
  <c r="BI44" i="69"/>
  <c r="C44" i="12"/>
  <c r="BI64" i="69"/>
  <c r="BI52" i="69"/>
  <c r="AV42" i="69"/>
  <c r="G13" i="17"/>
  <c r="G7" i="17"/>
  <c r="E10" i="30"/>
  <c r="E26" i="30"/>
  <c r="E13" i="30"/>
  <c r="E34" i="30"/>
  <c r="E31" i="30"/>
  <c r="E12" i="30"/>
  <c r="G8" i="17"/>
  <c r="E17" i="30"/>
  <c r="C10" i="17"/>
  <c r="C11" i="17"/>
  <c r="C12" i="17"/>
  <c r="E35" i="30"/>
  <c r="E23" i="30"/>
  <c r="E21" i="30"/>
  <c r="E33" i="30"/>
  <c r="G12" i="17"/>
  <c r="C13" i="17"/>
  <c r="C9" i="17"/>
  <c r="BI30" i="69"/>
  <c r="C14" i="12"/>
  <c r="M14" i="25" s="1"/>
  <c r="N14" i="25" s="1"/>
  <c r="F7" i="13"/>
  <c r="H7" i="13"/>
  <c r="I7" i="13" s="1"/>
  <c r="E7" i="73"/>
  <c r="AF7" i="73" s="1"/>
  <c r="D7" i="13"/>
  <c r="M7" i="25"/>
  <c r="N7" i="25" s="1"/>
  <c r="L7" i="12"/>
  <c r="M7" i="12" s="1"/>
  <c r="N7" i="12" s="1"/>
  <c r="AC7" i="73" s="1"/>
  <c r="BI32" i="69"/>
  <c r="C72" i="12"/>
  <c r="F72" i="13" s="1"/>
  <c r="M68" i="25"/>
  <c r="N68" i="25" s="1"/>
  <c r="L68" i="12"/>
  <c r="M68" i="12" s="1"/>
  <c r="F68" i="13"/>
  <c r="C52" i="12"/>
  <c r="C58" i="12"/>
  <c r="BI58" i="69"/>
  <c r="BI36" i="69"/>
  <c r="C36" i="12"/>
  <c r="H36" i="13" s="1"/>
  <c r="I36" i="13" s="1"/>
  <c r="BI38" i="69"/>
  <c r="C38" i="12"/>
  <c r="C16" i="12"/>
  <c r="E16" i="73" s="1"/>
  <c r="AF16" i="73" s="1"/>
  <c r="BI16" i="69"/>
  <c r="C26" i="12"/>
  <c r="H26" i="13" s="1"/>
  <c r="I26" i="13" s="1"/>
  <c r="BI26" i="69"/>
  <c r="BI40" i="69"/>
  <c r="C40" i="12"/>
  <c r="C8" i="12"/>
  <c r="BI18" i="69"/>
  <c r="M70" i="25"/>
  <c r="N70" i="25" s="1"/>
  <c r="H70" i="13"/>
  <c r="I70" i="13" s="1"/>
  <c r="C46" i="12"/>
  <c r="BI46" i="69"/>
  <c r="C62" i="12"/>
  <c r="BI62" i="69"/>
  <c r="F50" i="13"/>
  <c r="C12" i="12"/>
  <c r="F12" i="13" s="1"/>
  <c r="BI12" i="69"/>
  <c r="C74" i="12"/>
  <c r="BI74" i="69"/>
  <c r="E72" i="73"/>
  <c r="AF72" i="73" s="1"/>
  <c r="C75" i="12"/>
  <c r="F75" i="13" s="1"/>
  <c r="BI71" i="69"/>
  <c r="C71" i="12"/>
  <c r="BI47" i="69"/>
  <c r="C47" i="12"/>
  <c r="L47" i="12" s="1"/>
  <c r="M47" i="12" s="1"/>
  <c r="N47" i="12" s="1"/>
  <c r="AC47" i="73" s="1"/>
  <c r="BI43" i="69"/>
  <c r="BI23" i="69"/>
  <c r="C23" i="12"/>
  <c r="BI42" i="69"/>
  <c r="C42" i="12"/>
  <c r="BI69" i="69"/>
  <c r="C69" i="12"/>
  <c r="H69" i="13" s="1"/>
  <c r="I69" i="13" s="1"/>
  <c r="BI41" i="69"/>
  <c r="C41" i="12"/>
  <c r="D41" i="13" s="1"/>
  <c r="BI37" i="69"/>
  <c r="C37" i="12"/>
  <c r="H37" i="13" s="1"/>
  <c r="I37" i="13" s="1"/>
  <c r="C21" i="12"/>
  <c r="BI21" i="69"/>
  <c r="L30" i="12"/>
  <c r="M30" i="12" s="1"/>
  <c r="N30" i="12" s="1"/>
  <c r="AC30" i="73" s="1"/>
  <c r="H20" i="13"/>
  <c r="I20" i="13" s="1"/>
  <c r="F20" i="13"/>
  <c r="L20" i="12"/>
  <c r="M20" i="12" s="1"/>
  <c r="N20" i="12" s="1"/>
  <c r="AC20" i="73" s="1"/>
  <c r="E20" i="73"/>
  <c r="AF20" i="73" s="1"/>
  <c r="M20" i="25"/>
  <c r="N20" i="25" s="1"/>
  <c r="D20" i="13"/>
  <c r="BI73" i="69"/>
  <c r="C73" i="12"/>
  <c r="C65" i="12"/>
  <c r="H65" i="13" s="1"/>
  <c r="I65" i="13" s="1"/>
  <c r="BI61" i="69"/>
  <c r="C61" i="12"/>
  <c r="C57" i="12"/>
  <c r="BI57" i="69"/>
  <c r="C53" i="12"/>
  <c r="L53" i="12" s="1"/>
  <c r="M53" i="12" s="1"/>
  <c r="N53" i="12" s="1"/>
  <c r="AC53" i="73" s="1"/>
  <c r="BI53" i="69"/>
  <c r="BI49" i="69"/>
  <c r="C49" i="12"/>
  <c r="E49" i="73" s="1"/>
  <c r="AF49" i="73" s="1"/>
  <c r="BI45" i="69"/>
  <c r="C45" i="12"/>
  <c r="BI33" i="69"/>
  <c r="C33" i="12"/>
  <c r="E33" i="73" s="1"/>
  <c r="AF33" i="73" s="1"/>
  <c r="BI29" i="69"/>
  <c r="C29" i="12"/>
  <c r="BI25" i="69"/>
  <c r="C25" i="12"/>
  <c r="D25" i="13" s="1"/>
  <c r="BI17" i="69"/>
  <c r="C17" i="12"/>
  <c r="C13" i="12"/>
  <c r="BI13" i="69"/>
  <c r="H44" i="13"/>
  <c r="I44" i="13" s="1"/>
  <c r="E44" i="73"/>
  <c r="AF44" i="73" s="1"/>
  <c r="L44" i="12"/>
  <c r="M44" i="12" s="1"/>
  <c r="N44" i="12" s="1"/>
  <c r="AC44" i="73" s="1"/>
  <c r="M44" i="25"/>
  <c r="N44" i="25" s="1"/>
  <c r="D44" i="13"/>
  <c r="H22" i="13"/>
  <c r="I22" i="13" s="1"/>
  <c r="F22" i="13"/>
  <c r="L22" i="12"/>
  <c r="M22" i="12" s="1"/>
  <c r="N22" i="12" s="1"/>
  <c r="AC22" i="73" s="1"/>
  <c r="D22" i="13"/>
  <c r="M22" i="25"/>
  <c r="N22" i="25" s="1"/>
  <c r="E22" i="73"/>
  <c r="AF22" i="73" s="1"/>
  <c r="D14" i="13"/>
  <c r="BI59" i="69"/>
  <c r="C55" i="12"/>
  <c r="BI55" i="69"/>
  <c r="BI51" i="69"/>
  <c r="C39" i="12"/>
  <c r="BI39" i="69"/>
  <c r="C35" i="12"/>
  <c r="F35" i="13" s="1"/>
  <c r="BI31" i="69"/>
  <c r="C31" i="12"/>
  <c r="L31" i="12" s="1"/>
  <c r="BI19" i="69"/>
  <c r="BI15" i="69"/>
  <c r="C15" i="12"/>
  <c r="F15" i="13" s="1"/>
  <c r="BI11" i="69"/>
  <c r="BI9" i="69"/>
  <c r="C9" i="12"/>
  <c r="H9" i="13" s="1"/>
  <c r="I9" i="13" s="1"/>
  <c r="G14" i="17"/>
  <c r="F14" i="13"/>
  <c r="M62" i="25"/>
  <c r="N62" i="25" s="1"/>
  <c r="F62" i="13"/>
  <c r="H62" i="13"/>
  <c r="I62" i="13" s="1"/>
  <c r="D62" i="13"/>
  <c r="L62" i="12"/>
  <c r="M62" i="12" s="1"/>
  <c r="N62" i="12" s="1"/>
  <c r="E62" i="73"/>
  <c r="AF62" i="73" s="1"/>
  <c r="M26" i="25"/>
  <c r="N26" i="25" s="1"/>
  <c r="L26" i="12"/>
  <c r="M26" i="12" s="1"/>
  <c r="N26" i="12" s="1"/>
  <c r="AC26" i="73" s="1"/>
  <c r="E26" i="73"/>
  <c r="AF26" i="73" s="1"/>
  <c r="F38" i="13"/>
  <c r="H38" i="13"/>
  <c r="I38" i="13" s="1"/>
  <c r="F58" i="13"/>
  <c r="H58" i="13"/>
  <c r="I58" i="13" s="1"/>
  <c r="D58" i="13"/>
  <c r="M58" i="25"/>
  <c r="N58" i="25" s="1"/>
  <c r="L58" i="12"/>
  <c r="M58" i="12" s="1"/>
  <c r="N58" i="12" s="1"/>
  <c r="E58" i="73"/>
  <c r="AF58" i="73" s="1"/>
  <c r="M52" i="25"/>
  <c r="N52" i="25" s="1"/>
  <c r="D52" i="13"/>
  <c r="D36" i="13"/>
  <c r="L36" i="12"/>
  <c r="M36" i="12" s="1"/>
  <c r="N36" i="12" s="1"/>
  <c r="AC36" i="73" s="1"/>
  <c r="F36" i="13"/>
  <c r="M36" i="25"/>
  <c r="N36" i="25" s="1"/>
  <c r="E36" i="73"/>
  <c r="AF36" i="73" s="1"/>
  <c r="L48" i="12"/>
  <c r="M48" i="12" s="1"/>
  <c r="N48" i="12" s="1"/>
  <c r="AC48" i="73" s="1"/>
  <c r="F8" i="13"/>
  <c r="H8" i="13"/>
  <c r="I8" i="13" s="1"/>
  <c r="L8" i="12"/>
  <c r="M8" i="12" s="1"/>
  <c r="N8" i="12" s="1"/>
  <c r="AC8" i="73" s="1"/>
  <c r="E8" i="73"/>
  <c r="AF8" i="73" s="1"/>
  <c r="M8" i="25"/>
  <c r="N8" i="25" s="1"/>
  <c r="D8" i="13"/>
  <c r="M40" i="25"/>
  <c r="N40" i="25" s="1"/>
  <c r="L40" i="12"/>
  <c r="M40" i="12" s="1"/>
  <c r="N40" i="12" s="1"/>
  <c r="AC40" i="73" s="1"/>
  <c r="D40" i="13"/>
  <c r="F40" i="13"/>
  <c r="E40" i="73"/>
  <c r="AF40" i="73" s="1"/>
  <c r="H40" i="13"/>
  <c r="I40" i="13" s="1"/>
  <c r="M16" i="25"/>
  <c r="N16" i="25" s="1"/>
  <c r="E12" i="73"/>
  <c r="AF12" i="73" s="1"/>
  <c r="D12" i="13"/>
  <c r="H12" i="13"/>
  <c r="I12" i="13" s="1"/>
  <c r="F46" i="13"/>
  <c r="L46" i="12"/>
  <c r="M46" i="12" s="1"/>
  <c r="N46" i="12" s="1"/>
  <c r="AC46" i="73" s="1"/>
  <c r="E46" i="73"/>
  <c r="AF46" i="73" s="1"/>
  <c r="D46" i="13"/>
  <c r="M46" i="25"/>
  <c r="N46" i="25" s="1"/>
  <c r="H46" i="13"/>
  <c r="I46" i="13" s="1"/>
  <c r="E74" i="73"/>
  <c r="AF74" i="73" s="1"/>
  <c r="H74" i="13"/>
  <c r="I74" i="13" s="1"/>
  <c r="D74" i="13"/>
  <c r="F74" i="13"/>
  <c r="M74" i="25"/>
  <c r="N74" i="25" s="1"/>
  <c r="L74" i="12"/>
  <c r="M74" i="12" s="1"/>
  <c r="N74" i="12" s="1"/>
  <c r="AC74" i="73" s="1"/>
  <c r="D11" i="13"/>
  <c r="M31" i="12"/>
  <c r="N31" i="12" s="1"/>
  <c r="AC31" i="73" s="1"/>
  <c r="M31" i="25"/>
  <c r="N31" i="25" s="1"/>
  <c r="D31" i="13"/>
  <c r="F39" i="13"/>
  <c r="E39" i="73"/>
  <c r="AF39" i="73" s="1"/>
  <c r="L39" i="12"/>
  <c r="M39" i="12" s="1"/>
  <c r="N39" i="12" s="1"/>
  <c r="AC39" i="73" s="1"/>
  <c r="H39" i="13"/>
  <c r="I39" i="13" s="1"/>
  <c r="M39" i="25"/>
  <c r="N39" i="25" s="1"/>
  <c r="D39" i="13"/>
  <c r="D69" i="13"/>
  <c r="D47" i="13"/>
  <c r="M47" i="25"/>
  <c r="N47" i="25" s="1"/>
  <c r="F67" i="13"/>
  <c r="D67" i="13"/>
  <c r="E59" i="73"/>
  <c r="AF59" i="73" s="1"/>
  <c r="D59" i="13"/>
  <c r="M13" i="25"/>
  <c r="N13" i="25" s="1"/>
  <c r="L29" i="12"/>
  <c r="M29" i="12" s="1"/>
  <c r="N29" i="12" s="1"/>
  <c r="AC29" i="73" s="1"/>
  <c r="E29" i="73"/>
  <c r="AF29" i="73" s="1"/>
  <c r="H29" i="13"/>
  <c r="I29" i="13" s="1"/>
  <c r="F29" i="13"/>
  <c r="M29" i="25"/>
  <c r="N29" i="25" s="1"/>
  <c r="D29" i="13"/>
  <c r="H73" i="13"/>
  <c r="I73" i="13" s="1"/>
  <c r="M73" i="25"/>
  <c r="N73" i="25" s="1"/>
  <c r="H41" i="13"/>
  <c r="I41" i="13" s="1"/>
  <c r="E41" i="73"/>
  <c r="AF41" i="73" s="1"/>
  <c r="L41" i="12"/>
  <c r="M41" i="12" s="1"/>
  <c r="F41" i="13"/>
  <c r="D75" i="13"/>
  <c r="M15" i="25"/>
  <c r="N15" i="25" s="1"/>
  <c r="E55" i="73"/>
  <c r="AF55" i="73" s="1"/>
  <c r="F55" i="13"/>
  <c r="L55" i="12"/>
  <c r="M55" i="12" s="1"/>
  <c r="N55" i="12" s="1"/>
  <c r="AC55" i="73" s="1"/>
  <c r="D55" i="13"/>
  <c r="H55" i="13"/>
  <c r="I55" i="13" s="1"/>
  <c r="M55" i="25"/>
  <c r="N55" i="25" s="1"/>
  <c r="M49" i="25"/>
  <c r="N49" i="25" s="1"/>
  <c r="H53" i="13"/>
  <c r="I53" i="13" s="1"/>
  <c r="E53" i="73"/>
  <c r="D57" i="13"/>
  <c r="E65" i="73"/>
  <c r="AF65" i="73" s="1"/>
  <c r="M37" i="25"/>
  <c r="N37" i="25" s="1"/>
  <c r="M42" i="25"/>
  <c r="N42" i="25" s="1"/>
  <c r="E42" i="73"/>
  <c r="AF42" i="73" s="1"/>
  <c r="F42" i="13"/>
  <c r="L42" i="12"/>
  <c r="M42" i="12" s="1"/>
  <c r="N42" i="12" s="1"/>
  <c r="AC42" i="73" s="1"/>
  <c r="H42" i="13"/>
  <c r="I42" i="13" s="1"/>
  <c r="F43" i="13"/>
  <c r="E43" i="73"/>
  <c r="AF43" i="73" s="1"/>
  <c r="M43" i="25"/>
  <c r="N43" i="25" s="1"/>
  <c r="D71" i="13"/>
  <c r="L71" i="12"/>
  <c r="M71" i="12" s="1"/>
  <c r="N71" i="12" s="1"/>
  <c r="AC71" i="73" s="1"/>
  <c r="E71" i="73"/>
  <c r="AF71" i="73" s="1"/>
  <c r="M71" i="25"/>
  <c r="N71" i="25" s="1"/>
  <c r="H71" i="13"/>
  <c r="I71" i="13" s="1"/>
  <c r="F71" i="13"/>
  <c r="E9" i="73"/>
  <c r="AF9" i="73" s="1"/>
  <c r="D19" i="13"/>
  <c r="E19" i="73"/>
  <c r="AF19" i="73" s="1"/>
  <c r="M35" i="25"/>
  <c r="N35" i="25" s="1"/>
  <c r="L51" i="12"/>
  <c r="M51" i="12" s="1"/>
  <c r="N51" i="12" s="1"/>
  <c r="AC51" i="73" s="1"/>
  <c r="H51" i="13"/>
  <c r="I51" i="13" s="1"/>
  <c r="E51" i="73"/>
  <c r="AF51" i="73" s="1"/>
  <c r="F17" i="13"/>
  <c r="H17" i="13"/>
  <c r="I17" i="13" s="1"/>
  <c r="E17" i="73"/>
  <c r="AF17" i="73" s="1"/>
  <c r="L17" i="12"/>
  <c r="M17" i="12" s="1"/>
  <c r="N17" i="12" s="1"/>
  <c r="AC17" i="73" s="1"/>
  <c r="D17" i="13"/>
  <c r="M17" i="25"/>
  <c r="N17" i="25" s="1"/>
  <c r="H25" i="13"/>
  <c r="I25" i="13" s="1"/>
  <c r="H45" i="13"/>
  <c r="I45" i="13" s="1"/>
  <c r="D45" i="13"/>
  <c r="L45" i="12"/>
  <c r="M45" i="12" s="1"/>
  <c r="N45" i="12" s="1"/>
  <c r="AC45" i="73" s="1"/>
  <c r="F45" i="13"/>
  <c r="E45" i="73"/>
  <c r="M45" i="25"/>
  <c r="N45" i="25" s="1"/>
  <c r="F61" i="13"/>
  <c r="D61" i="13"/>
  <c r="H61" i="13"/>
  <c r="I61" i="13" s="1"/>
  <c r="E61" i="73"/>
  <c r="AF61" i="73" s="1"/>
  <c r="M61" i="25"/>
  <c r="N61" i="25" s="1"/>
  <c r="L61" i="12"/>
  <c r="M61" i="12" s="1"/>
  <c r="N61" i="12" s="1"/>
  <c r="AC61" i="73" s="1"/>
  <c r="AC58" i="73"/>
  <c r="AF45" i="73"/>
  <c r="AF53" i="73"/>
  <c r="AO56" i="9" l="1"/>
  <c r="AO19" i="9"/>
  <c r="AP64" i="9"/>
  <c r="AP28" i="9"/>
  <c r="AO68" i="9"/>
  <c r="AO40" i="9"/>
  <c r="AP24" i="9"/>
  <c r="F25" i="13"/>
  <c r="E37" i="73"/>
  <c r="AF37" i="73" s="1"/>
  <c r="D37" i="13"/>
  <c r="F49" i="13"/>
  <c r="L15" i="12"/>
  <c r="M15" i="12" s="1"/>
  <c r="N15" i="12" s="1"/>
  <c r="AC15" i="73" s="1"/>
  <c r="M69" i="25"/>
  <c r="N69" i="25" s="1"/>
  <c r="L33" i="12"/>
  <c r="M33" i="12" s="1"/>
  <c r="D16" i="13"/>
  <c r="F16" i="13"/>
  <c r="H14" i="13"/>
  <c r="I14" i="13" s="1"/>
  <c r="E14" i="73"/>
  <c r="AF14" i="73" s="1"/>
  <c r="L50" i="12"/>
  <c r="M50" i="12" s="1"/>
  <c r="N50" i="12" s="1"/>
  <c r="AC50" i="73" s="1"/>
  <c r="E50" i="73"/>
  <c r="AF50" i="73" s="1"/>
  <c r="E70" i="73"/>
  <c r="AF70" i="73" s="1"/>
  <c r="E21" i="12"/>
  <c r="I21" i="73" s="1"/>
  <c r="V11" i="73"/>
  <c r="AA10" i="73"/>
  <c r="E49" i="12"/>
  <c r="I49" i="73" s="1"/>
  <c r="Q72" i="73"/>
  <c r="M25" i="25"/>
  <c r="N25" i="25" s="1"/>
  <c r="L37" i="12"/>
  <c r="M37" i="12" s="1"/>
  <c r="N37" i="12" s="1"/>
  <c r="AC37" i="73" s="1"/>
  <c r="F37" i="13"/>
  <c r="H15" i="13"/>
  <c r="I15" i="13" s="1"/>
  <c r="L69" i="12"/>
  <c r="M69" i="12" s="1"/>
  <c r="N69" i="12" s="1"/>
  <c r="AC69" i="73" s="1"/>
  <c r="D33" i="13"/>
  <c r="L16" i="12"/>
  <c r="M16" i="12" s="1"/>
  <c r="N16" i="12" s="1"/>
  <c r="AC16" i="73" s="1"/>
  <c r="D72" i="13"/>
  <c r="L14" i="12"/>
  <c r="M14" i="12" s="1"/>
  <c r="N14" i="12" s="1"/>
  <c r="AC14" i="73" s="1"/>
  <c r="D50" i="13"/>
  <c r="M50" i="25"/>
  <c r="N50" i="25" s="1"/>
  <c r="L70" i="12"/>
  <c r="M70" i="12" s="1"/>
  <c r="N70" i="12" s="1"/>
  <c r="AC70" i="73" s="1"/>
  <c r="M72" i="25"/>
  <c r="N72" i="25" s="1"/>
  <c r="E33" i="12"/>
  <c r="L53" i="73"/>
  <c r="V39" i="73"/>
  <c r="K30" i="12"/>
  <c r="X30" i="73" s="1"/>
  <c r="E25" i="73"/>
  <c r="AF25" i="73" s="1"/>
  <c r="L25" i="12"/>
  <c r="M25" i="12" s="1"/>
  <c r="N25" i="12" s="1"/>
  <c r="AC25" i="73" s="1"/>
  <c r="D49" i="13"/>
  <c r="E15" i="73"/>
  <c r="AF15" i="73" s="1"/>
  <c r="E69" i="73"/>
  <c r="AF69" i="73" s="1"/>
  <c r="M33" i="25"/>
  <c r="N33" i="25" s="1"/>
  <c r="H16" i="13"/>
  <c r="I16" i="13" s="1"/>
  <c r="L72" i="12"/>
  <c r="M72" i="12" s="1"/>
  <c r="N72" i="12" s="1"/>
  <c r="AC72" i="73" s="1"/>
  <c r="H72" i="13"/>
  <c r="I72" i="13" s="1"/>
  <c r="D70" i="13"/>
  <c r="E9" i="12"/>
  <c r="I9" i="73" s="1"/>
  <c r="AA18" i="73"/>
  <c r="AA42" i="73"/>
  <c r="AA66" i="73"/>
  <c r="I31" i="12"/>
  <c r="S31" i="73" s="1"/>
  <c r="AC74" i="68"/>
  <c r="AC72" i="68"/>
  <c r="AC68" i="68"/>
  <c r="AC66" i="68"/>
  <c r="AC64" i="68"/>
  <c r="AC60" i="68"/>
  <c r="AC58" i="68"/>
  <c r="AC56" i="68"/>
  <c r="AC54" i="68"/>
  <c r="AC48" i="68"/>
  <c r="AC46" i="68"/>
  <c r="AC44" i="68"/>
  <c r="AC36" i="68"/>
  <c r="AC34" i="68"/>
  <c r="AC28" i="68"/>
  <c r="AC26" i="68"/>
  <c r="AC24" i="68"/>
  <c r="AC20" i="68"/>
  <c r="AC18" i="68"/>
  <c r="AC16" i="68"/>
  <c r="AC10" i="68"/>
  <c r="AC8" i="68"/>
  <c r="AD31" i="68"/>
  <c r="G43" i="68"/>
  <c r="H43" i="68"/>
  <c r="D43" i="67" s="1"/>
  <c r="AB39" i="68"/>
  <c r="G39" i="68"/>
  <c r="AB23" i="68"/>
  <c r="H23" i="68"/>
  <c r="D23" i="67" s="1"/>
  <c r="G9" i="68"/>
  <c r="H9" i="68"/>
  <c r="D9" i="67" s="1"/>
  <c r="AC12" i="68"/>
  <c r="AD39" i="68"/>
  <c r="H64" i="68"/>
  <c r="D64" i="67" s="1"/>
  <c r="AB64" i="68"/>
  <c r="H57" i="68"/>
  <c r="D57" i="67" s="1"/>
  <c r="AC57" i="68"/>
  <c r="G30" i="68"/>
  <c r="AB30" i="68"/>
  <c r="G26" i="68"/>
  <c r="AB26" i="68"/>
  <c r="G35" i="68"/>
  <c r="AB43" i="68"/>
  <c r="G33" i="68"/>
  <c r="H33" i="68"/>
  <c r="D33" i="67" s="1"/>
  <c r="AC33" i="68"/>
  <c r="AA76" i="68"/>
  <c r="G74" i="68"/>
  <c r="H74" i="68"/>
  <c r="D74" i="67" s="1"/>
  <c r="AC69" i="68"/>
  <c r="G69" i="68"/>
  <c r="AB69" i="68"/>
  <c r="C71" i="67"/>
  <c r="AD71" i="68"/>
  <c r="AE73" i="68"/>
  <c r="AE69" i="68"/>
  <c r="AD69" i="68" s="1"/>
  <c r="AE65" i="68"/>
  <c r="AE61" i="68"/>
  <c r="AE57" i="68"/>
  <c r="AE53" i="68"/>
  <c r="AE49" i="68"/>
  <c r="AE45" i="68"/>
  <c r="AE41" i="68"/>
  <c r="AE37" i="68"/>
  <c r="AQ37" i="68" s="1"/>
  <c r="Y37" i="12" s="1"/>
  <c r="AE33" i="68"/>
  <c r="AE29" i="68"/>
  <c r="AD29" i="68" s="1"/>
  <c r="AE25" i="68"/>
  <c r="AE21" i="68"/>
  <c r="AE19" i="68"/>
  <c r="AE17" i="68"/>
  <c r="AE15" i="68"/>
  <c r="AE13" i="68"/>
  <c r="AE11" i="68"/>
  <c r="AE9" i="68"/>
  <c r="AB7" i="68"/>
  <c r="AE74" i="68"/>
  <c r="AE72" i="68"/>
  <c r="AE70" i="68"/>
  <c r="AE68" i="68"/>
  <c r="AE66" i="68"/>
  <c r="AE64" i="68"/>
  <c r="AE62" i="68"/>
  <c r="AE60" i="68"/>
  <c r="AE58" i="68"/>
  <c r="AE56" i="68"/>
  <c r="AE54" i="68"/>
  <c r="AE52" i="68"/>
  <c r="AE50" i="68"/>
  <c r="AE48" i="68"/>
  <c r="AD48" i="68" s="1"/>
  <c r="AE46" i="68"/>
  <c r="AE44" i="68"/>
  <c r="AE42" i="68"/>
  <c r="AE40" i="68"/>
  <c r="AE38" i="68"/>
  <c r="AE36" i="68"/>
  <c r="C36" i="67" s="1"/>
  <c r="AE34" i="68"/>
  <c r="AQ34" i="68" s="1"/>
  <c r="AE32" i="68"/>
  <c r="AE30" i="68"/>
  <c r="AE28" i="68"/>
  <c r="AE26" i="68"/>
  <c r="AE24" i="68"/>
  <c r="AE22" i="68"/>
  <c r="C22" i="67" s="1"/>
  <c r="AE20" i="68"/>
  <c r="AQ20" i="68" s="1"/>
  <c r="AE18" i="68"/>
  <c r="AQ18" i="68" s="1"/>
  <c r="AE16" i="68"/>
  <c r="AE14" i="68"/>
  <c r="C14" i="67" s="1"/>
  <c r="AE12" i="68"/>
  <c r="AE10" i="68"/>
  <c r="AQ10" i="68" s="1"/>
  <c r="AE8" i="68"/>
  <c r="AB59" i="68"/>
  <c r="G59" i="68"/>
  <c r="H59" i="68"/>
  <c r="D59" i="67" s="1"/>
  <c r="H55" i="68"/>
  <c r="D55" i="67" s="1"/>
  <c r="G55" i="68"/>
  <c r="AC51" i="68"/>
  <c r="AB51" i="68"/>
  <c r="H51" i="68"/>
  <c r="D51" i="67" s="1"/>
  <c r="G51" i="68"/>
  <c r="G19" i="68"/>
  <c r="H19" i="68"/>
  <c r="G36" i="68"/>
  <c r="H36" i="68"/>
  <c r="D36" i="67" s="1"/>
  <c r="AB36" i="68"/>
  <c r="AQ69" i="68"/>
  <c r="Y69" i="12" s="1"/>
  <c r="AQ29" i="68"/>
  <c r="Y29" i="12" s="1"/>
  <c r="C29" i="67"/>
  <c r="C11" i="67"/>
  <c r="AQ11" i="68"/>
  <c r="Y11" i="12" s="1"/>
  <c r="AD11" i="68"/>
  <c r="AD9" i="68"/>
  <c r="AC76" i="68"/>
  <c r="AB53" i="68"/>
  <c r="G53" i="68"/>
  <c r="H53" i="68"/>
  <c r="D53" i="67" s="1"/>
  <c r="AC53" i="68"/>
  <c r="AB49" i="68"/>
  <c r="G49" i="68"/>
  <c r="G15" i="68"/>
  <c r="AC15" i="68"/>
  <c r="AC42" i="68"/>
  <c r="AC40" i="68"/>
  <c r="AC38" i="68"/>
  <c r="G38" i="68"/>
  <c r="H38" i="68"/>
  <c r="D38" i="67" s="1"/>
  <c r="AD72" i="68"/>
  <c r="AQ22" i="68"/>
  <c r="Y22" i="12" s="1"/>
  <c r="AD22" i="68"/>
  <c r="AQ14" i="68"/>
  <c r="Y14" i="12" s="1"/>
  <c r="AD14" i="68"/>
  <c r="X76" i="68"/>
  <c r="AB15" i="68"/>
  <c r="AE7" i="68"/>
  <c r="AD51" i="68"/>
  <c r="AQ30" i="68"/>
  <c r="Y30" i="12" s="1"/>
  <c r="AQ54" i="68"/>
  <c r="Y54" i="12" s="1"/>
  <c r="AB9" i="68"/>
  <c r="F30" i="67"/>
  <c r="AK14" i="68"/>
  <c r="AQ19" i="68"/>
  <c r="Y19" i="12" s="1"/>
  <c r="AQ59" i="68"/>
  <c r="Y59" i="12" s="1"/>
  <c r="AK30" i="68"/>
  <c r="AM30" i="68" s="1"/>
  <c r="G30" i="67" s="1"/>
  <c r="E32" i="73"/>
  <c r="AF32" i="73" s="1"/>
  <c r="D32" i="13"/>
  <c r="M32" i="25"/>
  <c r="N32" i="25" s="1"/>
  <c r="L32" i="12"/>
  <c r="M32" i="12" s="1"/>
  <c r="N32" i="12" s="1"/>
  <c r="AC32" i="73" s="1"/>
  <c r="H32" i="13"/>
  <c r="I32" i="13" s="1"/>
  <c r="C9" i="16"/>
  <c r="BI67" i="69"/>
  <c r="C60" i="12"/>
  <c r="BI60" i="69"/>
  <c r="E13" i="73"/>
  <c r="AF13" i="73" s="1"/>
  <c r="D13" i="13"/>
  <c r="F13" i="13"/>
  <c r="H13" i="13"/>
  <c r="I13" i="13" s="1"/>
  <c r="L13" i="12"/>
  <c r="M13" i="12" s="1"/>
  <c r="N13" i="12" s="1"/>
  <c r="AC13" i="73" s="1"/>
  <c r="F57" i="13"/>
  <c r="M57" i="25"/>
  <c r="N57" i="25" s="1"/>
  <c r="D73" i="13"/>
  <c r="E73" i="73"/>
  <c r="AF73" i="73" s="1"/>
  <c r="F73" i="13"/>
  <c r="L73" i="12"/>
  <c r="M73" i="12" s="1"/>
  <c r="N73" i="12" s="1"/>
  <c r="AC73" i="73" s="1"/>
  <c r="D21" i="13"/>
  <c r="H21" i="13"/>
  <c r="I21" i="13" s="1"/>
  <c r="BI48" i="69"/>
  <c r="L52" i="12"/>
  <c r="M52" i="12" s="1"/>
  <c r="N52" i="12" s="1"/>
  <c r="AC52" i="73" s="1"/>
  <c r="E52" i="73"/>
  <c r="AF52" i="73" s="1"/>
  <c r="F52" i="13"/>
  <c r="H52" i="13"/>
  <c r="I52" i="13" s="1"/>
  <c r="E67" i="73"/>
  <c r="AF67" i="73" s="1"/>
  <c r="L67" i="12"/>
  <c r="M67" i="12" s="1"/>
  <c r="N67" i="12" s="1"/>
  <c r="AC67" i="73" s="1"/>
  <c r="M67" i="25"/>
  <c r="N67" i="25" s="1"/>
  <c r="H67" i="13"/>
  <c r="I67" i="13" s="1"/>
  <c r="H59" i="13"/>
  <c r="I59" i="13" s="1"/>
  <c r="F59" i="13"/>
  <c r="L59" i="12"/>
  <c r="M59" i="12" s="1"/>
  <c r="N59" i="12" s="1"/>
  <c r="AC59" i="73" s="1"/>
  <c r="M59" i="25"/>
  <c r="N59" i="25" s="1"/>
  <c r="M51" i="25"/>
  <c r="N51" i="25" s="1"/>
  <c r="D51" i="13"/>
  <c r="L43" i="12"/>
  <c r="M43" i="12" s="1"/>
  <c r="N43" i="12" s="1"/>
  <c r="AC43" i="73" s="1"/>
  <c r="D43" i="13"/>
  <c r="H43" i="13"/>
  <c r="I43" i="13" s="1"/>
  <c r="BI27" i="69"/>
  <c r="C27" i="12"/>
  <c r="F19" i="13"/>
  <c r="M19" i="25"/>
  <c r="N19" i="25" s="1"/>
  <c r="L19" i="12"/>
  <c r="M19" i="12" s="1"/>
  <c r="N19" i="12" s="1"/>
  <c r="AC19" i="73" s="1"/>
  <c r="H19" i="13"/>
  <c r="I19" i="13" s="1"/>
  <c r="E56" i="73"/>
  <c r="AF56" i="73" s="1"/>
  <c r="F56" i="13"/>
  <c r="M56" i="25"/>
  <c r="N56" i="25" s="1"/>
  <c r="L56" i="12"/>
  <c r="M56" i="12" s="1"/>
  <c r="H56" i="13"/>
  <c r="I56" i="13" s="1"/>
  <c r="C34" i="12"/>
  <c r="C76" i="12" s="1"/>
  <c r="M38" i="25"/>
  <c r="N38" i="25" s="1"/>
  <c r="L38" i="12"/>
  <c r="M38" i="12" s="1"/>
  <c r="N38" i="12" s="1"/>
  <c r="AC38" i="73" s="1"/>
  <c r="D38" i="13"/>
  <c r="E38" i="73"/>
  <c r="AF38" i="73" s="1"/>
  <c r="E30" i="73"/>
  <c r="AF30" i="73" s="1"/>
  <c r="M30" i="25"/>
  <c r="N30" i="25" s="1"/>
  <c r="D30" i="13"/>
  <c r="H30" i="13"/>
  <c r="I30" i="13" s="1"/>
  <c r="D35" i="13"/>
  <c r="L35" i="12"/>
  <c r="M35" i="12" s="1"/>
  <c r="N35" i="12" s="1"/>
  <c r="H35" i="13"/>
  <c r="I35" i="13" s="1"/>
  <c r="L23" i="12"/>
  <c r="M23" i="12" s="1"/>
  <c r="N23" i="12" s="1"/>
  <c r="AC23" i="73" s="1"/>
  <c r="H23" i="13"/>
  <c r="I23" i="13" s="1"/>
  <c r="M75" i="25"/>
  <c r="N75" i="25" s="1"/>
  <c r="L75" i="12"/>
  <c r="M75" i="12" s="1"/>
  <c r="N75" i="12" s="1"/>
  <c r="AC75" i="73" s="1"/>
  <c r="E75" i="73"/>
  <c r="AF75" i="73" s="1"/>
  <c r="H75" i="13"/>
  <c r="I75" i="13" s="1"/>
  <c r="F48" i="13"/>
  <c r="D48" i="13"/>
  <c r="M48" i="25"/>
  <c r="N48" i="25" s="1"/>
  <c r="E48" i="73"/>
  <c r="AF48" i="73" s="1"/>
  <c r="H48" i="13"/>
  <c r="I48" i="13" s="1"/>
  <c r="C24" i="12"/>
  <c r="BI24" i="69"/>
  <c r="H10" i="13"/>
  <c r="I10" i="13" s="1"/>
  <c r="M10" i="25"/>
  <c r="N10" i="25" s="1"/>
  <c r="F10" i="13"/>
  <c r="L10" i="12"/>
  <c r="M10" i="12" s="1"/>
  <c r="N10" i="12" s="1"/>
  <c r="AC10" i="73" s="1"/>
  <c r="E10" i="73"/>
  <c r="AF10" i="73" s="1"/>
  <c r="M66" i="25"/>
  <c r="N66" i="25" s="1"/>
  <c r="L66" i="12"/>
  <c r="M66" i="12" s="1"/>
  <c r="N66" i="12" s="1"/>
  <c r="E66" i="73"/>
  <c r="AF66" i="73" s="1"/>
  <c r="H66" i="13"/>
  <c r="I66" i="13" s="1"/>
  <c r="F66" i="13"/>
  <c r="BI54" i="69"/>
  <c r="C54" i="12"/>
  <c r="AR54" i="68" s="1"/>
  <c r="BI28" i="69"/>
  <c r="C28" i="12"/>
  <c r="AO76" i="76"/>
  <c r="AO77" i="76" s="1"/>
  <c r="D53" i="13"/>
  <c r="D15" i="13"/>
  <c r="H47" i="13"/>
  <c r="I47" i="13" s="1"/>
  <c r="F47" i="13"/>
  <c r="H31" i="13"/>
  <c r="I31" i="13" s="1"/>
  <c r="G8" i="16"/>
  <c r="G9" i="16" s="1"/>
  <c r="C76" i="28"/>
  <c r="C84" i="28" s="1"/>
  <c r="C76" i="26"/>
  <c r="C84" i="26" s="1"/>
  <c r="D9" i="13"/>
  <c r="M53" i="25"/>
  <c r="N53" i="25" s="1"/>
  <c r="E47" i="73"/>
  <c r="AF47" i="73" s="1"/>
  <c r="E31" i="73"/>
  <c r="AF31" i="73" s="1"/>
  <c r="F31" i="13"/>
  <c r="N68" i="12"/>
  <c r="AC68" i="73" s="1"/>
  <c r="H49" i="13"/>
  <c r="I49" i="13" s="1"/>
  <c r="E23" i="73"/>
  <c r="AF23" i="73" s="1"/>
  <c r="L21" i="12"/>
  <c r="M21" i="12" s="1"/>
  <c r="N21" i="12" s="1"/>
  <c r="AC21" i="73" s="1"/>
  <c r="H33" i="13"/>
  <c r="I33" i="13" s="1"/>
  <c r="F33" i="13"/>
  <c r="E35" i="73"/>
  <c r="AF35" i="73" s="1"/>
  <c r="L65" i="12"/>
  <c r="M65" i="12" s="1"/>
  <c r="N65" i="12" s="1"/>
  <c r="L49" i="12"/>
  <c r="M49" i="12" s="1"/>
  <c r="N49" i="12" s="1"/>
  <c r="AC49" i="73" s="1"/>
  <c r="D23" i="13"/>
  <c r="E21" i="73"/>
  <c r="AF21" i="73" s="1"/>
  <c r="M21" i="25"/>
  <c r="N21" i="25" s="1"/>
  <c r="N33" i="12"/>
  <c r="AC33" i="73" s="1"/>
  <c r="G72" i="28"/>
  <c r="G52" i="28"/>
  <c r="G44" i="28"/>
  <c r="G24" i="28"/>
  <c r="G20" i="28"/>
  <c r="G12" i="28"/>
  <c r="G69" i="26"/>
  <c r="G65" i="26"/>
  <c r="G53" i="26"/>
  <c r="G41" i="26"/>
  <c r="G33" i="26"/>
  <c r="G29" i="26"/>
  <c r="G25" i="26"/>
  <c r="G17" i="26"/>
  <c r="G9" i="26"/>
  <c r="G74" i="27"/>
  <c r="G66" i="27"/>
  <c r="G62" i="27"/>
  <c r="G54" i="27"/>
  <c r="G46" i="27"/>
  <c r="G42" i="27"/>
  <c r="G38" i="27"/>
  <c r="G30" i="27"/>
  <c r="G26" i="27"/>
  <c r="G18" i="27"/>
  <c r="G10" i="27"/>
  <c r="G49" i="28"/>
  <c r="G63" i="28"/>
  <c r="G55" i="28"/>
  <c r="G47" i="28"/>
  <c r="G43" i="28"/>
  <c r="G27" i="28"/>
  <c r="G72" i="26"/>
  <c r="G68" i="26"/>
  <c r="G48" i="26"/>
  <c r="G40" i="26"/>
  <c r="G20" i="26"/>
  <c r="G16" i="26"/>
  <c r="G12" i="26"/>
  <c r="G57" i="27"/>
  <c r="G53" i="27"/>
  <c r="G49" i="27"/>
  <c r="G45" i="27"/>
  <c r="G25" i="27"/>
  <c r="M13" i="14"/>
  <c r="N25" i="14"/>
  <c r="M45" i="14"/>
  <c r="M49" i="14"/>
  <c r="M127" i="14"/>
  <c r="L58" i="73"/>
  <c r="E58" i="12"/>
  <c r="I58" i="73" s="1"/>
  <c r="I8" i="12"/>
  <c r="S8" i="73" s="1"/>
  <c r="V8" i="73"/>
  <c r="I12" i="12"/>
  <c r="S12" i="73" s="1"/>
  <c r="V12" i="73"/>
  <c r="I56" i="12"/>
  <c r="S56" i="73" s="1"/>
  <c r="V56" i="73"/>
  <c r="AA19" i="73"/>
  <c r="K19" i="12"/>
  <c r="X19" i="73" s="1"/>
  <c r="AA43" i="73"/>
  <c r="K43" i="12"/>
  <c r="X43" i="73" s="1"/>
  <c r="K47" i="12"/>
  <c r="X47" i="73" s="1"/>
  <c r="AA47" i="73"/>
  <c r="K63" i="12"/>
  <c r="X63" i="73" s="1"/>
  <c r="AA63" i="73"/>
  <c r="AQ23" i="68"/>
  <c r="AD23" i="68"/>
  <c r="C23" i="67"/>
  <c r="C31" i="67"/>
  <c r="AQ31" i="68"/>
  <c r="AD35" i="68"/>
  <c r="C35" i="67"/>
  <c r="AQ43" i="68"/>
  <c r="AD43" i="68"/>
  <c r="AQ47" i="68"/>
  <c r="Y47" i="12" s="1"/>
  <c r="AD47" i="68"/>
  <c r="AD55" i="68"/>
  <c r="AQ55" i="68"/>
  <c r="Y55" i="12" s="1"/>
  <c r="AQ75" i="68"/>
  <c r="C75" i="67"/>
  <c r="AD75" i="68"/>
  <c r="AK10" i="68"/>
  <c r="AK76" i="68" s="1"/>
  <c r="AL76" i="68" s="1"/>
  <c r="F18" i="67"/>
  <c r="AK22" i="68"/>
  <c r="F22" i="67"/>
  <c r="AK26" i="68"/>
  <c r="AN26" i="68" s="1"/>
  <c r="F26" i="67"/>
  <c r="AK34" i="68"/>
  <c r="AM34" i="68" s="1"/>
  <c r="G34" i="67" s="1"/>
  <c r="F34" i="67"/>
  <c r="AK58" i="68"/>
  <c r="F58" i="67"/>
  <c r="AQ58" i="68"/>
  <c r="Y58" i="12" s="1"/>
  <c r="AK66" i="68"/>
  <c r="AN66" i="68" s="1"/>
  <c r="F66" i="67"/>
  <c r="AO72" i="9"/>
  <c r="AP72" i="9"/>
  <c r="AP48" i="9"/>
  <c r="AO48" i="9"/>
  <c r="AP36" i="9"/>
  <c r="AO36" i="9"/>
  <c r="AP14" i="9"/>
  <c r="AO14" i="9"/>
  <c r="AP10" i="9"/>
  <c r="AO10" i="9"/>
  <c r="E71" i="12"/>
  <c r="I71" i="73" s="1"/>
  <c r="L71" i="73"/>
  <c r="G50" i="12"/>
  <c r="N50" i="73" s="1"/>
  <c r="Q50" i="73"/>
  <c r="G58" i="12"/>
  <c r="N58" i="73" s="1"/>
  <c r="Q58" i="73"/>
  <c r="G74" i="12"/>
  <c r="N74" i="73" s="1"/>
  <c r="Q74" i="73"/>
  <c r="I37" i="12"/>
  <c r="S37" i="73" s="1"/>
  <c r="V37" i="73"/>
  <c r="I65" i="12"/>
  <c r="S65" i="73" s="1"/>
  <c r="V65" i="73"/>
  <c r="K32" i="12"/>
  <c r="X32" i="73" s="1"/>
  <c r="AA32" i="73"/>
  <c r="K60" i="12"/>
  <c r="X60" i="73" s="1"/>
  <c r="AA60" i="73"/>
  <c r="AK27" i="68"/>
  <c r="AM27" i="68" s="1"/>
  <c r="G27" i="67" s="1"/>
  <c r="F27" i="67"/>
  <c r="E75" i="12"/>
  <c r="I75" i="73" s="1"/>
  <c r="L75" i="73"/>
  <c r="G42" i="12"/>
  <c r="N42" i="73" s="1"/>
  <c r="Q42" i="73"/>
  <c r="G54" i="12"/>
  <c r="N54" i="73" s="1"/>
  <c r="Q54" i="73"/>
  <c r="K68" i="12"/>
  <c r="X68" i="73" s="1"/>
  <c r="AA68" i="73"/>
  <c r="AD28" i="68"/>
  <c r="AQ28" i="68"/>
  <c r="Y28" i="12" s="1"/>
  <c r="AD64" i="68"/>
  <c r="C64" i="67"/>
  <c r="AQ64" i="68"/>
  <c r="AK75" i="68"/>
  <c r="AN75" i="68" s="1"/>
  <c r="F75" i="67"/>
  <c r="G109" i="14"/>
  <c r="F45" i="14"/>
  <c r="G45" i="14" s="1"/>
  <c r="O45" i="14" s="1"/>
  <c r="AQ7" i="68"/>
  <c r="AR7" i="68" s="1"/>
  <c r="C60" i="67"/>
  <c r="AD52" i="68"/>
  <c r="C32" i="67"/>
  <c r="AA35" i="73"/>
  <c r="Q62" i="73"/>
  <c r="K8" i="12"/>
  <c r="L67" i="73"/>
  <c r="L10" i="73"/>
  <c r="AA24" i="73"/>
  <c r="Q66" i="73"/>
  <c r="K72" i="12"/>
  <c r="X72" i="73" s="1"/>
  <c r="AO51" i="9"/>
  <c r="AO39" i="9"/>
  <c r="AD20" i="68"/>
  <c r="AQ72" i="68"/>
  <c r="Y72" i="12" s="1"/>
  <c r="AO9" i="9"/>
  <c r="C48" i="67"/>
  <c r="AQ63" i="68"/>
  <c r="Y63" i="12" s="1"/>
  <c r="AQ15" i="68"/>
  <c r="Y15" i="12" s="1"/>
  <c r="AI76" i="68"/>
  <c r="AQ48" i="68"/>
  <c r="Y48" i="12" s="1"/>
  <c r="AQ27" i="68"/>
  <c r="Y27" i="12" s="1"/>
  <c r="AQ51" i="68"/>
  <c r="Y51" i="12" s="1"/>
  <c r="AK55" i="68"/>
  <c r="AO55" i="68" s="1"/>
  <c r="AK19" i="68"/>
  <c r="E27" i="12"/>
  <c r="I27" i="73" s="1"/>
  <c r="L27" i="73"/>
  <c r="G14" i="12"/>
  <c r="N14" i="73" s="1"/>
  <c r="Q14" i="73"/>
  <c r="G46" i="12"/>
  <c r="N46" i="73" s="1"/>
  <c r="Q46" i="73"/>
  <c r="G70" i="12"/>
  <c r="N70" i="73" s="1"/>
  <c r="Q70" i="73"/>
  <c r="I13" i="12"/>
  <c r="S13" i="73" s="1"/>
  <c r="V13" i="73"/>
  <c r="I49" i="12"/>
  <c r="S49" i="73" s="1"/>
  <c r="V49" i="73"/>
  <c r="I61" i="12"/>
  <c r="S61" i="73" s="1"/>
  <c r="V61" i="73"/>
  <c r="K52" i="12"/>
  <c r="X52" i="73" s="1"/>
  <c r="AA52" i="73"/>
  <c r="AQ36" i="68"/>
  <c r="Y36" i="12" s="1"/>
  <c r="AD36" i="68"/>
  <c r="AK11" i="68"/>
  <c r="AL11" i="68" s="1"/>
  <c r="F11" i="67"/>
  <c r="AK35" i="68"/>
  <c r="F35" i="67"/>
  <c r="AK43" i="68"/>
  <c r="AM43" i="68" s="1"/>
  <c r="G43" i="67" s="1"/>
  <c r="F43" i="67"/>
  <c r="AK59" i="68"/>
  <c r="F59" i="67"/>
  <c r="AK67" i="68"/>
  <c r="AO67" i="68" s="1"/>
  <c r="F67" i="67"/>
  <c r="AP63" i="9"/>
  <c r="AO63" i="9"/>
  <c r="AP27" i="9"/>
  <c r="AO27" i="9"/>
  <c r="K104" i="14"/>
  <c r="I29" i="12"/>
  <c r="S29" i="73" s="1"/>
  <c r="Q10" i="73"/>
  <c r="Q38" i="73"/>
  <c r="V45" i="73"/>
  <c r="M14" i="14"/>
  <c r="AE76" i="68"/>
  <c r="AD68" i="68"/>
  <c r="AD40" i="68"/>
  <c r="V33" i="73"/>
  <c r="AA28" i="73"/>
  <c r="V9" i="73"/>
  <c r="AA64" i="73"/>
  <c r="AO55" i="9"/>
  <c r="V53" i="73"/>
  <c r="C56" i="67"/>
  <c r="C20" i="67"/>
  <c r="AQ39" i="68"/>
  <c r="Y39" i="12" s="1"/>
  <c r="C72" i="67"/>
  <c r="AQ67" i="68"/>
  <c r="Y67" i="12" s="1"/>
  <c r="C28" i="67"/>
  <c r="F31" i="67"/>
  <c r="F15" i="67"/>
  <c r="F76" i="67" s="1"/>
  <c r="AP18" i="9"/>
  <c r="H141" i="14"/>
  <c r="M134" i="14"/>
  <c r="M138" i="14"/>
  <c r="C14" i="17"/>
  <c r="AQ17" i="29"/>
  <c r="H12" i="29"/>
  <c r="H7" i="29"/>
  <c r="G8" i="26"/>
  <c r="G13" i="26"/>
  <c r="G21" i="26"/>
  <c r="G57" i="26"/>
  <c r="G32" i="28"/>
  <c r="G39" i="28"/>
  <c r="G57" i="28"/>
  <c r="G60" i="28"/>
  <c r="C76" i="27"/>
  <c r="C84" i="27" s="1"/>
  <c r="G7" i="28"/>
  <c r="G44" i="26"/>
  <c r="G11" i="28"/>
  <c r="G36" i="28"/>
  <c r="G40" i="28"/>
  <c r="G67" i="28"/>
  <c r="G9" i="27"/>
  <c r="G13" i="27"/>
  <c r="G17" i="27"/>
  <c r="G21" i="27"/>
  <c r="J67" i="15"/>
  <c r="BA67" i="9" s="1"/>
  <c r="J55" i="15"/>
  <c r="J43" i="15"/>
  <c r="BA43" i="9" s="1"/>
  <c r="J34" i="15"/>
  <c r="BA34" i="9" s="1"/>
  <c r="J79" i="15"/>
  <c r="V8" i="16" s="1"/>
  <c r="J33" i="15"/>
  <c r="BA33" i="9" s="1"/>
  <c r="J123" i="15"/>
  <c r="J119" i="15"/>
  <c r="J115" i="15"/>
  <c r="J111" i="15"/>
  <c r="J107" i="15"/>
  <c r="J103" i="15"/>
  <c r="J133" i="15"/>
  <c r="J118" i="15"/>
  <c r="I84" i="15"/>
  <c r="J74" i="15"/>
  <c r="BA74" i="9" s="1"/>
  <c r="J54" i="15"/>
  <c r="BA54" i="9" s="1"/>
  <c r="J82" i="15"/>
  <c r="J127" i="15"/>
  <c r="H141" i="15"/>
  <c r="J83" i="15"/>
  <c r="J39" i="15"/>
  <c r="BA39" i="9" s="1"/>
  <c r="J23" i="15"/>
  <c r="BA23" i="9" s="1"/>
  <c r="J15" i="15"/>
  <c r="BA15" i="9" s="1"/>
  <c r="J11" i="15"/>
  <c r="BA11" i="9" s="1"/>
  <c r="J80" i="15"/>
  <c r="J131" i="15"/>
  <c r="AA8" i="29" s="1"/>
  <c r="M109" i="14"/>
  <c r="D24" i="13"/>
  <c r="F24" i="13"/>
  <c r="H24" i="13"/>
  <c r="I24" i="13" s="1"/>
  <c r="M24" i="25"/>
  <c r="N24" i="25" s="1"/>
  <c r="L24" i="12"/>
  <c r="M24" i="12" s="1"/>
  <c r="N24" i="12" s="1"/>
  <c r="AC24" i="73" s="1"/>
  <c r="E24" i="73"/>
  <c r="AF24" i="73" s="1"/>
  <c r="D18" i="13"/>
  <c r="H18" i="13"/>
  <c r="I18" i="13" s="1"/>
  <c r="L18" i="12"/>
  <c r="M18" i="12" s="1"/>
  <c r="N18" i="12" s="1"/>
  <c r="F18" i="13"/>
  <c r="M18" i="25"/>
  <c r="N18" i="25" s="1"/>
  <c r="H11" i="13"/>
  <c r="I11" i="13" s="1"/>
  <c r="L11" i="12"/>
  <c r="M11" i="12" s="1"/>
  <c r="N11" i="12" s="1"/>
  <c r="AC11" i="73" s="1"/>
  <c r="F9" i="13"/>
  <c r="M11" i="25"/>
  <c r="N11" i="25" s="1"/>
  <c r="F11" i="13"/>
  <c r="L57" i="12"/>
  <c r="M57" i="12" s="1"/>
  <c r="N57" i="12" s="1"/>
  <c r="AC57" i="73" s="1"/>
  <c r="E11" i="73"/>
  <c r="AF11" i="73" s="1"/>
  <c r="L12" i="12"/>
  <c r="M12" i="12" s="1"/>
  <c r="N12" i="12" s="1"/>
  <c r="AC12" i="73" s="1"/>
  <c r="M12" i="25"/>
  <c r="N12" i="25" s="1"/>
  <c r="E18" i="73"/>
  <c r="AF18" i="73" s="1"/>
  <c r="M9" i="25"/>
  <c r="N9" i="25" s="1"/>
  <c r="L9" i="12"/>
  <c r="M9" i="12" s="1"/>
  <c r="N9" i="12" s="1"/>
  <c r="AC9" i="73" s="1"/>
  <c r="E57" i="73"/>
  <c r="AF57" i="73" s="1"/>
  <c r="H57" i="13"/>
  <c r="I57" i="13" s="1"/>
  <c r="N41" i="12"/>
  <c r="AC41" i="73" s="1"/>
  <c r="M41" i="25"/>
  <c r="N41" i="25" s="1"/>
  <c r="M23" i="25"/>
  <c r="N23" i="25" s="1"/>
  <c r="D26" i="13"/>
  <c r="N56" i="12"/>
  <c r="AC56" i="73" s="1"/>
  <c r="D28" i="13"/>
  <c r="M28" i="25"/>
  <c r="N28" i="25" s="1"/>
  <c r="F28" i="13"/>
  <c r="L28" i="12"/>
  <c r="M28" i="12" s="1"/>
  <c r="N28" i="12" s="1"/>
  <c r="AC28" i="73" s="1"/>
  <c r="L13" i="73"/>
  <c r="E13" i="12"/>
  <c r="I13" i="73" s="1"/>
  <c r="L17" i="73"/>
  <c r="E17" i="12"/>
  <c r="I17" i="73" s="1"/>
  <c r="L29" i="73"/>
  <c r="E29" i="12"/>
  <c r="I29" i="73" s="1"/>
  <c r="E37" i="12"/>
  <c r="I37" i="73" s="1"/>
  <c r="L37" i="73"/>
  <c r="L41" i="73"/>
  <c r="E41" i="12"/>
  <c r="I41" i="73" s="1"/>
  <c r="L45" i="73"/>
  <c r="E45" i="12"/>
  <c r="I45" i="73" s="1"/>
  <c r="E57" i="12"/>
  <c r="I57" i="73" s="1"/>
  <c r="L57" i="73"/>
  <c r="L61" i="73"/>
  <c r="E61" i="12"/>
  <c r="I61" i="73" s="1"/>
  <c r="E65" i="12"/>
  <c r="I65" i="73" s="1"/>
  <c r="L65" i="73"/>
  <c r="E69" i="12"/>
  <c r="I69" i="73" s="1"/>
  <c r="L69" i="73"/>
  <c r="E73" i="12"/>
  <c r="I73" i="73" s="1"/>
  <c r="L73" i="73"/>
  <c r="G20" i="12"/>
  <c r="N20" i="73" s="1"/>
  <c r="Q20" i="73"/>
  <c r="Q40" i="73"/>
  <c r="G40" i="12"/>
  <c r="N40" i="73" s="1"/>
  <c r="V15" i="73"/>
  <c r="I15" i="12"/>
  <c r="S15" i="73" s="1"/>
  <c r="I19" i="12"/>
  <c r="S19" i="73" s="1"/>
  <c r="V19" i="73"/>
  <c r="I23" i="12"/>
  <c r="S23" i="73" s="1"/>
  <c r="V23" i="73"/>
  <c r="I27" i="12"/>
  <c r="S27" i="73" s="1"/>
  <c r="V27" i="73"/>
  <c r="I35" i="12"/>
  <c r="S35" i="73" s="1"/>
  <c r="V35" i="73"/>
  <c r="I43" i="12"/>
  <c r="V43" i="73"/>
  <c r="I47" i="12"/>
  <c r="V47" i="73"/>
  <c r="I51" i="12"/>
  <c r="S51" i="73" s="1"/>
  <c r="V51" i="73"/>
  <c r="I59" i="12"/>
  <c r="S59" i="73" s="1"/>
  <c r="V59" i="73"/>
  <c r="I63" i="12"/>
  <c r="S63" i="73" s="1"/>
  <c r="V63" i="73"/>
  <c r="I67" i="12"/>
  <c r="S67" i="73" s="1"/>
  <c r="V67" i="73"/>
  <c r="I71" i="12"/>
  <c r="S71" i="73" s="1"/>
  <c r="V71" i="73"/>
  <c r="AA14" i="73"/>
  <c r="K14" i="12"/>
  <c r="X14" i="73" s="1"/>
  <c r="K22" i="12"/>
  <c r="X22" i="73" s="1"/>
  <c r="AA22" i="73"/>
  <c r="K26" i="12"/>
  <c r="X26" i="73" s="1"/>
  <c r="AA26" i="73"/>
  <c r="K34" i="12"/>
  <c r="X34" i="73" s="1"/>
  <c r="AA34" i="73"/>
  <c r="K46" i="12"/>
  <c r="X46" i="73" s="1"/>
  <c r="AA46" i="73"/>
  <c r="K50" i="12"/>
  <c r="X50" i="73" s="1"/>
  <c r="AA50" i="73"/>
  <c r="K54" i="12"/>
  <c r="X54" i="73" s="1"/>
  <c r="AA54" i="73"/>
  <c r="K58" i="12"/>
  <c r="X58" i="73" s="1"/>
  <c r="AA58" i="73"/>
  <c r="K62" i="12"/>
  <c r="X62" i="73" s="1"/>
  <c r="AA62" i="73"/>
  <c r="K70" i="12"/>
  <c r="X70" i="73" s="1"/>
  <c r="AA70" i="73"/>
  <c r="K74" i="12"/>
  <c r="X74" i="73" s="1"/>
  <c r="AA74" i="73"/>
  <c r="H68" i="13"/>
  <c r="I68" i="13" s="1"/>
  <c r="D68" i="13"/>
  <c r="D56" i="13"/>
  <c r="L71" i="15"/>
  <c r="BB71" i="9" s="1"/>
  <c r="L66" i="15"/>
  <c r="BB66" i="9" s="1"/>
  <c r="L61" i="15"/>
  <c r="BB61" i="9" s="1"/>
  <c r="L55" i="15"/>
  <c r="BB55" i="9" s="1"/>
  <c r="L50" i="15"/>
  <c r="BB50" i="9" s="1"/>
  <c r="L45" i="15"/>
  <c r="BB45" i="9" s="1"/>
  <c r="L37" i="15"/>
  <c r="BB37" i="9" s="1"/>
  <c r="L29" i="15"/>
  <c r="BB29" i="9" s="1"/>
  <c r="L20" i="15"/>
  <c r="BB20" i="9" s="1"/>
  <c r="L9" i="15"/>
  <c r="BB9" i="9" s="1"/>
  <c r="L57" i="15"/>
  <c r="BB57" i="9" s="1"/>
  <c r="L40" i="15"/>
  <c r="BB40" i="9" s="1"/>
  <c r="L75" i="15"/>
  <c r="BB75" i="9" s="1"/>
  <c r="L70" i="15"/>
  <c r="BB70" i="9" s="1"/>
  <c r="L65" i="15"/>
  <c r="BB65" i="9" s="1"/>
  <c r="L59" i="15"/>
  <c r="BB59" i="9" s="1"/>
  <c r="L54" i="15"/>
  <c r="BB54" i="9" s="1"/>
  <c r="L49" i="15"/>
  <c r="BB49" i="9" s="1"/>
  <c r="L43" i="15"/>
  <c r="BB43" i="9" s="1"/>
  <c r="L36" i="15"/>
  <c r="BB36" i="9" s="1"/>
  <c r="L25" i="15"/>
  <c r="BB25" i="9" s="1"/>
  <c r="L19" i="15"/>
  <c r="BB19" i="9" s="1"/>
  <c r="L8" i="15"/>
  <c r="BB8" i="9" s="1"/>
  <c r="L41" i="15"/>
  <c r="BB41" i="9" s="1"/>
  <c r="L24" i="15"/>
  <c r="BB24" i="9" s="1"/>
  <c r="L73" i="15"/>
  <c r="BB73" i="9" s="1"/>
  <c r="L62" i="15"/>
  <c r="BB62" i="9" s="1"/>
  <c r="L46" i="15"/>
  <c r="BB46" i="9" s="1"/>
  <c r="L21" i="15"/>
  <c r="BB21" i="9" s="1"/>
  <c r="L74" i="15"/>
  <c r="BB74" i="9" s="1"/>
  <c r="L69" i="15"/>
  <c r="BB69" i="9" s="1"/>
  <c r="L63" i="15"/>
  <c r="BB63" i="9" s="1"/>
  <c r="L58" i="15"/>
  <c r="BB58" i="9" s="1"/>
  <c r="L53" i="15"/>
  <c r="BB53" i="9" s="1"/>
  <c r="L47" i="15"/>
  <c r="BB47" i="9" s="1"/>
  <c r="L35" i="15"/>
  <c r="BB35" i="9" s="1"/>
  <c r="L17" i="15"/>
  <c r="BB17" i="9" s="1"/>
  <c r="L67" i="15"/>
  <c r="BB67" i="9" s="1"/>
  <c r="L51" i="15"/>
  <c r="BB51" i="9" s="1"/>
  <c r="L33" i="15"/>
  <c r="BB33" i="9" s="1"/>
  <c r="L13" i="15"/>
  <c r="BB13" i="9" s="1"/>
  <c r="L7" i="15"/>
  <c r="BB7" i="9" s="1"/>
  <c r="L52" i="15"/>
  <c r="BB52" i="9" s="1"/>
  <c r="L92" i="15"/>
  <c r="L126" i="15"/>
  <c r="L28" i="15"/>
  <c r="BB28" i="9" s="1"/>
  <c r="L89" i="15"/>
  <c r="L107" i="15"/>
  <c r="L123" i="15"/>
  <c r="R123" i="15" s="1"/>
  <c r="L27" i="15"/>
  <c r="BB27" i="9" s="1"/>
  <c r="L64" i="15"/>
  <c r="BB64" i="9" s="1"/>
  <c r="L98" i="15"/>
  <c r="L132" i="15"/>
  <c r="AB11" i="29" s="1"/>
  <c r="L96" i="15"/>
  <c r="L112" i="15"/>
  <c r="L130" i="15"/>
  <c r="L10" i="15"/>
  <c r="BB10" i="9" s="1"/>
  <c r="L26" i="15"/>
  <c r="BB26" i="9" s="1"/>
  <c r="L81" i="15"/>
  <c r="L101" i="15"/>
  <c r="L117" i="15"/>
  <c r="L135" i="15"/>
  <c r="AB14" i="29" s="1"/>
  <c r="L44" i="15"/>
  <c r="BB44" i="9" s="1"/>
  <c r="L103" i="15"/>
  <c r="L56" i="15"/>
  <c r="BB56" i="9" s="1"/>
  <c r="L90" i="15"/>
  <c r="L38" i="15"/>
  <c r="BB38" i="9" s="1"/>
  <c r="L23" i="15"/>
  <c r="BB23" i="9" s="1"/>
  <c r="L60" i="15"/>
  <c r="BB60" i="9" s="1"/>
  <c r="L102" i="15"/>
  <c r="L136" i="15"/>
  <c r="AB15" i="29" s="1"/>
  <c r="L32" i="15"/>
  <c r="BB32" i="9" s="1"/>
  <c r="L95" i="15"/>
  <c r="L111" i="15"/>
  <c r="L127" i="15"/>
  <c r="R127" i="15" s="1"/>
  <c r="L39" i="15"/>
  <c r="BB39" i="9" s="1"/>
  <c r="L72" i="15"/>
  <c r="BB72" i="9" s="1"/>
  <c r="L106" i="15"/>
  <c r="L80" i="15"/>
  <c r="L100" i="15"/>
  <c r="L116" i="15"/>
  <c r="L134" i="15"/>
  <c r="AB13" i="29" s="1"/>
  <c r="L14" i="15"/>
  <c r="BB14" i="9" s="1"/>
  <c r="L30" i="15"/>
  <c r="BB30" i="9" s="1"/>
  <c r="L87" i="15"/>
  <c r="L105" i="15"/>
  <c r="R105" i="15" s="1"/>
  <c r="L121" i="15"/>
  <c r="R121" i="15" s="1"/>
  <c r="L118" i="15"/>
  <c r="L16" i="15"/>
  <c r="BB16" i="9" s="1"/>
  <c r="L88" i="15"/>
  <c r="L108" i="15"/>
  <c r="R108" i="15" s="1"/>
  <c r="L22" i="15"/>
  <c r="BB22" i="9" s="1"/>
  <c r="L113" i="15"/>
  <c r="L31" i="15"/>
  <c r="BB31" i="9" s="1"/>
  <c r="L68" i="15"/>
  <c r="BB68" i="9" s="1"/>
  <c r="L110" i="15"/>
  <c r="L12" i="15"/>
  <c r="BB12" i="9" s="1"/>
  <c r="L79" i="15"/>
  <c r="W8" i="16" s="1"/>
  <c r="L99" i="15"/>
  <c r="L115" i="15"/>
  <c r="L133" i="15"/>
  <c r="AB12" i="29" s="1"/>
  <c r="L48" i="15"/>
  <c r="BB48" i="9" s="1"/>
  <c r="L82" i="15"/>
  <c r="R82" i="15" s="1"/>
  <c r="L114" i="15"/>
  <c r="L86" i="15"/>
  <c r="L104" i="15"/>
  <c r="L120" i="15"/>
  <c r="L18" i="15"/>
  <c r="BB18" i="9" s="1"/>
  <c r="L34" i="15"/>
  <c r="BB34" i="9" s="1"/>
  <c r="L91" i="15"/>
  <c r="L109" i="15"/>
  <c r="L125" i="15"/>
  <c r="L78" i="15"/>
  <c r="L83" i="15"/>
  <c r="R83" i="15" s="1"/>
  <c r="L119" i="15"/>
  <c r="R119" i="15" s="1"/>
  <c r="L15" i="15"/>
  <c r="L122" i="15"/>
  <c r="L124" i="15"/>
  <c r="L11" i="15"/>
  <c r="BB11" i="9" s="1"/>
  <c r="L97" i="15"/>
  <c r="L131" i="15"/>
  <c r="AB8" i="29" s="1"/>
  <c r="E68" i="73"/>
  <c r="AF68" i="73" s="1"/>
  <c r="H8" i="29"/>
  <c r="AN16" i="68"/>
  <c r="AR48" i="68"/>
  <c r="AO12" i="68"/>
  <c r="AR30" i="68"/>
  <c r="AO20" i="68"/>
  <c r="AB36" i="30"/>
  <c r="M73" i="14"/>
  <c r="AE28" i="30"/>
  <c r="N91" i="14"/>
  <c r="K74" i="14"/>
  <c r="O84" i="14"/>
  <c r="O117" i="14"/>
  <c r="I13" i="29" s="1"/>
  <c r="F49" i="14"/>
  <c r="G49" i="14" s="1"/>
  <c r="M135" i="14"/>
  <c r="F13" i="14"/>
  <c r="G13" i="14" s="1"/>
  <c r="O13" i="14" s="1"/>
  <c r="M30" i="14"/>
  <c r="N105" i="14"/>
  <c r="K18" i="14"/>
  <c r="M17" i="14"/>
  <c r="M124" i="14"/>
  <c r="J34" i="14"/>
  <c r="K34" i="14" s="1"/>
  <c r="M114" i="14"/>
  <c r="O89" i="14"/>
  <c r="O93" i="14"/>
  <c r="AR35" i="68"/>
  <c r="M110" i="14"/>
  <c r="N54" i="14"/>
  <c r="M89" i="14"/>
  <c r="M128" i="14"/>
  <c r="M117" i="14"/>
  <c r="J10" i="14"/>
  <c r="K10" i="14" s="1"/>
  <c r="M25" i="14"/>
  <c r="I76" i="14"/>
  <c r="AM17" i="68"/>
  <c r="G17" i="67" s="1"/>
  <c r="M62" i="14"/>
  <c r="J38" i="14"/>
  <c r="K38" i="14" s="1"/>
  <c r="M85" i="14"/>
  <c r="M132" i="14"/>
  <c r="N30" i="14"/>
  <c r="Q43" i="73"/>
  <c r="N129" i="14"/>
  <c r="AR15" i="68"/>
  <c r="M105" i="14"/>
  <c r="M21" i="14"/>
  <c r="M54" i="14"/>
  <c r="M18" i="14"/>
  <c r="N41" i="14"/>
  <c r="M41" i="14"/>
  <c r="M10" i="14"/>
  <c r="AN73" i="68"/>
  <c r="F73" i="14"/>
  <c r="N50" i="14"/>
  <c r="M118" i="14"/>
  <c r="I120" i="14"/>
  <c r="AT8" i="30"/>
  <c r="Q47" i="73"/>
  <c r="Q39" i="73"/>
  <c r="G59" i="12"/>
  <c r="N59" i="73" s="1"/>
  <c r="F127" i="14"/>
  <c r="N127" i="14" s="1"/>
  <c r="M19" i="14"/>
  <c r="M27" i="14"/>
  <c r="N59" i="14"/>
  <c r="M63" i="14"/>
  <c r="N67" i="14"/>
  <c r="M125" i="14"/>
  <c r="I130" i="14"/>
  <c r="L130" i="14"/>
  <c r="G129" i="14"/>
  <c r="L139" i="14"/>
  <c r="M137" i="14"/>
  <c r="M78" i="14"/>
  <c r="M82" i="14"/>
  <c r="G102" i="14"/>
  <c r="O102" i="14" s="1"/>
  <c r="K14" i="14"/>
  <c r="N102" i="14"/>
  <c r="G41" i="14"/>
  <c r="O21" i="14"/>
  <c r="M37" i="14"/>
  <c r="M66" i="14"/>
  <c r="AR55" i="68"/>
  <c r="K28" i="14"/>
  <c r="N118" i="14"/>
  <c r="N124" i="14"/>
  <c r="N75" i="14"/>
  <c r="M79" i="14"/>
  <c r="G35" i="14"/>
  <c r="M59" i="14"/>
  <c r="M40" i="14"/>
  <c r="F137" i="14"/>
  <c r="N35" i="14"/>
  <c r="AM15" i="68"/>
  <c r="G15" i="67" s="1"/>
  <c r="AN19" i="68"/>
  <c r="J126" i="14"/>
  <c r="N126" i="14" s="1"/>
  <c r="M67" i="14"/>
  <c r="E139" i="14"/>
  <c r="M15" i="14"/>
  <c r="J113" i="14"/>
  <c r="K113" i="14" s="1"/>
  <c r="O113" i="14" s="1"/>
  <c r="M113" i="14"/>
  <c r="J109" i="14"/>
  <c r="M133" i="14"/>
  <c r="M23" i="14"/>
  <c r="M116" i="14"/>
  <c r="M115" i="14"/>
  <c r="J134" i="14"/>
  <c r="K134" i="14" s="1"/>
  <c r="O134" i="14" s="1"/>
  <c r="F19" i="14"/>
  <c r="N19" i="14" s="1"/>
  <c r="J36" i="14"/>
  <c r="K36" i="14" s="1"/>
  <c r="O36" i="14" s="1"/>
  <c r="C36" i="76" s="1"/>
  <c r="AL19" i="68"/>
  <c r="M39" i="14"/>
  <c r="M55" i="14"/>
  <c r="M103" i="14"/>
  <c r="J138" i="14"/>
  <c r="K138" i="14" s="1"/>
  <c r="M106" i="14"/>
  <c r="M99" i="14"/>
  <c r="V38" i="73"/>
  <c r="J117" i="15"/>
  <c r="AH29" i="30" s="1"/>
  <c r="J101" i="15"/>
  <c r="R101" i="15" s="1"/>
  <c r="J124" i="15"/>
  <c r="M87" i="14"/>
  <c r="F82" i="14"/>
  <c r="F125" i="14"/>
  <c r="O46" i="12"/>
  <c r="P46" i="12" s="1"/>
  <c r="D46" i="73" s="1"/>
  <c r="J46" i="73" s="1"/>
  <c r="M98" i="14"/>
  <c r="K56" i="14"/>
  <c r="E120" i="14"/>
  <c r="O118" i="14"/>
  <c r="I14" i="29" s="1"/>
  <c r="M94" i="14"/>
  <c r="M11" i="14"/>
  <c r="F78" i="14"/>
  <c r="G78" i="14" s="1"/>
  <c r="K26" i="14"/>
  <c r="O26" i="14" s="1"/>
  <c r="N26" i="14"/>
  <c r="K62" i="14"/>
  <c r="N62" i="14"/>
  <c r="K97" i="14"/>
  <c r="O97" i="14" s="1"/>
  <c r="N97" i="14"/>
  <c r="K101" i="14"/>
  <c r="N101" i="14"/>
  <c r="N117" i="14"/>
  <c r="G50" i="14"/>
  <c r="G105" i="14"/>
  <c r="K42" i="14"/>
  <c r="O42" i="14" s="1"/>
  <c r="C42" i="76" s="1"/>
  <c r="M101" i="14"/>
  <c r="M100" i="14"/>
  <c r="M58" i="14"/>
  <c r="N23" i="14"/>
  <c r="N135" i="14"/>
  <c r="N93" i="14"/>
  <c r="D141" i="14"/>
  <c r="E130" i="14"/>
  <c r="O114" i="14"/>
  <c r="I8" i="29" s="1"/>
  <c r="K136" i="14"/>
  <c r="I139" i="14"/>
  <c r="K128" i="14"/>
  <c r="O128" i="14" s="1"/>
  <c r="N128" i="14"/>
  <c r="O99" i="14"/>
  <c r="N110" i="14"/>
  <c r="N88" i="14"/>
  <c r="N21" i="14"/>
  <c r="K64" i="14"/>
  <c r="M9" i="14"/>
  <c r="M29" i="14"/>
  <c r="M61" i="14"/>
  <c r="M70" i="14"/>
  <c r="K35" i="14"/>
  <c r="N8" i="14"/>
  <c r="M20" i="14"/>
  <c r="M28" i="14"/>
  <c r="N40" i="14"/>
  <c r="M48" i="14"/>
  <c r="M60" i="14"/>
  <c r="N113" i="14"/>
  <c r="G110" i="14"/>
  <c r="O110" i="14" s="1"/>
  <c r="M88" i="14"/>
  <c r="M80" i="14"/>
  <c r="G88" i="14"/>
  <c r="M92" i="14"/>
  <c r="N99" i="14"/>
  <c r="H122" i="14"/>
  <c r="AV19" i="30"/>
  <c r="AV15" i="30"/>
  <c r="AN14" i="68"/>
  <c r="AM74" i="68"/>
  <c r="G74" i="67" s="1"/>
  <c r="Q23" i="73"/>
  <c r="Q7" i="73"/>
  <c r="G55" i="12"/>
  <c r="N55" i="73" s="1"/>
  <c r="Q63" i="73"/>
  <c r="G67" i="12"/>
  <c r="N67" i="73" s="1"/>
  <c r="Q27" i="73"/>
  <c r="AV39" i="30"/>
  <c r="AR39" i="68"/>
  <c r="AO14" i="68"/>
  <c r="AL74" i="68"/>
  <c r="L14" i="73"/>
  <c r="AV27" i="30"/>
  <c r="AR36" i="68"/>
  <c r="AN21" i="68"/>
  <c r="Q71" i="73"/>
  <c r="AE20" i="30"/>
  <c r="AR27" i="68"/>
  <c r="AO21" i="68"/>
  <c r="AV25" i="30"/>
  <c r="AR19" i="68"/>
  <c r="AR71" i="68"/>
  <c r="N13" i="14"/>
  <c r="AL38" i="68"/>
  <c r="N27" i="14"/>
  <c r="AO38" i="68"/>
  <c r="AM21" i="68"/>
  <c r="G21" i="67" s="1"/>
  <c r="AD76" i="68"/>
  <c r="AV18" i="30"/>
  <c r="AE23" i="30"/>
  <c r="AV38" i="30"/>
  <c r="AE29" i="30"/>
  <c r="AE12" i="30"/>
  <c r="AE21" i="30"/>
  <c r="AE16" i="30"/>
  <c r="AE33" i="30"/>
  <c r="AE24" i="30"/>
  <c r="AV24" i="30"/>
  <c r="AV16" i="30"/>
  <c r="AV22" i="30"/>
  <c r="AV7" i="30"/>
  <c r="AV21" i="30"/>
  <c r="AV28" i="30"/>
  <c r="AV31" i="30"/>
  <c r="AV12" i="30"/>
  <c r="AV9" i="30"/>
  <c r="AV23" i="30"/>
  <c r="AV30" i="30"/>
  <c r="AV11" i="30"/>
  <c r="AV10" i="30"/>
  <c r="AV29" i="30"/>
  <c r="AE27" i="30"/>
  <c r="C84" i="25"/>
  <c r="AE15" i="30"/>
  <c r="AE31" i="30"/>
  <c r="AV8" i="30"/>
  <c r="AE25" i="30"/>
  <c r="AE22" i="30"/>
  <c r="AE30" i="30"/>
  <c r="AE39" i="30"/>
  <c r="AE18" i="30"/>
  <c r="AE7" i="30"/>
  <c r="AE8" i="30"/>
  <c r="AE9" i="17"/>
  <c r="AE7" i="17"/>
  <c r="AE13" i="17"/>
  <c r="AE11" i="17"/>
  <c r="AE10" i="17"/>
  <c r="AE8" i="17"/>
  <c r="O41" i="14"/>
  <c r="AO35" i="68"/>
  <c r="AM73" i="68"/>
  <c r="G73" i="67" s="1"/>
  <c r="AO60" i="68"/>
  <c r="AM12" i="68"/>
  <c r="G12" i="67" s="1"/>
  <c r="AL61" i="68"/>
  <c r="AO17" i="68"/>
  <c r="AM16" i="68"/>
  <c r="G16" i="67" s="1"/>
  <c r="AM68" i="68"/>
  <c r="G68" i="67" s="1"/>
  <c r="Q39" i="30"/>
  <c r="AR51" i="68"/>
  <c r="AR59" i="68"/>
  <c r="AR11" i="68"/>
  <c r="AR72" i="68"/>
  <c r="AR14" i="68"/>
  <c r="AO73" i="68"/>
  <c r="AO61" i="68"/>
  <c r="AN17" i="68"/>
  <c r="AL16" i="68"/>
  <c r="AL68" i="68"/>
  <c r="AN35" i="68"/>
  <c r="AL12" i="68"/>
  <c r="AN61" i="68"/>
  <c r="Q10" i="30"/>
  <c r="I10" i="73"/>
  <c r="E74" i="12"/>
  <c r="I74" i="73" s="1"/>
  <c r="L18" i="73"/>
  <c r="L46" i="73"/>
  <c r="H24" i="30"/>
  <c r="K8" i="17"/>
  <c r="L54" i="73"/>
  <c r="K12" i="17"/>
  <c r="K35" i="30"/>
  <c r="N8" i="17"/>
  <c r="N12" i="17"/>
  <c r="N8" i="30"/>
  <c r="N33" i="30"/>
  <c r="N34" i="30"/>
  <c r="N10" i="30"/>
  <c r="Q12" i="30"/>
  <c r="Q30" i="30"/>
  <c r="Q16" i="30"/>
  <c r="Q17" i="30"/>
  <c r="Q35" i="30"/>
  <c r="AV34" i="30"/>
  <c r="AE13" i="30"/>
  <c r="H35" i="30"/>
  <c r="E40" i="12"/>
  <c r="L40" i="73"/>
  <c r="E56" i="12"/>
  <c r="I56" i="73" s="1"/>
  <c r="L56" i="73"/>
  <c r="Q69" i="73"/>
  <c r="G69" i="12"/>
  <c r="N29" i="30"/>
  <c r="AM47" i="68"/>
  <c r="G47" i="67" s="1"/>
  <c r="AN47" i="68"/>
  <c r="F44" i="14"/>
  <c r="G44" i="14" s="1"/>
  <c r="O44" i="14" s="1"/>
  <c r="M44" i="14"/>
  <c r="G37" i="12"/>
  <c r="N37" i="73" s="1"/>
  <c r="Q37" i="73"/>
  <c r="G53" i="12"/>
  <c r="N53" i="73" s="1"/>
  <c r="Q53" i="73"/>
  <c r="K8" i="30"/>
  <c r="V14" i="73"/>
  <c r="I14" i="12"/>
  <c r="S14" i="73" s="1"/>
  <c r="I34" i="12"/>
  <c r="S34" i="73" s="1"/>
  <c r="V34" i="73"/>
  <c r="I50" i="12"/>
  <c r="S50" i="73" s="1"/>
  <c r="V50" i="73"/>
  <c r="N32" i="30"/>
  <c r="K7" i="12"/>
  <c r="J76" i="12"/>
  <c r="AA7" i="73"/>
  <c r="K11" i="12"/>
  <c r="AA11" i="73"/>
  <c r="K27" i="12"/>
  <c r="X27" i="73" s="1"/>
  <c r="AA27" i="73"/>
  <c r="K31" i="12"/>
  <c r="AA31" i="73"/>
  <c r="K39" i="12"/>
  <c r="AA39" i="73"/>
  <c r="K51" i="12"/>
  <c r="X51" i="73" s="1"/>
  <c r="AA51" i="73"/>
  <c r="K59" i="12"/>
  <c r="AA59" i="73"/>
  <c r="K67" i="12"/>
  <c r="AA67" i="73"/>
  <c r="AA71" i="73"/>
  <c r="K71" i="12"/>
  <c r="F64" i="14"/>
  <c r="G64" i="14" s="1"/>
  <c r="M64" i="14"/>
  <c r="H26" i="30"/>
  <c r="E36" i="12"/>
  <c r="I36" i="73" s="1"/>
  <c r="K10" i="17"/>
  <c r="Q14" i="30"/>
  <c r="N16" i="30"/>
  <c r="Q18" i="30"/>
  <c r="G33" i="12"/>
  <c r="N33" i="73" s="1"/>
  <c r="Q33" i="73"/>
  <c r="G61" i="12"/>
  <c r="Q61" i="73"/>
  <c r="G19" i="14"/>
  <c r="O19" i="14" s="1"/>
  <c r="Q13" i="17"/>
  <c r="M24" i="14"/>
  <c r="N31" i="30"/>
  <c r="Q13" i="73"/>
  <c r="V30" i="73"/>
  <c r="AL8" i="68"/>
  <c r="AO8" i="68"/>
  <c r="T137" i="15"/>
  <c r="M72" i="14"/>
  <c r="AM22" i="68"/>
  <c r="G22" i="67" s="1"/>
  <c r="AL22" i="68"/>
  <c r="F69" i="14"/>
  <c r="G69" i="14" s="1"/>
  <c r="O69" i="14" s="1"/>
  <c r="AM69" i="9" s="1"/>
  <c r="M69" i="14"/>
  <c r="E8" i="12"/>
  <c r="I8" i="73" s="1"/>
  <c r="L8" i="73"/>
  <c r="E12" i="12"/>
  <c r="I12" i="73" s="1"/>
  <c r="L12" i="73"/>
  <c r="E16" i="12"/>
  <c r="I16" i="73" s="1"/>
  <c r="L16" i="73"/>
  <c r="E20" i="12"/>
  <c r="L20" i="73"/>
  <c r="E24" i="12"/>
  <c r="I24" i="73" s="1"/>
  <c r="L24" i="73"/>
  <c r="L28" i="73"/>
  <c r="E28" i="12"/>
  <c r="I28" i="73" s="1"/>
  <c r="E32" i="12"/>
  <c r="I32" i="73" s="1"/>
  <c r="L32" i="73"/>
  <c r="E44" i="12"/>
  <c r="I44" i="73" s="1"/>
  <c r="L44" i="73"/>
  <c r="E48" i="12"/>
  <c r="L48" i="73"/>
  <c r="E60" i="12"/>
  <c r="I60" i="73" s="1"/>
  <c r="L60" i="73"/>
  <c r="E64" i="12"/>
  <c r="I64" i="73" s="1"/>
  <c r="L64" i="73"/>
  <c r="E68" i="12"/>
  <c r="I68" i="73" s="1"/>
  <c r="L68" i="73"/>
  <c r="L72" i="73"/>
  <c r="E72" i="12"/>
  <c r="G9" i="12"/>
  <c r="Q9" i="73"/>
  <c r="F76" i="12"/>
  <c r="G17" i="12"/>
  <c r="Q17" i="73"/>
  <c r="G21" i="12"/>
  <c r="Q21" i="73"/>
  <c r="G29" i="12"/>
  <c r="Q29" i="73"/>
  <c r="G41" i="12"/>
  <c r="Q41" i="73"/>
  <c r="G45" i="12"/>
  <c r="Q45" i="73"/>
  <c r="G49" i="12"/>
  <c r="Q49" i="73"/>
  <c r="G57" i="12"/>
  <c r="Q57" i="73"/>
  <c r="Q65" i="73"/>
  <c r="G65" i="12"/>
  <c r="N65" i="73" s="1"/>
  <c r="AR22" i="68"/>
  <c r="G8" i="14"/>
  <c r="O8" i="14" s="1"/>
  <c r="AM8" i="9" s="1"/>
  <c r="N29" i="14"/>
  <c r="G67" i="14"/>
  <c r="M53" i="14"/>
  <c r="Q7" i="30"/>
  <c r="L52" i="73"/>
  <c r="I42" i="12"/>
  <c r="S42" i="73" s="1"/>
  <c r="V58" i="73"/>
  <c r="I22" i="12"/>
  <c r="S22" i="73" s="1"/>
  <c r="I26" i="12"/>
  <c r="S26" i="73" s="1"/>
  <c r="V62" i="73"/>
  <c r="V70" i="73"/>
  <c r="M35" i="14"/>
  <c r="AT26" i="30"/>
  <c r="AT17" i="30"/>
  <c r="V46" i="73"/>
  <c r="V74" i="73"/>
  <c r="V10" i="73"/>
  <c r="V54" i="73"/>
  <c r="E76" i="14"/>
  <c r="L76" i="14"/>
  <c r="V18" i="73"/>
  <c r="J134" i="15"/>
  <c r="AV35" i="30"/>
  <c r="K37" i="30"/>
  <c r="AM20" i="68"/>
  <c r="G20" i="67" s="1"/>
  <c r="AN20" i="68"/>
  <c r="AL29" i="68"/>
  <c r="AO29" i="68"/>
  <c r="H11" i="17"/>
  <c r="H8" i="30"/>
  <c r="H9" i="30"/>
  <c r="H31" i="30"/>
  <c r="H27" i="30"/>
  <c r="Q32" i="30"/>
  <c r="T93" i="15"/>
  <c r="X8" i="73"/>
  <c r="Y64" i="12"/>
  <c r="AR64" i="68"/>
  <c r="H16" i="30"/>
  <c r="Y7" i="12"/>
  <c r="AM48" i="68"/>
  <c r="G48" i="67" s="1"/>
  <c r="AL48" i="68"/>
  <c r="AN48" i="68"/>
  <c r="AL56" i="68"/>
  <c r="AN56" i="68"/>
  <c r="AO56" i="68"/>
  <c r="AL42" i="68"/>
  <c r="AO42" i="68"/>
  <c r="AO62" i="68"/>
  <c r="AM62" i="68"/>
  <c r="G62" i="67" s="1"/>
  <c r="AN62" i="68"/>
  <c r="AO49" i="68"/>
  <c r="AM49" i="68"/>
  <c r="G49" i="67" s="1"/>
  <c r="AN49" i="68"/>
  <c r="AL26" i="68"/>
  <c r="AM26" i="68"/>
  <c r="G26" i="67" s="1"/>
  <c r="AO26" i="68"/>
  <c r="AR67" i="68"/>
  <c r="N17" i="30"/>
  <c r="H13" i="17"/>
  <c r="AO59" i="68"/>
  <c r="AL59" i="68"/>
  <c r="AT24" i="30"/>
  <c r="D76" i="12"/>
  <c r="AT22" i="30"/>
  <c r="L23" i="73"/>
  <c r="L59" i="73"/>
  <c r="L39" i="73"/>
  <c r="Q8" i="73"/>
  <c r="Q48" i="73"/>
  <c r="L11" i="73"/>
  <c r="L63" i="73"/>
  <c r="L43" i="73"/>
  <c r="L35" i="73"/>
  <c r="J73" i="15"/>
  <c r="BA73" i="9" s="1"/>
  <c r="J65" i="15"/>
  <c r="BA65" i="9" s="1"/>
  <c r="J61" i="15"/>
  <c r="J57" i="15"/>
  <c r="BA57" i="9" s="1"/>
  <c r="J53" i="15"/>
  <c r="BA53" i="9" s="1"/>
  <c r="J49" i="15"/>
  <c r="BA49" i="9" s="1"/>
  <c r="J45" i="15"/>
  <c r="J36" i="15"/>
  <c r="BA36" i="9" s="1"/>
  <c r="J32" i="15"/>
  <c r="BA32" i="9" s="1"/>
  <c r="J28" i="15"/>
  <c r="J24" i="15"/>
  <c r="BA24" i="9" s="1"/>
  <c r="J20" i="15"/>
  <c r="BA20" i="9" s="1"/>
  <c r="J16" i="15"/>
  <c r="BA16" i="9" s="1"/>
  <c r="J12" i="15"/>
  <c r="BA12" i="9" s="1"/>
  <c r="J8" i="15"/>
  <c r="J81" i="15"/>
  <c r="G32" i="12"/>
  <c r="N32" i="73" s="1"/>
  <c r="L47" i="73"/>
  <c r="L7" i="73"/>
  <c r="O53" i="12"/>
  <c r="P53" i="12" s="1"/>
  <c r="D53" i="73" s="1"/>
  <c r="J53" i="73" s="1"/>
  <c r="AN60" i="68"/>
  <c r="AL60" i="68"/>
  <c r="AT18" i="30"/>
  <c r="J125" i="15"/>
  <c r="E51" i="12"/>
  <c r="J75" i="15"/>
  <c r="BA75" i="9" s="1"/>
  <c r="J71" i="15"/>
  <c r="BA71" i="9" s="1"/>
  <c r="J63" i="15"/>
  <c r="BA63" i="9" s="1"/>
  <c r="J59" i="15"/>
  <c r="BA59" i="9" s="1"/>
  <c r="J51" i="15"/>
  <c r="BA51" i="9" s="1"/>
  <c r="J47" i="15"/>
  <c r="BA47" i="9" s="1"/>
  <c r="J38" i="15"/>
  <c r="BA38" i="9" s="1"/>
  <c r="J30" i="15"/>
  <c r="BA30" i="9" s="1"/>
  <c r="J26" i="15"/>
  <c r="BA26" i="9" s="1"/>
  <c r="J22" i="15"/>
  <c r="BA22" i="9" s="1"/>
  <c r="J18" i="15"/>
  <c r="BA18" i="9" s="1"/>
  <c r="J14" i="15"/>
  <c r="BA14" i="9" s="1"/>
  <c r="J10" i="15"/>
  <c r="J90" i="15"/>
  <c r="J86" i="15"/>
  <c r="H17" i="30"/>
  <c r="H38" i="30"/>
  <c r="AR76" i="76"/>
  <c r="AR77" i="76" s="1"/>
  <c r="AP76" i="76"/>
  <c r="AP77" i="76" s="1"/>
  <c r="C8" i="76"/>
  <c r="G59" i="14"/>
  <c r="G40" i="14"/>
  <c r="O40" i="14" s="1"/>
  <c r="C40" i="76" s="1"/>
  <c r="M74" i="14"/>
  <c r="F60" i="14"/>
  <c r="F48" i="14"/>
  <c r="F28" i="14"/>
  <c r="O74" i="14"/>
  <c r="I111" i="14"/>
  <c r="M12" i="14"/>
  <c r="M36" i="14"/>
  <c r="N74" i="14"/>
  <c r="M52" i="14"/>
  <c r="F20" i="14"/>
  <c r="G20" i="14" s="1"/>
  <c r="D122" i="14"/>
  <c r="D143" i="14" s="1"/>
  <c r="G12" i="14"/>
  <c r="O14" i="14"/>
  <c r="C14" i="76" s="1"/>
  <c r="O108" i="14"/>
  <c r="N36" i="14"/>
  <c r="O133" i="14"/>
  <c r="N15" i="14"/>
  <c r="G15" i="14"/>
  <c r="N22" i="14"/>
  <c r="AN69" i="68"/>
  <c r="AL69" i="68"/>
  <c r="AE26" i="30"/>
  <c r="AL33" i="68"/>
  <c r="AO33" i="68"/>
  <c r="N11" i="17"/>
  <c r="J126" i="15"/>
  <c r="J120" i="15"/>
  <c r="J116" i="15"/>
  <c r="J112" i="15"/>
  <c r="J108" i="15"/>
  <c r="J104" i="15"/>
  <c r="R104" i="15" s="1"/>
  <c r="J100" i="15"/>
  <c r="AN28" i="68"/>
  <c r="AO28" i="68"/>
  <c r="AO44" i="68"/>
  <c r="AL44" i="68"/>
  <c r="AN44" i="68"/>
  <c r="AO52" i="68"/>
  <c r="AM52" i="68"/>
  <c r="G52" i="67" s="1"/>
  <c r="AN52" i="68"/>
  <c r="AO46" i="68"/>
  <c r="AM46" i="68"/>
  <c r="G46" i="67" s="1"/>
  <c r="H10" i="30"/>
  <c r="AN32" i="68"/>
  <c r="AL32" i="68"/>
  <c r="AO32" i="68"/>
  <c r="AE34" i="30"/>
  <c r="AE14" i="30"/>
  <c r="I60" i="12"/>
  <c r="S60" i="73" s="1"/>
  <c r="AO58" i="68"/>
  <c r="AM58" i="68"/>
  <c r="G58" i="67" s="1"/>
  <c r="Q80" i="15"/>
  <c r="Q84" i="15" s="1"/>
  <c r="O84" i="15"/>
  <c r="Y46" i="73"/>
  <c r="AD46" i="73"/>
  <c r="Q10" i="17"/>
  <c r="Q12" i="17"/>
  <c r="H12" i="17"/>
  <c r="R46" i="12"/>
  <c r="AB46" i="12" s="1"/>
  <c r="AN22" i="68"/>
  <c r="AO22" i="68"/>
  <c r="F119" i="14"/>
  <c r="F120" i="14" s="1"/>
  <c r="M119" i="14"/>
  <c r="M120" i="14" s="1"/>
  <c r="E15" i="12"/>
  <c r="L15" i="73"/>
  <c r="E19" i="12"/>
  <c r="L19" i="73"/>
  <c r="E22" i="12"/>
  <c r="L22" i="73"/>
  <c r="E34" i="12"/>
  <c r="L34" i="73"/>
  <c r="E42" i="12"/>
  <c r="L42" i="73"/>
  <c r="E62" i="12"/>
  <c r="I62" i="73" s="1"/>
  <c r="L62" i="73"/>
  <c r="E66" i="12"/>
  <c r="I66" i="73" s="1"/>
  <c r="L66" i="73"/>
  <c r="E70" i="12"/>
  <c r="L70" i="73"/>
  <c r="AN37" i="68"/>
  <c r="AM37" i="68"/>
  <c r="G37" i="67" s="1"/>
  <c r="AL72" i="68"/>
  <c r="AM72" i="68"/>
  <c r="G72" i="67" s="1"/>
  <c r="AN55" i="68"/>
  <c r="AN40" i="68"/>
  <c r="AM40" i="68"/>
  <c r="G40" i="67" s="1"/>
  <c r="AM33" i="68"/>
  <c r="G33" i="67" s="1"/>
  <c r="AN33" i="68"/>
  <c r="AM9" i="68"/>
  <c r="G9" i="67" s="1"/>
  <c r="AL9" i="68"/>
  <c r="AO63" i="68"/>
  <c r="AN63" i="68"/>
  <c r="AM63" i="68"/>
  <c r="G63" i="67" s="1"/>
  <c r="AO40" i="68"/>
  <c r="AN9" i="68"/>
  <c r="AL55" i="68"/>
  <c r="AV13" i="30"/>
  <c r="H20" i="30"/>
  <c r="G15" i="12"/>
  <c r="N15" i="73" s="1"/>
  <c r="Q15" i="73"/>
  <c r="Q35" i="73"/>
  <c r="AM59" i="68"/>
  <c r="G59" i="67" s="1"/>
  <c r="AN59" i="68"/>
  <c r="AO27" i="68"/>
  <c r="AN27" i="68"/>
  <c r="AM41" i="68"/>
  <c r="G41" i="67" s="1"/>
  <c r="AN41" i="68"/>
  <c r="AO69" i="68"/>
  <c r="AM69" i="68"/>
  <c r="G69" i="67" s="1"/>
  <c r="H76" i="12"/>
  <c r="V7" i="73"/>
  <c r="I55" i="12"/>
  <c r="V55" i="73"/>
  <c r="I75" i="12"/>
  <c r="S75" i="73" s="1"/>
  <c r="V75" i="73"/>
  <c r="AA16" i="73"/>
  <c r="K23" i="30"/>
  <c r="N9" i="17"/>
  <c r="R133" i="15"/>
  <c r="H19" i="30"/>
  <c r="Q20" i="30"/>
  <c r="G12" i="12"/>
  <c r="Q12" i="73"/>
  <c r="Q16" i="73"/>
  <c r="G16" i="12"/>
  <c r="G24" i="12"/>
  <c r="Q24" i="73"/>
  <c r="G28" i="12"/>
  <c r="Q28" i="73"/>
  <c r="G36" i="12"/>
  <c r="Q36" i="73"/>
  <c r="G44" i="12"/>
  <c r="Q44" i="73"/>
  <c r="G52" i="12"/>
  <c r="Q52" i="73"/>
  <c r="G56" i="12"/>
  <c r="Q56" i="73"/>
  <c r="G60" i="12"/>
  <c r="Q60" i="73"/>
  <c r="G64" i="12"/>
  <c r="N64" i="73" s="1"/>
  <c r="Q64" i="73"/>
  <c r="G68" i="12"/>
  <c r="Q68" i="73"/>
  <c r="G75" i="12"/>
  <c r="Q75" i="73"/>
  <c r="AM71" i="68"/>
  <c r="G71" i="67" s="1"/>
  <c r="AN71" i="68"/>
  <c r="AO71" i="68"/>
  <c r="AL71" i="68"/>
  <c r="AO31" i="68"/>
  <c r="AN31" i="68"/>
  <c r="AN57" i="68"/>
  <c r="AM57" i="68"/>
  <c r="G57" i="67" s="1"/>
  <c r="AN10" i="68"/>
  <c r="AN36" i="68"/>
  <c r="V44" i="73"/>
  <c r="I32" i="12"/>
  <c r="V28" i="73"/>
  <c r="V24" i="73"/>
  <c r="V72" i="73"/>
  <c r="V36" i="73"/>
  <c r="V52" i="73"/>
  <c r="V40" i="73"/>
  <c r="I68" i="12"/>
  <c r="S68" i="73" s="1"/>
  <c r="I64" i="12"/>
  <c r="S64" i="73" s="1"/>
  <c r="V16" i="73"/>
  <c r="E26" i="12"/>
  <c r="I26" i="73" s="1"/>
  <c r="L26" i="73"/>
  <c r="E30" i="12"/>
  <c r="L30" i="73"/>
  <c r="E50" i="12"/>
  <c r="L50" i="73"/>
  <c r="T84" i="15"/>
  <c r="AL52" i="68"/>
  <c r="AN46" i="68"/>
  <c r="AL37" i="68"/>
  <c r="AU72" i="9"/>
  <c r="R111" i="15"/>
  <c r="Q89" i="15"/>
  <c r="O93" i="15"/>
  <c r="J70" i="15"/>
  <c r="BA70" i="9" s="1"/>
  <c r="J58" i="15"/>
  <c r="BA58" i="9" s="1"/>
  <c r="J46" i="15"/>
  <c r="R46" i="15" s="1"/>
  <c r="J41" i="15"/>
  <c r="BA41" i="9" s="1"/>
  <c r="J25" i="15"/>
  <c r="BA25" i="9" s="1"/>
  <c r="R48" i="15"/>
  <c r="BB15" i="9"/>
  <c r="J69" i="15"/>
  <c r="BA69" i="9" s="1"/>
  <c r="J40" i="15"/>
  <c r="BA40" i="9" s="1"/>
  <c r="J88" i="15"/>
  <c r="J98" i="15"/>
  <c r="J62" i="15"/>
  <c r="J50" i="15"/>
  <c r="BA50" i="9" s="1"/>
  <c r="J37" i="15"/>
  <c r="J21" i="15"/>
  <c r="J17" i="15"/>
  <c r="BA17" i="9" s="1"/>
  <c r="J9" i="15"/>
  <c r="R9" i="15" s="1"/>
  <c r="J89" i="15"/>
  <c r="R39" i="15"/>
  <c r="N128" i="15"/>
  <c r="J56" i="15"/>
  <c r="BA56" i="9" s="1"/>
  <c r="J52" i="15"/>
  <c r="BA52" i="9" s="1"/>
  <c r="J35" i="15"/>
  <c r="R35" i="15" s="1"/>
  <c r="J27" i="15"/>
  <c r="BA27" i="9" s="1"/>
  <c r="J7" i="15"/>
  <c r="R7" i="15" s="1"/>
  <c r="J91" i="15"/>
  <c r="J113" i="15"/>
  <c r="J109" i="15"/>
  <c r="AH21" i="30" s="1"/>
  <c r="J97" i="15"/>
  <c r="AH9" i="30" s="1"/>
  <c r="J66" i="15"/>
  <c r="BA66" i="9" s="1"/>
  <c r="J29" i="15"/>
  <c r="BA29" i="9" s="1"/>
  <c r="G137" i="15"/>
  <c r="G93" i="15"/>
  <c r="R31" i="15"/>
  <c r="J136" i="15"/>
  <c r="J135" i="15"/>
  <c r="J132" i="15"/>
  <c r="AA11" i="29" s="1"/>
  <c r="J122" i="15"/>
  <c r="J114" i="15"/>
  <c r="J110" i="15"/>
  <c r="J106" i="15"/>
  <c r="J102" i="15"/>
  <c r="J105" i="15"/>
  <c r="O46" i="73"/>
  <c r="T46" i="73"/>
  <c r="F46" i="73"/>
  <c r="Q31" i="30"/>
  <c r="AN15" i="68"/>
  <c r="AO15" i="68"/>
  <c r="AL66" i="68"/>
  <c r="AO66" i="68"/>
  <c r="AM66" i="68"/>
  <c r="G66" i="67" s="1"/>
  <c r="AN45" i="68"/>
  <c r="AL45" i="68"/>
  <c r="AO45" i="68"/>
  <c r="AL57" i="68"/>
  <c r="AO57" i="68"/>
  <c r="AL39" i="68"/>
  <c r="AM39" i="68"/>
  <c r="G39" i="67" s="1"/>
  <c r="AM13" i="68"/>
  <c r="G13" i="67" s="1"/>
  <c r="AN13" i="68"/>
  <c r="AL53" i="68"/>
  <c r="AO53" i="68"/>
  <c r="AN53" i="68"/>
  <c r="V66" i="73"/>
  <c r="N9" i="16"/>
  <c r="AC66" i="73"/>
  <c r="AC64" i="73"/>
  <c r="D65" i="13"/>
  <c r="F65" i="13"/>
  <c r="BI65" i="69"/>
  <c r="AV76" i="69"/>
  <c r="M65" i="25"/>
  <c r="N65" i="25" s="1"/>
  <c r="H63" i="13"/>
  <c r="M63" i="25"/>
  <c r="E63" i="73"/>
  <c r="D63" i="13"/>
  <c r="L63" i="12"/>
  <c r="F63" i="13"/>
  <c r="AR63" i="68"/>
  <c r="BI63" i="69"/>
  <c r="E8" i="30"/>
  <c r="AC62" i="73"/>
  <c r="O124" i="14"/>
  <c r="C13" i="76"/>
  <c r="AM13" i="9"/>
  <c r="O23" i="14"/>
  <c r="C23" i="76" s="1"/>
  <c r="E141" i="14"/>
  <c r="N52" i="14"/>
  <c r="G39" i="14"/>
  <c r="O39" i="14" s="1"/>
  <c r="M96" i="14"/>
  <c r="M71" i="14"/>
  <c r="M32" i="14"/>
  <c r="F9" i="14"/>
  <c r="M16" i="14"/>
  <c r="M75" i="14"/>
  <c r="N83" i="14"/>
  <c r="O70" i="14"/>
  <c r="N95" i="14"/>
  <c r="G25" i="14"/>
  <c r="K75" i="14"/>
  <c r="O75" i="14" s="1"/>
  <c r="AM75" i="9" s="1"/>
  <c r="N133" i="14"/>
  <c r="K22" i="14"/>
  <c r="O22" i="14" s="1"/>
  <c r="G91" i="14"/>
  <c r="M83" i="14"/>
  <c r="F58" i="14"/>
  <c r="G58" i="14" s="1"/>
  <c r="O58" i="14" s="1"/>
  <c r="C58" i="76" s="1"/>
  <c r="M91" i="14"/>
  <c r="M102" i="14"/>
  <c r="M68" i="14"/>
  <c r="M57" i="14"/>
  <c r="M65" i="14"/>
  <c r="L120" i="14"/>
  <c r="L111" i="14"/>
  <c r="E38" i="12"/>
  <c r="L38" i="73"/>
  <c r="AN30" i="68"/>
  <c r="AN70" i="68"/>
  <c r="AM70" i="68"/>
  <c r="G70" i="67" s="1"/>
  <c r="AO70" i="68"/>
  <c r="AL70" i="68"/>
  <c r="AL64" i="68"/>
  <c r="AO64" i="68"/>
  <c r="AN64" i="68"/>
  <c r="AM64" i="68"/>
  <c r="G64" i="67" s="1"/>
  <c r="AL7" i="68"/>
  <c r="AM7" i="68"/>
  <c r="G7" i="67" s="1"/>
  <c r="AO7" i="68"/>
  <c r="AN50" i="68"/>
  <c r="AM50" i="68"/>
  <c r="G50" i="67" s="1"/>
  <c r="AO50" i="68"/>
  <c r="AN24" i="68"/>
  <c r="AO24" i="68"/>
  <c r="AM24" i="68"/>
  <c r="G24" i="67" s="1"/>
  <c r="AN7" i="68"/>
  <c r="AL47" i="68"/>
  <c r="AO47" i="68"/>
  <c r="AN29" i="68"/>
  <c r="AM29" i="68"/>
  <c r="G29" i="67" s="1"/>
  <c r="AM54" i="68"/>
  <c r="G54" i="67" s="1"/>
  <c r="AN54" i="68"/>
  <c r="AL54" i="68"/>
  <c r="AO51" i="68"/>
  <c r="AL51" i="68"/>
  <c r="AM51" i="68"/>
  <c r="G51" i="67" s="1"/>
  <c r="AL13" i="68"/>
  <c r="AO13" i="68"/>
  <c r="AO25" i="68"/>
  <c r="AN25" i="68"/>
  <c r="AO65" i="68"/>
  <c r="AN65" i="68"/>
  <c r="AM65" i="68"/>
  <c r="G65" i="67" s="1"/>
  <c r="AL75" i="68"/>
  <c r="AO34" i="68"/>
  <c r="AN34" i="68"/>
  <c r="AL34" i="68"/>
  <c r="G73" i="12"/>
  <c r="Q73" i="73"/>
  <c r="Q37" i="30"/>
  <c r="N37" i="30"/>
  <c r="AQ9" i="29"/>
  <c r="AQ19" i="29" s="1"/>
  <c r="N108" i="14"/>
  <c r="H15" i="29"/>
  <c r="H16" i="29"/>
  <c r="Q36" i="30"/>
  <c r="AM9" i="29"/>
  <c r="AC9" i="29"/>
  <c r="AM44" i="68"/>
  <c r="G44" i="67" s="1"/>
  <c r="S9" i="29"/>
  <c r="AL46" i="68"/>
  <c r="H7" i="17"/>
  <c r="K32" i="30"/>
  <c r="N39" i="30"/>
  <c r="K13" i="30"/>
  <c r="N20" i="30"/>
  <c r="Q22" i="30"/>
  <c r="H33" i="30"/>
  <c r="I33" i="73"/>
  <c r="K18" i="30"/>
  <c r="K9" i="17"/>
  <c r="H37" i="30"/>
  <c r="Q9" i="30"/>
  <c r="Q33" i="30"/>
  <c r="Q8" i="17"/>
  <c r="N35" i="30"/>
  <c r="N24" i="30"/>
  <c r="K27" i="30"/>
  <c r="Q26" i="30"/>
  <c r="AN8" i="68"/>
  <c r="AL41" i="68"/>
  <c r="AL25" i="68"/>
  <c r="AO39" i="68"/>
  <c r="AM23" i="68"/>
  <c r="G23" i="67" s="1"/>
  <c r="AL36" i="68"/>
  <c r="AO72" i="68"/>
  <c r="AM8" i="68"/>
  <c r="AM28" i="68"/>
  <c r="G28" i="67" s="1"/>
  <c r="AL27" i="68"/>
  <c r="AN23" i="68"/>
  <c r="AO23" i="68"/>
  <c r="AM31" i="68"/>
  <c r="G31" i="67" s="1"/>
  <c r="AM42" i="68"/>
  <c r="G42" i="67" s="1"/>
  <c r="AO36" i="68"/>
  <c r="Q25" i="73"/>
  <c r="G25" i="12"/>
  <c r="AL28" i="68"/>
  <c r="AM25" i="68"/>
  <c r="G25" i="67" s="1"/>
  <c r="AN39" i="68"/>
  <c r="AL31" i="68"/>
  <c r="AO41" i="68"/>
  <c r="AN11" i="68"/>
  <c r="AN42" i="68"/>
  <c r="N84" i="15"/>
  <c r="N93" i="15"/>
  <c r="AT20" i="30"/>
  <c r="AT21" i="30"/>
  <c r="AB38" i="30"/>
  <c r="S17" i="29"/>
  <c r="M76" i="28"/>
  <c r="M84" i="28" s="1"/>
  <c r="M76" i="26"/>
  <c r="M84" i="26" s="1"/>
  <c r="AB35" i="30"/>
  <c r="AB10" i="30"/>
  <c r="M76" i="27"/>
  <c r="M84" i="27" s="1"/>
  <c r="AB39" i="30"/>
  <c r="AB33" i="30"/>
  <c r="H143" i="14"/>
  <c r="M108" i="14"/>
  <c r="E111" i="14"/>
  <c r="E122" i="14" s="1"/>
  <c r="BA68" i="9"/>
  <c r="AC30" i="30"/>
  <c r="T128" i="15"/>
  <c r="BA21" i="9"/>
  <c r="J78" i="15"/>
  <c r="G84" i="15"/>
  <c r="AH27" i="30"/>
  <c r="R115" i="15"/>
  <c r="J95" i="15"/>
  <c r="G128" i="15"/>
  <c r="AA12" i="29"/>
  <c r="T42" i="15"/>
  <c r="I42" i="15"/>
  <c r="AC16" i="30"/>
  <c r="AC24" i="30"/>
  <c r="O132" i="15"/>
  <c r="Q132" i="15" s="1"/>
  <c r="N137" i="15"/>
  <c r="E80" i="15"/>
  <c r="D84" i="15"/>
  <c r="E97" i="15"/>
  <c r="D128" i="15"/>
  <c r="E134" i="15"/>
  <c r="E137" i="15" s="1"/>
  <c r="D137" i="15"/>
  <c r="BA55" i="9"/>
  <c r="R55" i="15"/>
  <c r="L4" i="15"/>
  <c r="M4" i="15" s="1"/>
  <c r="N4" i="15" s="1"/>
  <c r="O4" i="15" s="1"/>
  <c r="P4" i="15" s="1"/>
  <c r="Q4" i="15" s="1"/>
  <c r="R4" i="15" s="1"/>
  <c r="K76" i="15"/>
  <c r="K141" i="15" s="1"/>
  <c r="J96" i="15"/>
  <c r="I128" i="15"/>
  <c r="J130" i="15"/>
  <c r="R130" i="15" s="1"/>
  <c r="I137" i="15"/>
  <c r="AV47" i="9"/>
  <c r="J99" i="15"/>
  <c r="AV33" i="9"/>
  <c r="R33" i="15"/>
  <c r="AV54" i="9"/>
  <c r="AU17" i="9"/>
  <c r="R30" i="15"/>
  <c r="AV60" i="9"/>
  <c r="AC8" i="17"/>
  <c r="R87" i="15"/>
  <c r="R107" i="15"/>
  <c r="BA45" i="9"/>
  <c r="AC22" i="30"/>
  <c r="X9" i="16"/>
  <c r="AC37" i="30"/>
  <c r="AH31" i="30"/>
  <c r="P79" i="28"/>
  <c r="Q79" i="28" s="1"/>
  <c r="AH35" i="30"/>
  <c r="BA10" i="9"/>
  <c r="AC36" i="30"/>
  <c r="AC34" i="30"/>
  <c r="P76" i="15"/>
  <c r="P141" i="15" s="1"/>
  <c r="V14" i="29"/>
  <c r="AA13" i="29"/>
  <c r="R79" i="15"/>
  <c r="AH8" i="17"/>
  <c r="V13" i="29"/>
  <c r="Q9" i="16"/>
  <c r="AC7" i="17"/>
  <c r="P9" i="16"/>
  <c r="BC42" i="9"/>
  <c r="M76" i="15"/>
  <c r="M141" i="15" s="1"/>
  <c r="F76" i="15"/>
  <c r="F141" i="15" s="1"/>
  <c r="G42" i="15"/>
  <c r="O139" i="15"/>
  <c r="U8" i="29"/>
  <c r="AC11" i="17"/>
  <c r="R125" i="15"/>
  <c r="J13" i="15"/>
  <c r="I76" i="15"/>
  <c r="J92" i="15"/>
  <c r="I93" i="15"/>
  <c r="AU26" i="9"/>
  <c r="AV63" i="9"/>
  <c r="AV14" i="9"/>
  <c r="AU65" i="9"/>
  <c r="AU67" i="9"/>
  <c r="E93" i="15"/>
  <c r="R90" i="15"/>
  <c r="AH13" i="30"/>
  <c r="AC28" i="30"/>
  <c r="AC13" i="17"/>
  <c r="Q96" i="15"/>
  <c r="O128" i="15"/>
  <c r="AH19" i="30"/>
  <c r="AH39" i="30"/>
  <c r="AC17" i="29"/>
  <c r="BA61" i="9"/>
  <c r="AC12" i="17"/>
  <c r="BA8" i="9"/>
  <c r="R118" i="15"/>
  <c r="R124" i="15"/>
  <c r="D93" i="15"/>
  <c r="BA64" i="9"/>
  <c r="R29" i="15"/>
  <c r="U12" i="29"/>
  <c r="V15" i="29"/>
  <c r="U11" i="29"/>
  <c r="V12" i="29"/>
  <c r="U7" i="29"/>
  <c r="V8" i="29"/>
  <c r="U14" i="29"/>
  <c r="J111" i="14"/>
  <c r="N79" i="14"/>
  <c r="G104" i="14"/>
  <c r="O104" i="14" s="1"/>
  <c r="N104" i="14"/>
  <c r="G132" i="14"/>
  <c r="O132" i="14" s="1"/>
  <c r="F139" i="14"/>
  <c r="N132" i="14"/>
  <c r="K86" i="14"/>
  <c r="O86" i="14" s="1"/>
  <c r="N86" i="14"/>
  <c r="K12" i="14"/>
  <c r="O12" i="14" s="1"/>
  <c r="N98" i="14"/>
  <c r="K98" i="14"/>
  <c r="K80" i="14"/>
  <c r="O80" i="14" s="1"/>
  <c r="N80" i="14"/>
  <c r="G96" i="14"/>
  <c r="N96" i="14"/>
  <c r="N70" i="14"/>
  <c r="M50" i="14"/>
  <c r="N12" i="14"/>
  <c r="M31" i="14"/>
  <c r="M84" i="14"/>
  <c r="N100" i="14"/>
  <c r="M104" i="14"/>
  <c r="M130" i="14"/>
  <c r="K20" i="14"/>
  <c r="O20" i="14" s="1"/>
  <c r="N11" i="14"/>
  <c r="M22" i="14"/>
  <c r="K49" i="14"/>
  <c r="O88" i="14"/>
  <c r="O62" i="14"/>
  <c r="C62" i="76" s="1"/>
  <c r="N10" i="14"/>
  <c r="G10" i="14"/>
  <c r="N61" i="14"/>
  <c r="O64" i="14"/>
  <c r="AM45" i="9"/>
  <c r="C45" i="76"/>
  <c r="C19" i="76"/>
  <c r="AM19" i="9"/>
  <c r="AM14" i="9"/>
  <c r="K55" i="14"/>
  <c r="O55" i="14" s="1"/>
  <c r="C55" i="76" s="1"/>
  <c r="N55" i="14"/>
  <c r="N72" i="14"/>
  <c r="G72" i="14"/>
  <c r="F130" i="14"/>
  <c r="G126" i="14"/>
  <c r="N136" i="14"/>
  <c r="G136" i="14"/>
  <c r="N17" i="14"/>
  <c r="G17" i="14"/>
  <c r="O17" i="14" s="1"/>
  <c r="N65" i="14"/>
  <c r="G65" i="14"/>
  <c r="O65" i="14" s="1"/>
  <c r="N46" i="14"/>
  <c r="G46" i="14"/>
  <c r="O46" i="14" s="1"/>
  <c r="N47" i="14"/>
  <c r="K47" i="14"/>
  <c r="O47" i="14" s="1"/>
  <c r="G56" i="14"/>
  <c r="O56" i="14" s="1"/>
  <c r="N56" i="14"/>
  <c r="N138" i="14"/>
  <c r="G138" i="14"/>
  <c r="N92" i="14"/>
  <c r="K92" i="14"/>
  <c r="O92" i="14" s="1"/>
  <c r="G103" i="14"/>
  <c r="O103" i="14" s="1"/>
  <c r="N103" i="14"/>
  <c r="N24" i="14"/>
  <c r="G24" i="14"/>
  <c r="O24" i="14" s="1"/>
  <c r="N33" i="14"/>
  <c r="G33" i="14"/>
  <c r="K90" i="14"/>
  <c r="O90" i="14" s="1"/>
  <c r="N90" i="14"/>
  <c r="N63" i="14"/>
  <c r="N89" i="14"/>
  <c r="M136" i="14"/>
  <c r="G54" i="14"/>
  <c r="O54" i="14" s="1"/>
  <c r="C54" i="76" s="1"/>
  <c r="N45" i="14"/>
  <c r="K135" i="14"/>
  <c r="G43" i="14"/>
  <c r="O43" i="14" s="1"/>
  <c r="F31" i="14"/>
  <c r="G31" i="14" s="1"/>
  <c r="O31" i="14" s="1"/>
  <c r="M33" i="14"/>
  <c r="N16" i="14"/>
  <c r="N37" i="14"/>
  <c r="N71" i="14"/>
  <c r="K72" i="14"/>
  <c r="N78" i="14"/>
  <c r="K79" i="14"/>
  <c r="O79" i="14" s="1"/>
  <c r="G95" i="14"/>
  <c r="O95" i="14" s="1"/>
  <c r="M97" i="14"/>
  <c r="N87" i="14"/>
  <c r="N43" i="14"/>
  <c r="N66" i="14"/>
  <c r="M47" i="14"/>
  <c r="G11" i="14"/>
  <c r="O11" i="14" s="1"/>
  <c r="N39" i="14"/>
  <c r="M56" i="14"/>
  <c r="M8" i="14"/>
  <c r="M26" i="14"/>
  <c r="K59" i="14"/>
  <c r="K61" i="14"/>
  <c r="O61" i="14" s="1"/>
  <c r="K63" i="14"/>
  <c r="O63" i="14" s="1"/>
  <c r="G83" i="14"/>
  <c r="O83" i="14" s="1"/>
  <c r="K87" i="14"/>
  <c r="O87" i="14" s="1"/>
  <c r="M90" i="14"/>
  <c r="M93" i="14"/>
  <c r="O101" i="14"/>
  <c r="O52" i="14"/>
  <c r="C52" i="76" s="1"/>
  <c r="N64" i="14"/>
  <c r="M7" i="14"/>
  <c r="M46" i="14"/>
  <c r="N51" i="14"/>
  <c r="N57" i="14"/>
  <c r="M81" i="14"/>
  <c r="N85" i="14"/>
  <c r="M86" i="14"/>
  <c r="G100" i="14"/>
  <c r="O100" i="14" s="1"/>
  <c r="K105" i="14"/>
  <c r="O105" i="14" s="1"/>
  <c r="C21" i="76"/>
  <c r="AM21" i="9"/>
  <c r="G18" i="14"/>
  <c r="O18" i="14" s="1"/>
  <c r="N18" i="14"/>
  <c r="G32" i="14"/>
  <c r="O32" i="14" s="1"/>
  <c r="N32" i="14"/>
  <c r="G115" i="14"/>
  <c r="N116" i="14"/>
  <c r="K116" i="14"/>
  <c r="O116" i="14" s="1"/>
  <c r="I12" i="29" s="1"/>
  <c r="N68" i="14"/>
  <c r="G68" i="14"/>
  <c r="O68" i="14" s="1"/>
  <c r="N94" i="14"/>
  <c r="G94" i="14"/>
  <c r="O94" i="14" s="1"/>
  <c r="G106" i="14"/>
  <c r="O106" i="14" s="1"/>
  <c r="N106" i="14"/>
  <c r="N53" i="14"/>
  <c r="G53" i="14"/>
  <c r="O53" i="14" s="1"/>
  <c r="N7" i="14"/>
  <c r="G38" i="14"/>
  <c r="N38" i="14"/>
  <c r="N114" i="14"/>
  <c r="N84" i="14"/>
  <c r="K66" i="14"/>
  <c r="O66" i="14" s="1"/>
  <c r="K71" i="14"/>
  <c r="O71" i="14" s="1"/>
  <c r="K78" i="14"/>
  <c r="O78" i="14" s="1"/>
  <c r="F4" i="76" s="1"/>
  <c r="K85" i="14"/>
  <c r="O85" i="14" s="1"/>
  <c r="K91" i="14"/>
  <c r="O91" i="14" s="1"/>
  <c r="K96" i="14"/>
  <c r="G98" i="14"/>
  <c r="K25" i="14"/>
  <c r="M42" i="14"/>
  <c r="K50" i="14"/>
  <c r="G51" i="14"/>
  <c r="O51" i="14" s="1"/>
  <c r="K57" i="14"/>
  <c r="O57" i="14" s="1"/>
  <c r="K67" i="14"/>
  <c r="F81" i="14"/>
  <c r="J115" i="14"/>
  <c r="J120" i="14" s="1"/>
  <c r="G30" i="14"/>
  <c r="O30" i="14" s="1"/>
  <c r="G7" i="14"/>
  <c r="K15" i="14"/>
  <c r="G16" i="14"/>
  <c r="O16" i="14" s="1"/>
  <c r="K27" i="14"/>
  <c r="O27" i="14" s="1"/>
  <c r="K29" i="14"/>
  <c r="O29" i="14" s="1"/>
  <c r="K33" i="14"/>
  <c r="G34" i="14"/>
  <c r="O34" i="14" s="1"/>
  <c r="K37" i="14"/>
  <c r="O37" i="14" s="1"/>
  <c r="O10" i="12" l="1"/>
  <c r="P10" i="12" s="1"/>
  <c r="R10" i="12" s="1"/>
  <c r="R61" i="15"/>
  <c r="R67" i="15"/>
  <c r="R49" i="15"/>
  <c r="R135" i="15"/>
  <c r="R28" i="15"/>
  <c r="O14" i="12"/>
  <c r="P14" i="12" s="1"/>
  <c r="R14" i="12" s="1"/>
  <c r="O13" i="12"/>
  <c r="P13" i="12" s="1"/>
  <c r="D13" i="73" s="1"/>
  <c r="J13" i="73" s="1"/>
  <c r="R64" i="15"/>
  <c r="O58" i="12"/>
  <c r="P58" i="12" s="1"/>
  <c r="D58" i="73" s="1"/>
  <c r="O8" i="12"/>
  <c r="P8" i="12" s="1"/>
  <c r="R8" i="12" s="1"/>
  <c r="R69" i="15"/>
  <c r="R8" i="15"/>
  <c r="R45" i="15"/>
  <c r="R47" i="15"/>
  <c r="R19" i="15"/>
  <c r="O23" i="12"/>
  <c r="P23" i="12" s="1"/>
  <c r="Y10" i="12"/>
  <c r="AR10" i="68"/>
  <c r="Y34" i="12"/>
  <c r="AR34" i="68"/>
  <c r="Y18" i="12"/>
  <c r="AR18" i="68"/>
  <c r="AO75" i="68"/>
  <c r="AO10" i="68"/>
  <c r="AM55" i="68"/>
  <c r="G55" i="67" s="1"/>
  <c r="AR58" i="68"/>
  <c r="AO43" i="68"/>
  <c r="C37" i="67"/>
  <c r="AO11" i="68"/>
  <c r="AM11" i="68"/>
  <c r="G11" i="67" s="1"/>
  <c r="AN67" i="68"/>
  <c r="AM75" i="68"/>
  <c r="G75" i="67" s="1"/>
  <c r="AO30" i="68"/>
  <c r="AL10" i="68"/>
  <c r="AR69" i="68"/>
  <c r="AR37" i="68"/>
  <c r="AD37" i="68"/>
  <c r="AM67" i="68"/>
  <c r="G67" i="67" s="1"/>
  <c r="AL30" i="68"/>
  <c r="AM10" i="68"/>
  <c r="G10" i="67" s="1"/>
  <c r="AR29" i="68"/>
  <c r="AR28" i="68"/>
  <c r="AL67" i="68"/>
  <c r="AR47" i="68"/>
  <c r="C69" i="67"/>
  <c r="AD12" i="68"/>
  <c r="AQ12" i="68"/>
  <c r="C12" i="67"/>
  <c r="Y20" i="12"/>
  <c r="AR20" i="68"/>
  <c r="AQ44" i="68"/>
  <c r="C44" i="67"/>
  <c r="AD44" i="68"/>
  <c r="AQ52" i="68"/>
  <c r="C52" i="67"/>
  <c r="AQ60" i="68"/>
  <c r="AD60" i="68"/>
  <c r="C68" i="67"/>
  <c r="AQ68" i="68"/>
  <c r="C15" i="67"/>
  <c r="AD15" i="68"/>
  <c r="AD25" i="68"/>
  <c r="C25" i="67"/>
  <c r="AQ25" i="68"/>
  <c r="AQ41" i="68"/>
  <c r="C41" i="67"/>
  <c r="AD41" i="68"/>
  <c r="C57" i="67"/>
  <c r="AD57" i="68"/>
  <c r="AQ57" i="68"/>
  <c r="AQ73" i="68"/>
  <c r="C73" i="67"/>
  <c r="AD73" i="68"/>
  <c r="AD30" i="68"/>
  <c r="C30" i="67"/>
  <c r="C38" i="67"/>
  <c r="AQ38" i="68"/>
  <c r="AD38" i="68"/>
  <c r="AQ46" i="68"/>
  <c r="C46" i="67"/>
  <c r="AD46" i="68"/>
  <c r="AD54" i="68"/>
  <c r="C54" i="67"/>
  <c r="AQ62" i="68"/>
  <c r="AD62" i="68"/>
  <c r="C62" i="67"/>
  <c r="AQ70" i="68"/>
  <c r="AD70" i="68"/>
  <c r="C70" i="67"/>
  <c r="C9" i="67"/>
  <c r="AQ9" i="68"/>
  <c r="AD17" i="68"/>
  <c r="C17" i="67"/>
  <c r="AQ17" i="68"/>
  <c r="AD45" i="68"/>
  <c r="AQ45" i="68"/>
  <c r="C45" i="67"/>
  <c r="C61" i="67"/>
  <c r="AQ61" i="68"/>
  <c r="AD61" i="68"/>
  <c r="C8" i="67"/>
  <c r="AQ8" i="68"/>
  <c r="AD8" i="68"/>
  <c r="AD16" i="68"/>
  <c r="C16" i="67"/>
  <c r="AQ16" i="68"/>
  <c r="AQ24" i="68"/>
  <c r="AD24" i="68"/>
  <c r="C24" i="67"/>
  <c r="AQ32" i="68"/>
  <c r="AD32" i="68"/>
  <c r="C40" i="67"/>
  <c r="AQ40" i="68"/>
  <c r="AQ56" i="68"/>
  <c r="AD56" i="68"/>
  <c r="C19" i="67"/>
  <c r="AD19" i="68"/>
  <c r="AD33" i="68"/>
  <c r="C33" i="67"/>
  <c r="AQ33" i="68"/>
  <c r="AD49" i="68"/>
  <c r="C49" i="67"/>
  <c r="AQ49" i="68"/>
  <c r="AQ65" i="68"/>
  <c r="AD65" i="68"/>
  <c r="C65" i="67"/>
  <c r="AD10" i="68"/>
  <c r="C10" i="67"/>
  <c r="C18" i="67"/>
  <c r="AD18" i="68"/>
  <c r="AQ26" i="68"/>
  <c r="C26" i="67"/>
  <c r="AD26" i="68"/>
  <c r="AD34" i="68"/>
  <c r="C34" i="67"/>
  <c r="AQ42" i="68"/>
  <c r="C42" i="67"/>
  <c r="AD42" i="68"/>
  <c r="AQ50" i="68"/>
  <c r="AD50" i="68"/>
  <c r="C50" i="67"/>
  <c r="C58" i="67"/>
  <c r="AD58" i="68"/>
  <c r="AD66" i="68"/>
  <c r="C66" i="67"/>
  <c r="AQ66" i="68"/>
  <c r="C74" i="67"/>
  <c r="AD74" i="68"/>
  <c r="AQ74" i="68"/>
  <c r="C13" i="67"/>
  <c r="AQ13" i="68"/>
  <c r="AD13" i="68"/>
  <c r="C21" i="67"/>
  <c r="AQ21" i="68"/>
  <c r="AD21" i="68"/>
  <c r="C53" i="67"/>
  <c r="AD53" i="68"/>
  <c r="AQ53" i="68"/>
  <c r="AD7" i="68"/>
  <c r="C7" i="67"/>
  <c r="D19" i="67"/>
  <c r="D76" i="67" s="1"/>
  <c r="H76" i="68"/>
  <c r="AM14" i="68"/>
  <c r="G14" i="67" s="1"/>
  <c r="AL14" i="68"/>
  <c r="AB76" i="68"/>
  <c r="G76" i="27"/>
  <c r="G84" i="27" s="1"/>
  <c r="G76" i="28"/>
  <c r="G84" i="28" s="1"/>
  <c r="AC35" i="73"/>
  <c r="O35" i="12"/>
  <c r="P35" i="12" s="1"/>
  <c r="R35" i="12" s="1"/>
  <c r="AB35" i="12" s="1"/>
  <c r="D10" i="73"/>
  <c r="BI76" i="69"/>
  <c r="O58" i="73"/>
  <c r="H28" i="13"/>
  <c r="I28" i="13" s="1"/>
  <c r="E28" i="73"/>
  <c r="AF28" i="73" s="1"/>
  <c r="M54" i="25"/>
  <c r="N54" i="25" s="1"/>
  <c r="F54" i="13"/>
  <c r="H54" i="13"/>
  <c r="I54" i="13" s="1"/>
  <c r="L54" i="12"/>
  <c r="M54" i="12" s="1"/>
  <c r="N54" i="12" s="1"/>
  <c r="E54" i="73"/>
  <c r="AF54" i="73" s="1"/>
  <c r="D54" i="13"/>
  <c r="H27" i="13"/>
  <c r="I27" i="13" s="1"/>
  <c r="F27" i="13"/>
  <c r="M27" i="25"/>
  <c r="N27" i="25" s="1"/>
  <c r="L27" i="12"/>
  <c r="M27" i="12" s="1"/>
  <c r="N27" i="12" s="1"/>
  <c r="AC27" i="73" s="1"/>
  <c r="E27" i="73"/>
  <c r="AF27" i="73" s="1"/>
  <c r="D27" i="13"/>
  <c r="E60" i="73"/>
  <c r="AF60" i="73" s="1"/>
  <c r="M60" i="25"/>
  <c r="N60" i="25" s="1"/>
  <c r="L60" i="12"/>
  <c r="M60" i="12" s="1"/>
  <c r="N60" i="12" s="1"/>
  <c r="AC60" i="73" s="1"/>
  <c r="F60" i="13"/>
  <c r="D60" i="13"/>
  <c r="H60" i="13"/>
  <c r="I60" i="13" s="1"/>
  <c r="M34" i="25"/>
  <c r="N34" i="25" s="1"/>
  <c r="D34" i="13"/>
  <c r="F34" i="13"/>
  <c r="H34" i="13"/>
  <c r="I34" i="13" s="1"/>
  <c r="E34" i="73"/>
  <c r="AF34" i="73" s="1"/>
  <c r="L34" i="12"/>
  <c r="M34" i="12" s="1"/>
  <c r="N34" i="12" s="1"/>
  <c r="AC34" i="73" s="1"/>
  <c r="D14" i="73"/>
  <c r="O53" i="73"/>
  <c r="G76" i="26"/>
  <c r="G84" i="26" s="1"/>
  <c r="AO19" i="68"/>
  <c r="AM19" i="68"/>
  <c r="G19" i="67" s="1"/>
  <c r="R86" i="15"/>
  <c r="R116" i="15"/>
  <c r="R95" i="15"/>
  <c r="R103" i="15"/>
  <c r="AL43" i="68"/>
  <c r="AN43" i="68"/>
  <c r="Y75" i="12"/>
  <c r="AR75" i="68"/>
  <c r="Y31" i="12"/>
  <c r="AR31" i="68"/>
  <c r="Y23" i="12"/>
  <c r="AR23" i="68"/>
  <c r="I141" i="14"/>
  <c r="AL35" i="68"/>
  <c r="AM35" i="68"/>
  <c r="G35" i="67" s="1"/>
  <c r="AN58" i="68"/>
  <c r="AL58" i="68"/>
  <c r="Y43" i="12"/>
  <c r="AR43" i="68"/>
  <c r="H9" i="29"/>
  <c r="V9" i="29"/>
  <c r="R40" i="15"/>
  <c r="R63" i="15"/>
  <c r="R81" i="15"/>
  <c r="R20" i="15"/>
  <c r="R15" i="15"/>
  <c r="R72" i="15"/>
  <c r="R18" i="15"/>
  <c r="R60" i="15"/>
  <c r="R54" i="15"/>
  <c r="R36" i="15"/>
  <c r="R74" i="15"/>
  <c r="J84" i="15"/>
  <c r="R34" i="15"/>
  <c r="R126" i="15"/>
  <c r="R10" i="15"/>
  <c r="R24" i="15"/>
  <c r="R21" i="15"/>
  <c r="R12" i="15"/>
  <c r="R109" i="15"/>
  <c r="R26" i="15"/>
  <c r="BA28" i="9"/>
  <c r="R41" i="15"/>
  <c r="R23" i="15"/>
  <c r="R11" i="15"/>
  <c r="R57" i="15"/>
  <c r="R38" i="15"/>
  <c r="I141" i="15"/>
  <c r="R68" i="15"/>
  <c r="R44" i="15"/>
  <c r="R136" i="15"/>
  <c r="R131" i="15"/>
  <c r="R43" i="15"/>
  <c r="AB17" i="29"/>
  <c r="O50" i="14"/>
  <c r="AM40" i="9"/>
  <c r="O49" i="14"/>
  <c r="N134" i="14"/>
  <c r="K139" i="14"/>
  <c r="I122" i="14"/>
  <c r="N44" i="14"/>
  <c r="N49" i="14"/>
  <c r="L141" i="14"/>
  <c r="N34" i="14"/>
  <c r="AC18" i="73"/>
  <c r="O18" i="12"/>
  <c r="P18" i="12" s="1"/>
  <c r="L93" i="15"/>
  <c r="L76" i="15"/>
  <c r="L137" i="15"/>
  <c r="AB7" i="29"/>
  <c r="AB9" i="29" s="1"/>
  <c r="AB19" i="29" s="1"/>
  <c r="S43" i="73"/>
  <c r="O43" i="12"/>
  <c r="P43" i="12" s="1"/>
  <c r="L128" i="15"/>
  <c r="L84" i="15"/>
  <c r="W7" i="16"/>
  <c r="W9" i="16" s="1"/>
  <c r="S47" i="73"/>
  <c r="O47" i="12"/>
  <c r="P47" i="12" s="1"/>
  <c r="J130" i="14"/>
  <c r="O35" i="14"/>
  <c r="R66" i="15"/>
  <c r="F70" i="76"/>
  <c r="F61" i="76"/>
  <c r="F59" i="76"/>
  <c r="F53" i="76"/>
  <c r="F49" i="76"/>
  <c r="F45" i="76"/>
  <c r="F41" i="76"/>
  <c r="F37" i="76"/>
  <c r="F33" i="76"/>
  <c r="F29" i="76"/>
  <c r="F25" i="76"/>
  <c r="F21" i="76"/>
  <c r="F72" i="76"/>
  <c r="F62" i="76"/>
  <c r="F73" i="76"/>
  <c r="F14" i="76"/>
  <c r="F10" i="76"/>
  <c r="F67" i="76"/>
  <c r="F60" i="76"/>
  <c r="F56" i="76"/>
  <c r="F52" i="76"/>
  <c r="F48" i="76"/>
  <c r="F44" i="76"/>
  <c r="F40" i="76"/>
  <c r="F36" i="76"/>
  <c r="F32" i="76"/>
  <c r="F28" i="76"/>
  <c r="F24" i="76"/>
  <c r="F20" i="76"/>
  <c r="F68" i="76"/>
  <c r="F58" i="76"/>
  <c r="F17" i="76"/>
  <c r="F13" i="76"/>
  <c r="F9" i="76"/>
  <c r="F74" i="76"/>
  <c r="F71" i="76"/>
  <c r="F50" i="76"/>
  <c r="F42" i="76"/>
  <c r="F34" i="76"/>
  <c r="F26" i="76"/>
  <c r="F18" i="76"/>
  <c r="F57" i="76"/>
  <c r="F11" i="76"/>
  <c r="F51" i="76"/>
  <c r="F35" i="76"/>
  <c r="F19" i="76"/>
  <c r="F12" i="76"/>
  <c r="F65" i="76"/>
  <c r="F55" i="76"/>
  <c r="F47" i="76"/>
  <c r="F39" i="76"/>
  <c r="F31" i="76"/>
  <c r="F23" i="76"/>
  <c r="F66" i="76"/>
  <c r="F16" i="76"/>
  <c r="F8" i="76"/>
  <c r="F63" i="76"/>
  <c r="F54" i="76"/>
  <c r="F46" i="76"/>
  <c r="F38" i="76"/>
  <c r="F30" i="76"/>
  <c r="F22" i="76"/>
  <c r="F64" i="76"/>
  <c r="F15" i="76"/>
  <c r="F7" i="76"/>
  <c r="F75" i="76"/>
  <c r="F43" i="76"/>
  <c r="F27" i="76"/>
  <c r="F69" i="76"/>
  <c r="U4" i="76"/>
  <c r="T16" i="30"/>
  <c r="S4" i="76"/>
  <c r="E4" i="76"/>
  <c r="AB4" i="76"/>
  <c r="T33" i="30"/>
  <c r="AA4" i="76"/>
  <c r="Q4" i="76"/>
  <c r="O129" i="14"/>
  <c r="Y4" i="76"/>
  <c r="L4" i="76"/>
  <c r="I4" i="76"/>
  <c r="AF4" i="76"/>
  <c r="T34" i="30"/>
  <c r="AK4" i="76"/>
  <c r="AJ4" i="76"/>
  <c r="AW4" i="76"/>
  <c r="AN4" i="76"/>
  <c r="T26" i="30"/>
  <c r="M4" i="76"/>
  <c r="AY4" i="76"/>
  <c r="H4" i="76"/>
  <c r="AG4" i="76"/>
  <c r="AL4" i="76"/>
  <c r="AT4" i="76"/>
  <c r="T24" i="30"/>
  <c r="V4" i="76"/>
  <c r="T4" i="76"/>
  <c r="T17" i="30"/>
  <c r="AH4" i="76"/>
  <c r="G4" i="76"/>
  <c r="N4" i="76"/>
  <c r="H7" i="16"/>
  <c r="BD4" i="76"/>
  <c r="AX4" i="76"/>
  <c r="O4" i="76"/>
  <c r="L77" i="28"/>
  <c r="N77" i="28" s="1"/>
  <c r="BH4" i="76"/>
  <c r="K4" i="76"/>
  <c r="P4" i="76"/>
  <c r="AM42" i="9"/>
  <c r="AM26" i="9"/>
  <c r="C26" i="76"/>
  <c r="O138" i="14"/>
  <c r="R59" i="15"/>
  <c r="R14" i="15"/>
  <c r="R112" i="15"/>
  <c r="R91" i="15"/>
  <c r="H9" i="17"/>
  <c r="N14" i="30"/>
  <c r="G127" i="14"/>
  <c r="O127" i="14" s="1"/>
  <c r="N73" i="14"/>
  <c r="G73" i="14"/>
  <c r="O73" i="14" s="1"/>
  <c r="G119" i="14"/>
  <c r="O119" i="14" s="1"/>
  <c r="I15" i="29" s="1"/>
  <c r="D8" i="73"/>
  <c r="Y8" i="73" s="1"/>
  <c r="J139" i="14"/>
  <c r="J141" i="14" s="1"/>
  <c r="BA9" i="9"/>
  <c r="O38" i="14"/>
  <c r="M139" i="14"/>
  <c r="M141" i="14" s="1"/>
  <c r="O10" i="14"/>
  <c r="J76" i="14"/>
  <c r="R117" i="15"/>
  <c r="R58" i="15"/>
  <c r="N13" i="17"/>
  <c r="R32" i="15"/>
  <c r="T9" i="17"/>
  <c r="K109" i="14"/>
  <c r="O109" i="14" s="1"/>
  <c r="N109" i="14"/>
  <c r="G125" i="14"/>
  <c r="O125" i="14" s="1"/>
  <c r="N125" i="14"/>
  <c r="N130" i="14" s="1"/>
  <c r="K126" i="14"/>
  <c r="K130" i="14" s="1"/>
  <c r="K141" i="14" s="1"/>
  <c r="N82" i="14"/>
  <c r="G82" i="14"/>
  <c r="O82" i="14" s="1"/>
  <c r="G137" i="14"/>
  <c r="O137" i="14" s="1"/>
  <c r="N137" i="14"/>
  <c r="O98" i="14"/>
  <c r="F141" i="14"/>
  <c r="I143" i="14"/>
  <c r="AM23" i="9"/>
  <c r="AH7" i="17"/>
  <c r="AC20" i="30"/>
  <c r="I79" i="25"/>
  <c r="J79" i="25" s="1"/>
  <c r="AH28" i="30"/>
  <c r="P83" i="26"/>
  <c r="Q83" i="26" s="1"/>
  <c r="AH12" i="17"/>
  <c r="AH10" i="30"/>
  <c r="N28" i="30"/>
  <c r="K29" i="30"/>
  <c r="N26" i="30"/>
  <c r="H30" i="30"/>
  <c r="Q29" i="30"/>
  <c r="H13" i="30"/>
  <c r="Q23" i="30"/>
  <c r="J58" i="73"/>
  <c r="Q38" i="30"/>
  <c r="Q28" i="30"/>
  <c r="K12" i="30"/>
  <c r="O33" i="12"/>
  <c r="P33" i="12" s="1"/>
  <c r="AE14" i="17"/>
  <c r="R50" i="15"/>
  <c r="H10" i="17"/>
  <c r="AD13" i="73"/>
  <c r="Y53" i="73"/>
  <c r="K13" i="17"/>
  <c r="F53" i="73"/>
  <c r="R53" i="12"/>
  <c r="AB53" i="12" s="1"/>
  <c r="R22" i="15"/>
  <c r="AM62" i="9"/>
  <c r="R65" i="15"/>
  <c r="AT33" i="30"/>
  <c r="O59" i="14"/>
  <c r="R120" i="15"/>
  <c r="AD53" i="73"/>
  <c r="T53" i="73"/>
  <c r="R52" i="15"/>
  <c r="AA76" i="73"/>
  <c r="H29" i="30"/>
  <c r="N9" i="30"/>
  <c r="O74" i="12"/>
  <c r="P74" i="12" s="1"/>
  <c r="AM41" i="9"/>
  <c r="C41" i="76"/>
  <c r="O25" i="14"/>
  <c r="AH11" i="17"/>
  <c r="R98" i="15"/>
  <c r="AM55" i="9"/>
  <c r="AA15" i="29"/>
  <c r="R71" i="15"/>
  <c r="Q15" i="30"/>
  <c r="Q11" i="17"/>
  <c r="N19" i="30"/>
  <c r="Q19" i="30"/>
  <c r="Q21" i="30"/>
  <c r="N12" i="30"/>
  <c r="H21" i="30"/>
  <c r="Q34" i="30"/>
  <c r="Q25" i="30"/>
  <c r="K17" i="30"/>
  <c r="Q24" i="30"/>
  <c r="Q11" i="30"/>
  <c r="N23" i="30"/>
  <c r="R56" i="15"/>
  <c r="R16" i="15"/>
  <c r="R53" i="15"/>
  <c r="AC7" i="30"/>
  <c r="R25" i="15"/>
  <c r="T13" i="73"/>
  <c r="N69" i="14"/>
  <c r="O66" i="12"/>
  <c r="P66" i="12" s="1"/>
  <c r="D66" i="73" s="1"/>
  <c r="J66" i="73" s="1"/>
  <c r="H8" i="17"/>
  <c r="H14" i="17" s="1"/>
  <c r="R13" i="12"/>
  <c r="AB13" i="12" s="1"/>
  <c r="K76" i="12"/>
  <c r="K7" i="17"/>
  <c r="N61" i="73"/>
  <c r="O61" i="12"/>
  <c r="P61" i="12" s="1"/>
  <c r="X7" i="73"/>
  <c r="O7" i="12"/>
  <c r="P7" i="12" s="1"/>
  <c r="Q8" i="30"/>
  <c r="X59" i="73"/>
  <c r="O59" i="12"/>
  <c r="P59" i="12" s="1"/>
  <c r="O15" i="14"/>
  <c r="C75" i="76"/>
  <c r="AM36" i="9"/>
  <c r="R70" i="15"/>
  <c r="R73" i="15"/>
  <c r="AH12" i="30"/>
  <c r="AH23" i="30"/>
  <c r="R100" i="15"/>
  <c r="R75" i="15"/>
  <c r="AC15" i="30"/>
  <c r="AN76" i="68"/>
  <c r="F13" i="73"/>
  <c r="C69" i="76"/>
  <c r="O37" i="12"/>
  <c r="P37" i="12" s="1"/>
  <c r="R37" i="12" s="1"/>
  <c r="AB37" i="12" s="1"/>
  <c r="Y13" i="73"/>
  <c r="Q9" i="17"/>
  <c r="X67" i="73"/>
  <c r="O67" i="12"/>
  <c r="P67" i="12" s="1"/>
  <c r="X31" i="73"/>
  <c r="O31" i="12"/>
  <c r="P31" i="12" s="1"/>
  <c r="X11" i="73"/>
  <c r="O11" i="12"/>
  <c r="P11" i="12" s="1"/>
  <c r="N69" i="73"/>
  <c r="O69" i="12"/>
  <c r="P69" i="12" s="1"/>
  <c r="X39" i="73"/>
  <c r="O39" i="12"/>
  <c r="P39" i="12" s="1"/>
  <c r="O67" i="14"/>
  <c r="P79" i="26"/>
  <c r="Q79" i="26" s="1"/>
  <c r="AC31" i="30"/>
  <c r="Q76" i="73"/>
  <c r="BA7" i="9"/>
  <c r="O13" i="73"/>
  <c r="R51" i="15"/>
  <c r="X71" i="73"/>
  <c r="O71" i="12"/>
  <c r="P71" i="12" s="1"/>
  <c r="N13" i="30"/>
  <c r="I40" i="73"/>
  <c r="O40" i="12"/>
  <c r="P40" i="12" s="1"/>
  <c r="N58" i="14"/>
  <c r="AM58" i="9"/>
  <c r="L76" i="73"/>
  <c r="N9" i="73"/>
  <c r="O9" i="12"/>
  <c r="P9" i="12" s="1"/>
  <c r="I20" i="73"/>
  <c r="O20" i="12"/>
  <c r="P20" i="12" s="1"/>
  <c r="N57" i="73"/>
  <c r="O57" i="12"/>
  <c r="P57" i="12" s="1"/>
  <c r="N45" i="73"/>
  <c r="O45" i="12"/>
  <c r="P45" i="12" s="1"/>
  <c r="N29" i="73"/>
  <c r="O29" i="12"/>
  <c r="P29" i="12" s="1"/>
  <c r="N17" i="73"/>
  <c r="O17" i="12"/>
  <c r="P17" i="12" s="1"/>
  <c r="I72" i="73"/>
  <c r="O72" i="12"/>
  <c r="P72" i="12" s="1"/>
  <c r="R27" i="15"/>
  <c r="I48" i="73"/>
  <c r="O48" i="12"/>
  <c r="P48" i="12" s="1"/>
  <c r="R96" i="15"/>
  <c r="L122" i="14"/>
  <c r="L143" i="14" s="1"/>
  <c r="N49" i="73"/>
  <c r="O49" i="12"/>
  <c r="P49" i="12" s="1"/>
  <c r="N41" i="73"/>
  <c r="O41" i="12"/>
  <c r="P41" i="12" s="1"/>
  <c r="N21" i="73"/>
  <c r="O21" i="12"/>
  <c r="P21" i="12" s="1"/>
  <c r="D76" i="15"/>
  <c r="AC9" i="17"/>
  <c r="AH22" i="30"/>
  <c r="E42" i="15"/>
  <c r="AH38" i="30"/>
  <c r="AC39" i="30"/>
  <c r="AC13" i="30"/>
  <c r="K30" i="30"/>
  <c r="H14" i="30"/>
  <c r="H12" i="30"/>
  <c r="H22" i="30"/>
  <c r="AF76" i="68"/>
  <c r="AO76" i="68"/>
  <c r="R66" i="12"/>
  <c r="AB66" i="12" s="1"/>
  <c r="O64" i="12"/>
  <c r="P64" i="12" s="1"/>
  <c r="D64" i="73" s="1"/>
  <c r="AD64" i="73" s="1"/>
  <c r="BA35" i="9"/>
  <c r="I51" i="73"/>
  <c r="O51" i="12"/>
  <c r="P51" i="12" s="1"/>
  <c r="H23" i="30"/>
  <c r="H11" i="30"/>
  <c r="H18" i="30"/>
  <c r="J122" i="14"/>
  <c r="G28" i="14"/>
  <c r="O28" i="14" s="1"/>
  <c r="N28" i="14"/>
  <c r="AM74" i="9"/>
  <c r="C74" i="76"/>
  <c r="G48" i="14"/>
  <c r="O48" i="14" s="1"/>
  <c r="N48" i="14"/>
  <c r="N20" i="14"/>
  <c r="G60" i="14"/>
  <c r="O60" i="14" s="1"/>
  <c r="N60" i="14"/>
  <c r="AM49" i="9"/>
  <c r="C49" i="76"/>
  <c r="C20" i="76"/>
  <c r="AM20" i="9"/>
  <c r="O33" i="14"/>
  <c r="O96" i="14"/>
  <c r="AM44" i="9"/>
  <c r="C44" i="76"/>
  <c r="H28" i="30"/>
  <c r="H36" i="30"/>
  <c r="AH16" i="30"/>
  <c r="R89" i="15"/>
  <c r="H34" i="30"/>
  <c r="N22" i="30"/>
  <c r="N38" i="30"/>
  <c r="N7" i="30"/>
  <c r="K24" i="30"/>
  <c r="N27" i="30"/>
  <c r="J93" i="15"/>
  <c r="R97" i="15"/>
  <c r="E128" i="15"/>
  <c r="H25" i="30"/>
  <c r="K21" i="30"/>
  <c r="BA46" i="9"/>
  <c r="O26" i="12"/>
  <c r="P26" i="12" s="1"/>
  <c r="K11" i="30"/>
  <c r="H32" i="30"/>
  <c r="H15" i="30"/>
  <c r="N15" i="30"/>
  <c r="K34" i="30"/>
  <c r="K20" i="30"/>
  <c r="K25" i="30"/>
  <c r="K28" i="30"/>
  <c r="K26" i="30"/>
  <c r="K9" i="30"/>
  <c r="S55" i="73"/>
  <c r="O55" i="12"/>
  <c r="P55" i="12" s="1"/>
  <c r="I42" i="73"/>
  <c r="O42" i="12"/>
  <c r="P42" i="12" s="1"/>
  <c r="I22" i="73"/>
  <c r="O22" i="12"/>
  <c r="P22" i="12" s="1"/>
  <c r="I15" i="73"/>
  <c r="O15" i="12"/>
  <c r="P15" i="12" s="1"/>
  <c r="N21" i="30"/>
  <c r="K38" i="30"/>
  <c r="I70" i="73"/>
  <c r="O70" i="12"/>
  <c r="P70" i="12" s="1"/>
  <c r="I34" i="73"/>
  <c r="O34" i="12"/>
  <c r="P34" i="12" s="1"/>
  <c r="R88" i="15"/>
  <c r="AC27" i="30"/>
  <c r="R113" i="15"/>
  <c r="R17" i="15"/>
  <c r="H7" i="30"/>
  <c r="N25" i="30"/>
  <c r="N11" i="30"/>
  <c r="K19" i="30"/>
  <c r="K22" i="30"/>
  <c r="K31" i="30"/>
  <c r="K7" i="30"/>
  <c r="K33" i="30"/>
  <c r="K39" i="30"/>
  <c r="I19" i="73"/>
  <c r="O19" i="12"/>
  <c r="P19" i="12" s="1"/>
  <c r="N119" i="14"/>
  <c r="AH25" i="30"/>
  <c r="Q93" i="15"/>
  <c r="O62" i="12"/>
  <c r="P62" i="12" s="1"/>
  <c r="R62" i="12" s="1"/>
  <c r="AB62" i="12" s="1"/>
  <c r="V76" i="73"/>
  <c r="H39" i="30"/>
  <c r="K10" i="30"/>
  <c r="K14" i="30"/>
  <c r="K16" i="30"/>
  <c r="K15" i="30"/>
  <c r="N68" i="73"/>
  <c r="O68" i="12"/>
  <c r="P68" i="12" s="1"/>
  <c r="N60" i="73"/>
  <c r="O60" i="12"/>
  <c r="P60" i="12" s="1"/>
  <c r="N52" i="73"/>
  <c r="O52" i="12"/>
  <c r="P52" i="12" s="1"/>
  <c r="N36" i="73"/>
  <c r="O36" i="12"/>
  <c r="P36" i="12" s="1"/>
  <c r="N24" i="73"/>
  <c r="O24" i="12"/>
  <c r="P24" i="12" s="1"/>
  <c r="N12" i="73"/>
  <c r="O12" i="12"/>
  <c r="P12" i="12" s="1"/>
  <c r="I50" i="73"/>
  <c r="O50" i="12"/>
  <c r="P50" i="12" s="1"/>
  <c r="S32" i="73"/>
  <c r="S76" i="73" s="1"/>
  <c r="I76" i="12"/>
  <c r="O32" i="12"/>
  <c r="P32" i="12" s="1"/>
  <c r="N16" i="73"/>
  <c r="O16" i="12"/>
  <c r="P16" i="12" s="1"/>
  <c r="N7" i="17"/>
  <c r="N75" i="73"/>
  <c r="O75" i="12"/>
  <c r="P75" i="12" s="1"/>
  <c r="N56" i="73"/>
  <c r="O56" i="12"/>
  <c r="P56" i="12" s="1"/>
  <c r="N44" i="73"/>
  <c r="O44" i="12"/>
  <c r="P44" i="12" s="1"/>
  <c r="N28" i="73"/>
  <c r="O28" i="12"/>
  <c r="P28" i="12" s="1"/>
  <c r="I30" i="73"/>
  <c r="O30" i="12"/>
  <c r="P30" i="12" s="1"/>
  <c r="BA62" i="9"/>
  <c r="R62" i="15"/>
  <c r="AC10" i="17"/>
  <c r="AC17" i="30"/>
  <c r="BA37" i="9"/>
  <c r="R37" i="15"/>
  <c r="AA14" i="29"/>
  <c r="J128" i="15"/>
  <c r="R110" i="15"/>
  <c r="J137" i="15"/>
  <c r="R106" i="15"/>
  <c r="R114" i="15"/>
  <c r="R102" i="15"/>
  <c r="R122" i="15"/>
  <c r="AC14" i="30"/>
  <c r="S19" i="29"/>
  <c r="K11" i="17"/>
  <c r="N10" i="17"/>
  <c r="E143" i="14"/>
  <c r="O65" i="12"/>
  <c r="P65" i="12" s="1"/>
  <c r="AC65" i="73"/>
  <c r="N63" i="25"/>
  <c r="M76" i="25"/>
  <c r="M84" i="25" s="1"/>
  <c r="M63" i="12"/>
  <c r="N63" i="12" s="1"/>
  <c r="L76" i="12"/>
  <c r="D76" i="13"/>
  <c r="I63" i="13"/>
  <c r="I76" i="13" s="1"/>
  <c r="H76" i="13"/>
  <c r="E76" i="73"/>
  <c r="AF63" i="73"/>
  <c r="AF76" i="73" s="1"/>
  <c r="T36" i="30"/>
  <c r="AM22" i="9"/>
  <c r="C22" i="76"/>
  <c r="AM52" i="9"/>
  <c r="N9" i="14"/>
  <c r="G9" i="14"/>
  <c r="O9" i="14" s="1"/>
  <c r="M76" i="14"/>
  <c r="AM70" i="9"/>
  <c r="C70" i="76"/>
  <c r="T9" i="30"/>
  <c r="AT23" i="30"/>
  <c r="I38" i="73"/>
  <c r="O38" i="12"/>
  <c r="P38" i="12" s="1"/>
  <c r="AB20" i="30"/>
  <c r="AT30" i="30"/>
  <c r="AT13" i="30"/>
  <c r="N73" i="73"/>
  <c r="O73" i="12"/>
  <c r="P73" i="12" s="1"/>
  <c r="AB28" i="30"/>
  <c r="AC35" i="30"/>
  <c r="E76" i="12"/>
  <c r="D17" i="29"/>
  <c r="AT14" i="30"/>
  <c r="AT29" i="30"/>
  <c r="H17" i="29"/>
  <c r="AC25" i="30"/>
  <c r="U9" i="29"/>
  <c r="AO9" i="29"/>
  <c r="AC29" i="30"/>
  <c r="AH17" i="30"/>
  <c r="AC11" i="30"/>
  <c r="AH20" i="30"/>
  <c r="AH10" i="17"/>
  <c r="AC33" i="30"/>
  <c r="R132" i="15"/>
  <c r="V11" i="29"/>
  <c r="V17" i="29" s="1"/>
  <c r="AB10" i="17"/>
  <c r="AB17" i="30"/>
  <c r="AB22" i="30"/>
  <c r="AB11" i="30"/>
  <c r="AB27" i="30"/>
  <c r="AB13" i="17"/>
  <c r="AB8" i="30"/>
  <c r="AB24" i="30"/>
  <c r="AT7" i="30"/>
  <c r="AT31" i="30"/>
  <c r="AT16" i="30"/>
  <c r="AT32" i="30"/>
  <c r="N25" i="73"/>
  <c r="G76" i="12"/>
  <c r="O25" i="12"/>
  <c r="AB10" i="12"/>
  <c r="F8" i="73"/>
  <c r="AB26" i="30"/>
  <c r="AB8" i="17"/>
  <c r="AB15" i="30"/>
  <c r="AB31" i="30"/>
  <c r="AB12" i="30"/>
  <c r="AT9" i="30"/>
  <c r="AT15" i="30"/>
  <c r="AT19" i="30"/>
  <c r="AT35" i="30"/>
  <c r="O66" i="73"/>
  <c r="AD10" i="73"/>
  <c r="O10" i="73"/>
  <c r="F10" i="73"/>
  <c r="T10" i="73"/>
  <c r="J10" i="73"/>
  <c r="Y10" i="73"/>
  <c r="AD14" i="73"/>
  <c r="T14" i="73"/>
  <c r="F14" i="73"/>
  <c r="O14" i="73"/>
  <c r="J14" i="73"/>
  <c r="Y14" i="73"/>
  <c r="AB8" i="12"/>
  <c r="AB21" i="30"/>
  <c r="O137" i="15"/>
  <c r="AB9" i="30"/>
  <c r="AB25" i="30"/>
  <c r="AB7" i="17"/>
  <c r="AB14" i="30"/>
  <c r="AB30" i="30"/>
  <c r="AB12" i="17"/>
  <c r="AB19" i="30"/>
  <c r="AB16" i="30"/>
  <c r="AB32" i="30"/>
  <c r="AT12" i="30"/>
  <c r="AT39" i="30"/>
  <c r="AT25" i="30"/>
  <c r="G8" i="67"/>
  <c r="AB14" i="12"/>
  <c r="AB13" i="30"/>
  <c r="AB29" i="30"/>
  <c r="AB11" i="17"/>
  <c r="AB18" i="30"/>
  <c r="AB34" i="30"/>
  <c r="AB7" i="30"/>
  <c r="AB23" i="30"/>
  <c r="AB9" i="17"/>
  <c r="AT11" i="30"/>
  <c r="AT28" i="30"/>
  <c r="AT27" i="30"/>
  <c r="AT38" i="30"/>
  <c r="E31" i="67"/>
  <c r="E20" i="67"/>
  <c r="E40" i="67"/>
  <c r="E7" i="67"/>
  <c r="E9" i="67"/>
  <c r="E25" i="67"/>
  <c r="E48" i="67"/>
  <c r="E42" i="67"/>
  <c r="E71" i="67"/>
  <c r="E60" i="67"/>
  <c r="E15" i="67"/>
  <c r="E43" i="67"/>
  <c r="E75" i="67"/>
  <c r="E16" i="67"/>
  <c r="E36" i="67"/>
  <c r="E35" i="67"/>
  <c r="E22" i="67"/>
  <c r="E8" i="67"/>
  <c r="E13" i="67"/>
  <c r="E33" i="67"/>
  <c r="E53" i="67"/>
  <c r="E46" i="67"/>
  <c r="E57" i="67"/>
  <c r="E69" i="67"/>
  <c r="E55" i="67"/>
  <c r="E70" i="67"/>
  <c r="E74" i="67"/>
  <c r="E62" i="67"/>
  <c r="E38" i="67"/>
  <c r="E39" i="67"/>
  <c r="E65" i="67"/>
  <c r="E45" i="67"/>
  <c r="E56" i="67"/>
  <c r="E28" i="67"/>
  <c r="E21" i="67"/>
  <c r="E24" i="67"/>
  <c r="E49" i="67"/>
  <c r="E17" i="67"/>
  <c r="E11" i="67"/>
  <c r="E72" i="67"/>
  <c r="E10" i="67"/>
  <c r="E66" i="67"/>
  <c r="E50" i="67"/>
  <c r="E54" i="67"/>
  <c r="E32" i="67"/>
  <c r="E12" i="67"/>
  <c r="E73" i="67"/>
  <c r="E41" i="67"/>
  <c r="E68" i="67"/>
  <c r="E58" i="67"/>
  <c r="E27" i="67"/>
  <c r="E51" i="67"/>
  <c r="E59" i="67"/>
  <c r="E26" i="67"/>
  <c r="E64" i="67"/>
  <c r="E67" i="67"/>
  <c r="E44" i="67"/>
  <c r="E63" i="67"/>
  <c r="E47" i="67"/>
  <c r="E19" i="67"/>
  <c r="E30" i="67"/>
  <c r="E37" i="67"/>
  <c r="E14" i="67"/>
  <c r="E34" i="67"/>
  <c r="E61" i="67"/>
  <c r="E23" i="67"/>
  <c r="E29" i="67"/>
  <c r="E52" i="67"/>
  <c r="E18" i="67"/>
  <c r="D9" i="73"/>
  <c r="R9" i="12"/>
  <c r="Q139" i="15"/>
  <c r="AH32" i="30"/>
  <c r="AH24" i="30"/>
  <c r="AC18" i="30"/>
  <c r="AC32" i="30"/>
  <c r="V7" i="16"/>
  <c r="R78" i="15"/>
  <c r="AH8" i="30"/>
  <c r="U13" i="29"/>
  <c r="R134" i="15"/>
  <c r="R99" i="15"/>
  <c r="AA7" i="29"/>
  <c r="AA9" i="29" s="1"/>
  <c r="AC21" i="30"/>
  <c r="E84" i="15"/>
  <c r="R80" i="15"/>
  <c r="T76" i="15"/>
  <c r="D141" i="15"/>
  <c r="Q137" i="15"/>
  <c r="AC12" i="30"/>
  <c r="AC26" i="30"/>
  <c r="G76" i="15"/>
  <c r="G141" i="15" s="1"/>
  <c r="J42" i="15"/>
  <c r="J76" i="15" s="1"/>
  <c r="BC76" i="9"/>
  <c r="AC23" i="30"/>
  <c r="AC19" i="29"/>
  <c r="AH15" i="30"/>
  <c r="AH33" i="30"/>
  <c r="R92" i="15"/>
  <c r="AH37" i="30"/>
  <c r="P79" i="27"/>
  <c r="Q79" i="27" s="1"/>
  <c r="AH9" i="17"/>
  <c r="AC8" i="30"/>
  <c r="Q128" i="15"/>
  <c r="AC10" i="30"/>
  <c r="AH7" i="30"/>
  <c r="AC19" i="30"/>
  <c r="AH36" i="30"/>
  <c r="AH30" i="30"/>
  <c r="AC38" i="30"/>
  <c r="R13" i="15"/>
  <c r="BA13" i="9"/>
  <c r="AM43" i="9"/>
  <c r="C43" i="76"/>
  <c r="C10" i="76"/>
  <c r="AM10" i="9"/>
  <c r="C64" i="76"/>
  <c r="AM64" i="9"/>
  <c r="O72" i="14"/>
  <c r="I7" i="29"/>
  <c r="I9" i="29" s="1"/>
  <c r="D15" i="76"/>
  <c r="AM12" i="9"/>
  <c r="C12" i="76"/>
  <c r="C39" i="76"/>
  <c r="AM39" i="9"/>
  <c r="T19" i="30"/>
  <c r="T32" i="30"/>
  <c r="T8" i="30"/>
  <c r="AM61" i="9"/>
  <c r="C61" i="76"/>
  <c r="AM46" i="9"/>
  <c r="C46" i="76"/>
  <c r="C59" i="76"/>
  <c r="AM59" i="9"/>
  <c r="AM11" i="9"/>
  <c r="C11" i="76"/>
  <c r="C31" i="76"/>
  <c r="AM31" i="9"/>
  <c r="N31" i="14"/>
  <c r="F76" i="14"/>
  <c r="AM24" i="9"/>
  <c r="C24" i="76"/>
  <c r="T21" i="30"/>
  <c r="AM47" i="9"/>
  <c r="C47" i="76"/>
  <c r="M111" i="14"/>
  <c r="AM56" i="9"/>
  <c r="C56" i="76"/>
  <c r="AM17" i="9"/>
  <c r="C17" i="76"/>
  <c r="O136" i="14"/>
  <c r="AM54" i="9"/>
  <c r="T30" i="30"/>
  <c r="T12" i="30"/>
  <c r="O135" i="14"/>
  <c r="AZ4" i="76" s="1"/>
  <c r="N139" i="14"/>
  <c r="AM63" i="9"/>
  <c r="C63" i="76"/>
  <c r="C65" i="76"/>
  <c r="AM65" i="9"/>
  <c r="O126" i="14"/>
  <c r="BF4" i="76" s="1"/>
  <c r="AM29" i="9"/>
  <c r="C29" i="76"/>
  <c r="AM67" i="9"/>
  <c r="C67" i="76"/>
  <c r="C66" i="76"/>
  <c r="AM66" i="9"/>
  <c r="AM37" i="9"/>
  <c r="C37" i="76"/>
  <c r="AM27" i="9"/>
  <c r="C27" i="76"/>
  <c r="AM57" i="9"/>
  <c r="C57" i="76"/>
  <c r="T14" i="30"/>
  <c r="C33" i="76"/>
  <c r="AM33" i="9"/>
  <c r="AM15" i="9"/>
  <c r="C15" i="76"/>
  <c r="AM34" i="9"/>
  <c r="C34" i="76"/>
  <c r="AM16" i="9"/>
  <c r="C16" i="76"/>
  <c r="C51" i="76"/>
  <c r="AM51" i="9"/>
  <c r="K111" i="14"/>
  <c r="C53" i="76"/>
  <c r="AM53" i="9"/>
  <c r="K115" i="14"/>
  <c r="K120" i="14" s="1"/>
  <c r="T23" i="30"/>
  <c r="AM32" i="9"/>
  <c r="C32" i="76"/>
  <c r="K76" i="14"/>
  <c r="G81" i="14"/>
  <c r="N81" i="14"/>
  <c r="N111" i="14" s="1"/>
  <c r="F111" i="14"/>
  <c r="AM50" i="9"/>
  <c r="C50" i="76"/>
  <c r="T29" i="30"/>
  <c r="G120" i="14"/>
  <c r="O7" i="14"/>
  <c r="T20" i="30"/>
  <c r="C71" i="76"/>
  <c r="AM71" i="9"/>
  <c r="T35" i="30"/>
  <c r="C68" i="76"/>
  <c r="AM68" i="9"/>
  <c r="N115" i="14"/>
  <c r="N120" i="14" s="1"/>
  <c r="AM18" i="9"/>
  <c r="C18" i="76"/>
  <c r="C30" i="76"/>
  <c r="AM30" i="9"/>
  <c r="C25" i="76"/>
  <c r="AM25" i="9"/>
  <c r="C38" i="76"/>
  <c r="AM38" i="9"/>
  <c r="C76" i="67" l="1"/>
  <c r="T58" i="73"/>
  <c r="AD58" i="73"/>
  <c r="F58" i="73"/>
  <c r="R58" i="12"/>
  <c r="AB58" i="12" s="1"/>
  <c r="D23" i="73"/>
  <c r="R23" i="12"/>
  <c r="AB23" i="12" s="1"/>
  <c r="D35" i="73"/>
  <c r="O27" i="12"/>
  <c r="P27" i="12" s="1"/>
  <c r="R27" i="12" s="1"/>
  <c r="AB27" i="12" s="1"/>
  <c r="Y58" i="73"/>
  <c r="F76" i="13"/>
  <c r="G3" i="13" s="1"/>
  <c r="N76" i="25"/>
  <c r="N84" i="25" s="1"/>
  <c r="AM76" i="68"/>
  <c r="Y74" i="12"/>
  <c r="AR74" i="68"/>
  <c r="Y40" i="12"/>
  <c r="AR40" i="68"/>
  <c r="Y38" i="12"/>
  <c r="AR38" i="68"/>
  <c r="Y41" i="12"/>
  <c r="AR41" i="68"/>
  <c r="Y42" i="12"/>
  <c r="AR42" i="68"/>
  <c r="Y65" i="12"/>
  <c r="AR65" i="68"/>
  <c r="Y33" i="12"/>
  <c r="AR33" i="68"/>
  <c r="Y45" i="12"/>
  <c r="AR45" i="68"/>
  <c r="Y62" i="12"/>
  <c r="AR62" i="68"/>
  <c r="Y25" i="12"/>
  <c r="AR25" i="68"/>
  <c r="Y60" i="12"/>
  <c r="AR60" i="68"/>
  <c r="Y13" i="12"/>
  <c r="AR13" i="68"/>
  <c r="Y50" i="12"/>
  <c r="AR50" i="68"/>
  <c r="Y26" i="12"/>
  <c r="AR26" i="68"/>
  <c r="Y49" i="12"/>
  <c r="AR49" i="68"/>
  <c r="Y24" i="12"/>
  <c r="AR24" i="68"/>
  <c r="Y61" i="12"/>
  <c r="AR61" i="68"/>
  <c r="Y9" i="12"/>
  <c r="AR9" i="68"/>
  <c r="AR70" i="68"/>
  <c r="Y70" i="12"/>
  <c r="Y46" i="12"/>
  <c r="AR46" i="68"/>
  <c r="Y73" i="12"/>
  <c r="AR73" i="68"/>
  <c r="Y68" i="12"/>
  <c r="AR68" i="68"/>
  <c r="Y44" i="12"/>
  <c r="AR44" i="68"/>
  <c r="Y12" i="12"/>
  <c r="AR12" i="68"/>
  <c r="Y53" i="12"/>
  <c r="AR53" i="68"/>
  <c r="Y21" i="12"/>
  <c r="AR21" i="68"/>
  <c r="Y66" i="12"/>
  <c r="AR66" i="68"/>
  <c r="Y56" i="12"/>
  <c r="AR56" i="68"/>
  <c r="Y32" i="12"/>
  <c r="AR32" i="68"/>
  <c r="Y16" i="12"/>
  <c r="AR16" i="68"/>
  <c r="Y8" i="12"/>
  <c r="AR8" i="68"/>
  <c r="AQ76" i="68"/>
  <c r="AR76" i="68" s="1"/>
  <c r="Y17" i="12"/>
  <c r="AR17" i="68"/>
  <c r="Y57" i="12"/>
  <c r="AR57" i="68"/>
  <c r="Y52" i="12"/>
  <c r="AR52" i="68"/>
  <c r="AC54" i="73"/>
  <c r="O54" i="12"/>
  <c r="P54" i="12" s="1"/>
  <c r="AD8" i="73"/>
  <c r="H19" i="29"/>
  <c r="D19" i="29"/>
  <c r="L141" i="15"/>
  <c r="R47" i="12"/>
  <c r="AB47" i="12" s="1"/>
  <c r="D47" i="73"/>
  <c r="D18" i="73"/>
  <c r="R18" i="12"/>
  <c r="AB18" i="12" s="1"/>
  <c r="D43" i="73"/>
  <c r="R43" i="12"/>
  <c r="AB43" i="12" s="1"/>
  <c r="K14" i="17"/>
  <c r="J8" i="73"/>
  <c r="O8" i="73"/>
  <c r="J143" i="14"/>
  <c r="Y66" i="73"/>
  <c r="T8" i="73"/>
  <c r="T7" i="17"/>
  <c r="D37" i="73"/>
  <c r="C35" i="76"/>
  <c r="AM35" i="9"/>
  <c r="T15" i="30"/>
  <c r="P77" i="28"/>
  <c r="Q77" i="28" s="1"/>
  <c r="R77" i="28"/>
  <c r="J4" i="76"/>
  <c r="H8" i="16"/>
  <c r="BE4" i="76"/>
  <c r="T22" i="30"/>
  <c r="T8" i="17"/>
  <c r="T13" i="30"/>
  <c r="T18" i="30"/>
  <c r="T28" i="30"/>
  <c r="X4" i="76"/>
  <c r="K75" i="76"/>
  <c r="K71" i="76"/>
  <c r="K67" i="76"/>
  <c r="K63" i="76"/>
  <c r="K59" i="76"/>
  <c r="K55" i="76"/>
  <c r="K51" i="76"/>
  <c r="K47" i="76"/>
  <c r="K43" i="76"/>
  <c r="K39" i="76"/>
  <c r="K35" i="76"/>
  <c r="K31" i="76"/>
  <c r="K27" i="76"/>
  <c r="K23" i="76"/>
  <c r="K19" i="76"/>
  <c r="K15" i="76"/>
  <c r="K11" i="76"/>
  <c r="K7" i="76"/>
  <c r="K74" i="76"/>
  <c r="K70" i="76"/>
  <c r="K66" i="76"/>
  <c r="K62" i="76"/>
  <c r="K58" i="76"/>
  <c r="K54" i="76"/>
  <c r="K50" i="76"/>
  <c r="K46" i="76"/>
  <c r="K42" i="76"/>
  <c r="K38" i="76"/>
  <c r="K34" i="76"/>
  <c r="K30" i="76"/>
  <c r="K26" i="76"/>
  <c r="K22" i="76"/>
  <c r="K18" i="76"/>
  <c r="K14" i="76"/>
  <c r="K10" i="76"/>
  <c r="K73" i="76"/>
  <c r="K65" i="76"/>
  <c r="K57" i="76"/>
  <c r="K49" i="76"/>
  <c r="K41" i="76"/>
  <c r="K33" i="76"/>
  <c r="K25" i="76"/>
  <c r="K17" i="76"/>
  <c r="K9" i="76"/>
  <c r="K72" i="76"/>
  <c r="K64" i="76"/>
  <c r="K56" i="76"/>
  <c r="K48" i="76"/>
  <c r="K40" i="76"/>
  <c r="K32" i="76"/>
  <c r="K24" i="76"/>
  <c r="K16" i="76"/>
  <c r="K8" i="76"/>
  <c r="K69" i="76"/>
  <c r="K61" i="76"/>
  <c r="K53" i="76"/>
  <c r="K45" i="76"/>
  <c r="K37" i="76"/>
  <c r="K29" i="76"/>
  <c r="K21" i="76"/>
  <c r="K13" i="76"/>
  <c r="K68" i="76"/>
  <c r="K36" i="76"/>
  <c r="K60" i="76"/>
  <c r="K28" i="76"/>
  <c r="K52" i="76"/>
  <c r="K20" i="76"/>
  <c r="K44" i="76"/>
  <c r="K12" i="76"/>
  <c r="O72" i="76"/>
  <c r="O68" i="76"/>
  <c r="O64" i="76"/>
  <c r="O60" i="76"/>
  <c r="O56" i="76"/>
  <c r="O52" i="76"/>
  <c r="O48" i="76"/>
  <c r="O44" i="76"/>
  <c r="O40" i="76"/>
  <c r="O36" i="76"/>
  <c r="O32" i="76"/>
  <c r="O28" i="76"/>
  <c r="O24" i="76"/>
  <c r="O20" i="76"/>
  <c r="O16" i="76"/>
  <c r="O12" i="76"/>
  <c r="O8" i="76"/>
  <c r="O75" i="76"/>
  <c r="O71" i="76"/>
  <c r="O67" i="76"/>
  <c r="O63" i="76"/>
  <c r="O59" i="76"/>
  <c r="O55" i="76"/>
  <c r="O51" i="76"/>
  <c r="O47" i="76"/>
  <c r="O43" i="76"/>
  <c r="O39" i="76"/>
  <c r="O35" i="76"/>
  <c r="O31" i="76"/>
  <c r="O27" i="76"/>
  <c r="O23" i="76"/>
  <c r="O19" i="76"/>
  <c r="O15" i="76"/>
  <c r="O11" i="76"/>
  <c r="O7" i="76"/>
  <c r="O70" i="76"/>
  <c r="O62" i="76"/>
  <c r="O54" i="76"/>
  <c r="O46" i="76"/>
  <c r="O38" i="76"/>
  <c r="O30" i="76"/>
  <c r="O22" i="76"/>
  <c r="O14" i="76"/>
  <c r="O69" i="76"/>
  <c r="O61" i="76"/>
  <c r="O53" i="76"/>
  <c r="O45" i="76"/>
  <c r="O37" i="76"/>
  <c r="O29" i="76"/>
  <c r="O21" i="76"/>
  <c r="O13" i="76"/>
  <c r="O74" i="76"/>
  <c r="O66" i="76"/>
  <c r="O58" i="76"/>
  <c r="O50" i="76"/>
  <c r="O42" i="76"/>
  <c r="O34" i="76"/>
  <c r="O26" i="76"/>
  <c r="O18" i="76"/>
  <c r="O10" i="76"/>
  <c r="O73" i="76"/>
  <c r="O41" i="76"/>
  <c r="O9" i="76"/>
  <c r="O65" i="76"/>
  <c r="O33" i="76"/>
  <c r="O57" i="76"/>
  <c r="O25" i="76"/>
  <c r="O49" i="76"/>
  <c r="O17" i="76"/>
  <c r="BD75" i="76"/>
  <c r="BD74" i="76"/>
  <c r="BD71" i="76"/>
  <c r="BD68" i="76"/>
  <c r="BD61" i="76"/>
  <c r="BD58" i="76"/>
  <c r="BD55" i="76"/>
  <c r="BD52" i="76"/>
  <c r="BD45" i="76"/>
  <c r="BD72" i="76"/>
  <c r="BD65" i="76"/>
  <c r="BD62" i="76"/>
  <c r="BD59" i="76"/>
  <c r="BD56" i="76"/>
  <c r="BD49" i="76"/>
  <c r="BD46" i="76"/>
  <c r="BD69" i="76"/>
  <c r="BD66" i="76"/>
  <c r="BD63" i="76"/>
  <c r="BD60" i="76"/>
  <c r="BD53" i="76"/>
  <c r="BD50" i="76"/>
  <c r="BD47" i="76"/>
  <c r="BD44" i="76"/>
  <c r="BD43" i="76"/>
  <c r="BD42" i="76"/>
  <c r="BD41" i="76"/>
  <c r="BD40" i="76"/>
  <c r="BD39" i="76"/>
  <c r="BD38" i="76"/>
  <c r="BD37" i="76"/>
  <c r="BD36" i="76"/>
  <c r="BD35" i="76"/>
  <c r="BD70" i="76"/>
  <c r="BD51" i="76"/>
  <c r="BD67" i="76"/>
  <c r="BD48" i="76"/>
  <c r="BD64" i="76"/>
  <c r="BD57" i="76"/>
  <c r="BD32" i="76"/>
  <c r="BD28" i="76"/>
  <c r="BD24" i="76"/>
  <c r="BD20" i="76"/>
  <c r="BD16" i="76"/>
  <c r="BD7" i="76"/>
  <c r="BD73" i="76"/>
  <c r="BD54" i="76"/>
  <c r="BD33" i="76"/>
  <c r="BD29" i="76"/>
  <c r="BD25" i="76"/>
  <c r="BD21" i="76"/>
  <c r="BD17" i="76"/>
  <c r="BD13" i="76"/>
  <c r="BD12" i="76"/>
  <c r="BD11" i="76"/>
  <c r="BD10" i="76"/>
  <c r="BD9" i="76"/>
  <c r="BD8" i="76"/>
  <c r="BD31" i="76"/>
  <c r="BD27" i="76"/>
  <c r="BD23" i="76"/>
  <c r="BD19" i="76"/>
  <c r="BD15" i="76"/>
  <c r="BD34" i="76"/>
  <c r="BD30" i="76"/>
  <c r="BD26" i="76"/>
  <c r="BD22" i="76"/>
  <c r="BD18" i="76"/>
  <c r="BD14" i="76"/>
  <c r="G72" i="76"/>
  <c r="G68" i="76"/>
  <c r="G64" i="76"/>
  <c r="G60" i="76"/>
  <c r="G56" i="76"/>
  <c r="G52" i="76"/>
  <c r="G48" i="76"/>
  <c r="G44" i="76"/>
  <c r="G40" i="76"/>
  <c r="G36" i="76"/>
  <c r="G32" i="76"/>
  <c r="G28" i="76"/>
  <c r="G24" i="76"/>
  <c r="G20" i="76"/>
  <c r="G16" i="76"/>
  <c r="G12" i="76"/>
  <c r="G8" i="76"/>
  <c r="G75" i="76"/>
  <c r="G71" i="76"/>
  <c r="G67" i="76"/>
  <c r="G63" i="76"/>
  <c r="G59" i="76"/>
  <c r="G55" i="76"/>
  <c r="G51" i="76"/>
  <c r="G47" i="76"/>
  <c r="G43" i="76"/>
  <c r="G39" i="76"/>
  <c r="G35" i="76"/>
  <c r="G31" i="76"/>
  <c r="G27" i="76"/>
  <c r="G23" i="76"/>
  <c r="G19" i="76"/>
  <c r="G15" i="76"/>
  <c r="G11" i="76"/>
  <c r="G7" i="76"/>
  <c r="G73" i="76"/>
  <c r="G65" i="76"/>
  <c r="G57" i="76"/>
  <c r="G49" i="76"/>
  <c r="G41" i="76"/>
  <c r="G33" i="76"/>
  <c r="G25" i="76"/>
  <c r="G17" i="76"/>
  <c r="G9" i="76"/>
  <c r="G74" i="76"/>
  <c r="G50" i="76"/>
  <c r="G26" i="76"/>
  <c r="G10" i="76"/>
  <c r="G70" i="76"/>
  <c r="G62" i="76"/>
  <c r="G54" i="76"/>
  <c r="G46" i="76"/>
  <c r="G38" i="76"/>
  <c r="G30" i="76"/>
  <c r="G22" i="76"/>
  <c r="G14" i="76"/>
  <c r="G69" i="76"/>
  <c r="G61" i="76"/>
  <c r="G53" i="76"/>
  <c r="G45" i="76"/>
  <c r="G37" i="76"/>
  <c r="G29" i="76"/>
  <c r="G21" i="76"/>
  <c r="G13" i="76"/>
  <c r="G66" i="76"/>
  <c r="G58" i="76"/>
  <c r="G42" i="76"/>
  <c r="G34" i="76"/>
  <c r="G18" i="76"/>
  <c r="T64" i="76"/>
  <c r="T48" i="76"/>
  <c r="T32" i="76"/>
  <c r="T70" i="76"/>
  <c r="T54" i="76"/>
  <c r="T73" i="76"/>
  <c r="T39" i="76"/>
  <c r="T21" i="76"/>
  <c r="T75" i="76"/>
  <c r="T43" i="76"/>
  <c r="T25" i="76"/>
  <c r="T10" i="76"/>
  <c r="T45" i="76"/>
  <c r="T19" i="76"/>
  <c r="T71" i="76"/>
  <c r="T30" i="76"/>
  <c r="T16" i="76"/>
  <c r="T60" i="76"/>
  <c r="T44" i="76"/>
  <c r="T28" i="76"/>
  <c r="T66" i="76"/>
  <c r="T50" i="76"/>
  <c r="T65" i="76"/>
  <c r="T29" i="76"/>
  <c r="T17" i="76"/>
  <c r="T67" i="76"/>
  <c r="T41" i="76"/>
  <c r="T22" i="76"/>
  <c r="T69" i="76"/>
  <c r="T37" i="76"/>
  <c r="T15" i="76"/>
  <c r="T8" i="76"/>
  <c r="T27" i="76"/>
  <c r="T63" i="76"/>
  <c r="T72" i="76"/>
  <c r="T40" i="76"/>
  <c r="T62" i="76"/>
  <c r="T57" i="76"/>
  <c r="T13" i="76"/>
  <c r="T38" i="76"/>
  <c r="T61" i="76"/>
  <c r="T11" i="76"/>
  <c r="T12" i="76"/>
  <c r="T68" i="76"/>
  <c r="T36" i="76"/>
  <c r="T58" i="76"/>
  <c r="T49" i="76"/>
  <c r="T9" i="76"/>
  <c r="T35" i="76"/>
  <c r="T53" i="76"/>
  <c r="T7" i="76"/>
  <c r="T55" i="76"/>
  <c r="T56" i="76"/>
  <c r="T24" i="76"/>
  <c r="T46" i="76"/>
  <c r="T26" i="76"/>
  <c r="T59" i="76"/>
  <c r="T18" i="76"/>
  <c r="T34" i="76"/>
  <c r="T47" i="76"/>
  <c r="T20" i="76"/>
  <c r="T23" i="76"/>
  <c r="T33" i="76"/>
  <c r="T52" i="76"/>
  <c r="T51" i="76"/>
  <c r="T74" i="76"/>
  <c r="T14" i="76"/>
  <c r="T42" i="76"/>
  <c r="T31" i="76"/>
  <c r="AT75" i="76"/>
  <c r="AT67" i="76"/>
  <c r="AT59" i="76"/>
  <c r="AT51" i="76"/>
  <c r="AT43" i="76"/>
  <c r="AT35" i="76"/>
  <c r="AT27" i="76"/>
  <c r="AT73" i="76"/>
  <c r="AT65" i="76"/>
  <c r="AT57" i="76"/>
  <c r="AT49" i="76"/>
  <c r="AT41" i="76"/>
  <c r="AT33" i="76"/>
  <c r="AT25" i="76"/>
  <c r="AT17" i="76"/>
  <c r="AT9" i="76"/>
  <c r="AT66" i="76"/>
  <c r="AT50" i="76"/>
  <c r="AT34" i="76"/>
  <c r="AT18" i="76"/>
  <c r="AT56" i="76"/>
  <c r="AT68" i="76"/>
  <c r="AT64" i="76"/>
  <c r="AT60" i="76"/>
  <c r="AT71" i="76"/>
  <c r="AT63" i="76"/>
  <c r="AT55" i="76"/>
  <c r="AT47" i="76"/>
  <c r="AT39" i="76"/>
  <c r="AT31" i="76"/>
  <c r="AT23" i="76"/>
  <c r="AT15" i="76"/>
  <c r="AT7" i="76"/>
  <c r="AT62" i="76"/>
  <c r="AT46" i="76"/>
  <c r="AT30" i="76"/>
  <c r="AT14" i="76"/>
  <c r="AT40" i="76"/>
  <c r="AT52" i="76"/>
  <c r="AT48" i="76"/>
  <c r="AT44" i="76"/>
  <c r="AT45" i="76"/>
  <c r="AT19" i="76"/>
  <c r="AT70" i="76"/>
  <c r="AT38" i="76"/>
  <c r="AT72" i="76"/>
  <c r="AT20" i="76"/>
  <c r="AT12" i="76"/>
  <c r="AT69" i="76"/>
  <c r="AT37" i="76"/>
  <c r="AT13" i="76"/>
  <c r="AT58" i="76"/>
  <c r="AT26" i="76"/>
  <c r="AT24" i="76"/>
  <c r="AT32" i="76"/>
  <c r="AT61" i="76"/>
  <c r="AT29" i="76"/>
  <c r="AT11" i="76"/>
  <c r="AT54" i="76"/>
  <c r="AT22" i="76"/>
  <c r="AT8" i="76"/>
  <c r="AT16" i="76"/>
  <c r="AT21" i="76"/>
  <c r="AT36" i="76"/>
  <c r="AT74" i="76"/>
  <c r="AT28" i="76"/>
  <c r="AT42" i="76"/>
  <c r="AT53" i="76"/>
  <c r="AT10" i="76"/>
  <c r="AG60" i="76"/>
  <c r="AG44" i="76"/>
  <c r="AG75" i="76"/>
  <c r="AG59" i="76"/>
  <c r="AG58" i="76"/>
  <c r="AG37" i="76"/>
  <c r="AG23" i="76"/>
  <c r="AG7" i="76"/>
  <c r="AG51" i="76"/>
  <c r="AG30" i="76"/>
  <c r="AG14" i="76"/>
  <c r="AG54" i="76"/>
  <c r="AG29" i="76"/>
  <c r="AG20" i="76"/>
  <c r="AG25" i="76"/>
  <c r="AG16" i="76"/>
  <c r="AG43" i="76"/>
  <c r="AG72" i="76"/>
  <c r="AG56" i="76"/>
  <c r="AG40" i="76"/>
  <c r="AG71" i="76"/>
  <c r="AG55" i="76"/>
  <c r="AG53" i="76"/>
  <c r="AG34" i="76"/>
  <c r="AG19" i="76"/>
  <c r="AG73" i="76"/>
  <c r="AG41" i="76"/>
  <c r="AG26" i="76"/>
  <c r="AG10" i="76"/>
  <c r="AG45" i="76"/>
  <c r="AG69" i="76"/>
  <c r="AG12" i="76"/>
  <c r="AG17" i="76"/>
  <c r="AG8" i="76"/>
  <c r="AG9" i="76"/>
  <c r="AG68" i="76"/>
  <c r="AG36" i="76"/>
  <c r="AG74" i="76"/>
  <c r="AG31" i="76"/>
  <c r="AG65" i="76"/>
  <c r="AG22" i="76"/>
  <c r="AG42" i="76"/>
  <c r="AG61" i="76"/>
  <c r="AG21" i="76"/>
  <c r="AG64" i="76"/>
  <c r="AG32" i="76"/>
  <c r="AG66" i="76"/>
  <c r="AG27" i="76"/>
  <c r="AG57" i="76"/>
  <c r="AG18" i="76"/>
  <c r="AG39" i="76"/>
  <c r="AG49" i="76"/>
  <c r="AG13" i="76"/>
  <c r="AG52" i="76"/>
  <c r="AG67" i="76"/>
  <c r="AG50" i="76"/>
  <c r="AG15" i="76"/>
  <c r="AG38" i="76"/>
  <c r="AG70" i="76"/>
  <c r="AG33" i="76"/>
  <c r="AG46" i="76"/>
  <c r="AG11" i="76"/>
  <c r="AG24" i="76"/>
  <c r="AG48" i="76"/>
  <c r="AG35" i="76"/>
  <c r="AG63" i="76"/>
  <c r="AG62" i="76"/>
  <c r="AG47" i="76"/>
  <c r="AG28" i="76"/>
  <c r="AY68" i="76"/>
  <c r="AY65" i="76"/>
  <c r="AY62" i="76"/>
  <c r="AY59" i="76"/>
  <c r="AY52" i="76"/>
  <c r="AY49" i="76"/>
  <c r="AY46" i="76"/>
  <c r="AY75" i="76"/>
  <c r="AY72" i="76"/>
  <c r="AY69" i="76"/>
  <c r="AY66" i="76"/>
  <c r="AY63" i="76"/>
  <c r="AY56" i="76"/>
  <c r="AY53" i="76"/>
  <c r="AY50" i="76"/>
  <c r="AY47" i="76"/>
  <c r="AY73" i="76"/>
  <c r="AY70" i="76"/>
  <c r="AY67" i="76"/>
  <c r="AY60" i="76"/>
  <c r="AY57" i="76"/>
  <c r="AY54" i="76"/>
  <c r="AY51" i="76"/>
  <c r="AY61" i="76"/>
  <c r="AY43" i="76"/>
  <c r="AY39" i="76"/>
  <c r="AY35" i="76"/>
  <c r="AY34" i="76"/>
  <c r="AY33" i="76"/>
  <c r="AY32" i="76"/>
  <c r="AY31" i="76"/>
  <c r="AY30" i="76"/>
  <c r="AY29" i="76"/>
  <c r="AY28" i="76"/>
  <c r="AY27" i="76"/>
  <c r="AY26" i="76"/>
  <c r="AY25" i="76"/>
  <c r="AY24" i="76"/>
  <c r="AY23" i="76"/>
  <c r="AY22" i="76"/>
  <c r="AY21" i="76"/>
  <c r="AY20" i="76"/>
  <c r="AY19" i="76"/>
  <c r="AY18" i="76"/>
  <c r="AY17" i="76"/>
  <c r="AY16" i="76"/>
  <c r="AY15" i="76"/>
  <c r="AY14" i="76"/>
  <c r="AY58" i="76"/>
  <c r="AY44" i="76"/>
  <c r="AY40" i="76"/>
  <c r="AY36" i="76"/>
  <c r="AY74" i="76"/>
  <c r="AY55" i="76"/>
  <c r="AY48" i="76"/>
  <c r="AY41" i="76"/>
  <c r="AY37" i="76"/>
  <c r="AY42" i="76"/>
  <c r="AY64" i="76"/>
  <c r="AY45" i="76"/>
  <c r="AY71" i="76"/>
  <c r="AY38" i="76"/>
  <c r="AY13" i="76"/>
  <c r="AY12" i="76"/>
  <c r="AY11" i="76"/>
  <c r="AY10" i="76"/>
  <c r="AY9" i="76"/>
  <c r="AY8" i="76"/>
  <c r="AY7" i="76"/>
  <c r="AN73" i="76"/>
  <c r="AN57" i="76"/>
  <c r="AN41" i="76"/>
  <c r="AN68" i="76"/>
  <c r="AN75" i="76"/>
  <c r="AN48" i="76"/>
  <c r="AN28" i="76"/>
  <c r="AN12" i="76"/>
  <c r="AN58" i="76"/>
  <c r="AN36" i="76"/>
  <c r="AN15" i="76"/>
  <c r="AN63" i="76"/>
  <c r="AN40" i="76"/>
  <c r="AN21" i="76"/>
  <c r="AN18" i="76"/>
  <c r="AN29" i="76"/>
  <c r="AN47" i="76"/>
  <c r="AN22" i="76"/>
  <c r="AN69" i="76"/>
  <c r="AN53" i="76"/>
  <c r="AN37" i="76"/>
  <c r="AN64" i="76"/>
  <c r="AN67" i="76"/>
  <c r="AN38" i="76"/>
  <c r="AN24" i="76"/>
  <c r="AN8" i="76"/>
  <c r="AN52" i="76"/>
  <c r="AN27" i="76"/>
  <c r="AN11" i="76"/>
  <c r="AN55" i="76"/>
  <c r="AN30" i="76"/>
  <c r="AN13" i="76"/>
  <c r="AN70" i="76"/>
  <c r="AN25" i="76"/>
  <c r="AN14" i="76"/>
  <c r="AN65" i="76"/>
  <c r="AN49" i="76"/>
  <c r="AN33" i="76"/>
  <c r="AN60" i="76"/>
  <c r="AN59" i="76"/>
  <c r="AN35" i="76"/>
  <c r="AN20" i="76"/>
  <c r="AN74" i="76"/>
  <c r="AN42" i="76"/>
  <c r="AN23" i="76"/>
  <c r="AN7" i="76"/>
  <c r="AN46" i="76"/>
  <c r="AN54" i="76"/>
  <c r="AN34" i="76"/>
  <c r="AN50" i="76"/>
  <c r="AN17" i="76"/>
  <c r="AN10" i="76"/>
  <c r="AN56" i="76"/>
  <c r="AN66" i="76"/>
  <c r="AN43" i="76"/>
  <c r="AN9" i="76"/>
  <c r="AN61" i="76"/>
  <c r="AN51" i="76"/>
  <c r="AN39" i="76"/>
  <c r="AN44" i="76"/>
  <c r="AN62" i="76"/>
  <c r="AN45" i="76"/>
  <c r="AN32" i="76"/>
  <c r="AN19" i="76"/>
  <c r="AN26" i="76"/>
  <c r="AN16" i="76"/>
  <c r="AN71" i="76"/>
  <c r="AN31" i="76"/>
  <c r="AN72" i="76"/>
  <c r="AJ69" i="76"/>
  <c r="AJ53" i="76"/>
  <c r="AJ37" i="76"/>
  <c r="AJ64" i="76"/>
  <c r="AJ63" i="76"/>
  <c r="AJ39" i="76"/>
  <c r="AJ20" i="76"/>
  <c r="AJ70" i="76"/>
  <c r="AJ43" i="76"/>
  <c r="AJ19" i="76"/>
  <c r="AJ75" i="76"/>
  <c r="AJ47" i="76"/>
  <c r="AJ30" i="76"/>
  <c r="AJ17" i="76"/>
  <c r="AJ22" i="76"/>
  <c r="AJ13" i="76"/>
  <c r="AJ66" i="76"/>
  <c r="AJ65" i="76"/>
  <c r="AJ49" i="76"/>
  <c r="AJ33" i="76"/>
  <c r="AJ60" i="76"/>
  <c r="AJ55" i="76"/>
  <c r="AJ36" i="76"/>
  <c r="AJ16" i="76"/>
  <c r="AJ62" i="76"/>
  <c r="AJ40" i="76"/>
  <c r="AJ15" i="76"/>
  <c r="AJ67" i="76"/>
  <c r="AJ44" i="76"/>
  <c r="AJ58" i="76"/>
  <c r="AJ9" i="76"/>
  <c r="AJ74" i="76"/>
  <c r="AJ38" i="76"/>
  <c r="AJ14" i="76"/>
  <c r="AJ61" i="76"/>
  <c r="AJ45" i="76"/>
  <c r="AJ72" i="76"/>
  <c r="AJ56" i="76"/>
  <c r="AJ52" i="76"/>
  <c r="AJ28" i="76"/>
  <c r="AJ12" i="76"/>
  <c r="AJ54" i="76"/>
  <c r="AJ27" i="76"/>
  <c r="AJ11" i="76"/>
  <c r="AJ59" i="76"/>
  <c r="AJ34" i="76"/>
  <c r="AJ35" i="76"/>
  <c r="AJ51" i="76"/>
  <c r="AJ48" i="76"/>
  <c r="AJ29" i="76"/>
  <c r="AJ26" i="76"/>
  <c r="AJ57" i="76"/>
  <c r="AJ42" i="76"/>
  <c r="AJ23" i="76"/>
  <c r="AJ25" i="76"/>
  <c r="AJ10" i="76"/>
  <c r="AJ41" i="76"/>
  <c r="AJ24" i="76"/>
  <c r="AJ7" i="76"/>
  <c r="AJ32" i="76"/>
  <c r="AJ68" i="76"/>
  <c r="AJ8" i="76"/>
  <c r="AJ50" i="76"/>
  <c r="AJ21" i="76"/>
  <c r="AJ46" i="76"/>
  <c r="AJ31" i="76"/>
  <c r="AJ73" i="76"/>
  <c r="AJ18" i="76"/>
  <c r="AJ71" i="76"/>
  <c r="AF73" i="76"/>
  <c r="AF57" i="76"/>
  <c r="AF41" i="76"/>
  <c r="AF68" i="76"/>
  <c r="AF75" i="76"/>
  <c r="AF43" i="76"/>
  <c r="AF20" i="76"/>
  <c r="AF74" i="76"/>
  <c r="AF47" i="76"/>
  <c r="AF27" i="76"/>
  <c r="AF11" i="76"/>
  <c r="AF55" i="76"/>
  <c r="AF35" i="76"/>
  <c r="AF52" i="76"/>
  <c r="AF54" i="76"/>
  <c r="AF39" i="76"/>
  <c r="AF69" i="76"/>
  <c r="AF53" i="76"/>
  <c r="AF37" i="76"/>
  <c r="AF64" i="76"/>
  <c r="AF67" i="76"/>
  <c r="AF40" i="76"/>
  <c r="AF16" i="76"/>
  <c r="AF66" i="76"/>
  <c r="AF44" i="76"/>
  <c r="AF23" i="76"/>
  <c r="AF7" i="76"/>
  <c r="AF51" i="76"/>
  <c r="AF32" i="76"/>
  <c r="AF29" i="76"/>
  <c r="AF42" i="76"/>
  <c r="AF25" i="76"/>
  <c r="AF49" i="76"/>
  <c r="AF60" i="76"/>
  <c r="AF28" i="76"/>
  <c r="AF58" i="76"/>
  <c r="AF19" i="76"/>
  <c r="AF48" i="76"/>
  <c r="AF21" i="76"/>
  <c r="AF17" i="76"/>
  <c r="AF70" i="76"/>
  <c r="AF45" i="76"/>
  <c r="AF56" i="76"/>
  <c r="AF24" i="76"/>
  <c r="AF50" i="76"/>
  <c r="AF15" i="76"/>
  <c r="AF38" i="76"/>
  <c r="AF13" i="76"/>
  <c r="AF9" i="76"/>
  <c r="AF36" i="76"/>
  <c r="AF65" i="76"/>
  <c r="AF33" i="76"/>
  <c r="AF59" i="76"/>
  <c r="AF12" i="76"/>
  <c r="AF34" i="76"/>
  <c r="AF71" i="76"/>
  <c r="AF30" i="76"/>
  <c r="AF26" i="76"/>
  <c r="AF22" i="76"/>
  <c r="AF14" i="76"/>
  <c r="AF46" i="76"/>
  <c r="AF62" i="76"/>
  <c r="AF8" i="76"/>
  <c r="AF18" i="76"/>
  <c r="AF61" i="76"/>
  <c r="AF31" i="76"/>
  <c r="AF10" i="76"/>
  <c r="AF72" i="76"/>
  <c r="AF63" i="76"/>
  <c r="L72" i="76"/>
  <c r="L68" i="76"/>
  <c r="L65" i="76"/>
  <c r="L58" i="76"/>
  <c r="L43" i="76"/>
  <c r="L27" i="76"/>
  <c r="L52" i="76"/>
  <c r="L36" i="76"/>
  <c r="L20" i="76"/>
  <c r="L45" i="76"/>
  <c r="L29" i="76"/>
  <c r="L50" i="76"/>
  <c r="L16" i="76"/>
  <c r="L12" i="76"/>
  <c r="L54" i="76"/>
  <c r="L22" i="76"/>
  <c r="L9" i="76"/>
  <c r="L75" i="76"/>
  <c r="L71" i="76"/>
  <c r="L60" i="76"/>
  <c r="L63" i="76"/>
  <c r="L55" i="76"/>
  <c r="L39" i="76"/>
  <c r="L23" i="76"/>
  <c r="L48" i="76"/>
  <c r="L32" i="76"/>
  <c r="L64" i="76"/>
  <c r="L41" i="76"/>
  <c r="L25" i="76"/>
  <c r="L42" i="76"/>
  <c r="L15" i="76"/>
  <c r="L8" i="76"/>
  <c r="L46" i="76"/>
  <c r="L17" i="76"/>
  <c r="L7" i="76"/>
  <c r="L74" i="76"/>
  <c r="L70" i="76"/>
  <c r="L56" i="76"/>
  <c r="L61" i="76"/>
  <c r="L51" i="76"/>
  <c r="L35" i="76"/>
  <c r="L18" i="76"/>
  <c r="L44" i="76"/>
  <c r="L28" i="76"/>
  <c r="L53" i="76"/>
  <c r="L37" i="76"/>
  <c r="L21" i="76"/>
  <c r="L34" i="76"/>
  <c r="L14" i="76"/>
  <c r="L66" i="76"/>
  <c r="L38" i="76"/>
  <c r="L11" i="76"/>
  <c r="L67" i="76"/>
  <c r="L62" i="76"/>
  <c r="L33" i="76"/>
  <c r="L57" i="76"/>
  <c r="L59" i="76"/>
  <c r="L40" i="76"/>
  <c r="L19" i="76"/>
  <c r="L30" i="76"/>
  <c r="L73" i="76"/>
  <c r="L47" i="76"/>
  <c r="L24" i="76"/>
  <c r="L26" i="76"/>
  <c r="L10" i="76"/>
  <c r="L31" i="76"/>
  <c r="L49" i="76"/>
  <c r="L13" i="76"/>
  <c r="L69" i="76"/>
  <c r="AA74" i="76"/>
  <c r="AA66" i="76"/>
  <c r="AA58" i="76"/>
  <c r="AA63" i="76"/>
  <c r="AA65" i="76"/>
  <c r="AA49" i="76"/>
  <c r="AA33" i="76"/>
  <c r="AA17" i="76"/>
  <c r="AA52" i="76"/>
  <c r="AA36" i="76"/>
  <c r="AA20" i="76"/>
  <c r="AA55" i="76"/>
  <c r="AA39" i="76"/>
  <c r="AA23" i="76"/>
  <c r="AA72" i="76"/>
  <c r="AA64" i="76"/>
  <c r="AA75" i="76"/>
  <c r="AA59" i="76"/>
  <c r="AA61" i="76"/>
  <c r="AA45" i="76"/>
  <c r="AA29" i="76"/>
  <c r="AA13" i="76"/>
  <c r="AA48" i="76"/>
  <c r="AA32" i="76"/>
  <c r="AA16" i="76"/>
  <c r="AA51" i="76"/>
  <c r="AA35" i="76"/>
  <c r="AA19" i="76"/>
  <c r="AA54" i="76"/>
  <c r="AA34" i="76"/>
  <c r="AA14" i="76"/>
  <c r="AA62" i="76"/>
  <c r="AA73" i="76"/>
  <c r="AA41" i="76"/>
  <c r="AA9" i="76"/>
  <c r="AA28" i="76"/>
  <c r="AA47" i="76"/>
  <c r="AA15" i="76"/>
  <c r="AA22" i="76"/>
  <c r="AA30" i="76"/>
  <c r="AA60" i="76"/>
  <c r="AA69" i="76"/>
  <c r="AA37" i="76"/>
  <c r="AA56" i="76"/>
  <c r="AA24" i="76"/>
  <c r="AA43" i="76"/>
  <c r="AA11" i="76"/>
  <c r="AA50" i="76"/>
  <c r="AA42" i="76"/>
  <c r="AA68" i="76"/>
  <c r="AA53" i="76"/>
  <c r="AA40" i="76"/>
  <c r="AA27" i="76"/>
  <c r="AA46" i="76"/>
  <c r="AA71" i="76"/>
  <c r="AA25" i="76"/>
  <c r="AA12" i="76"/>
  <c r="AA7" i="76"/>
  <c r="AA26" i="76"/>
  <c r="AA67" i="76"/>
  <c r="AA21" i="76"/>
  <c r="AA8" i="76"/>
  <c r="AA38" i="76"/>
  <c r="AA10" i="76"/>
  <c r="AA70" i="76"/>
  <c r="AA57" i="76"/>
  <c r="AA44" i="76"/>
  <c r="AA31" i="76"/>
  <c r="AA18" i="76"/>
  <c r="E73" i="76"/>
  <c r="E57" i="76"/>
  <c r="E41" i="76"/>
  <c r="E25" i="76"/>
  <c r="E9" i="76"/>
  <c r="E14" i="76"/>
  <c r="E60" i="76"/>
  <c r="E44" i="76"/>
  <c r="E28" i="76"/>
  <c r="E12" i="76"/>
  <c r="E75" i="76"/>
  <c r="E59" i="76"/>
  <c r="E43" i="76"/>
  <c r="E27" i="76"/>
  <c r="E11" i="76"/>
  <c r="E54" i="76"/>
  <c r="E74" i="76"/>
  <c r="E18" i="76"/>
  <c r="E29" i="76"/>
  <c r="E13" i="76"/>
  <c r="E64" i="76"/>
  <c r="E32" i="76"/>
  <c r="E63" i="76"/>
  <c r="E15" i="76"/>
  <c r="E38" i="76"/>
  <c r="E69" i="76"/>
  <c r="E53" i="76"/>
  <c r="E37" i="76"/>
  <c r="E21" i="76"/>
  <c r="E58" i="76"/>
  <c r="E72" i="76"/>
  <c r="E56" i="76"/>
  <c r="E40" i="76"/>
  <c r="E24" i="76"/>
  <c r="E8" i="76"/>
  <c r="E71" i="76"/>
  <c r="E55" i="76"/>
  <c r="E39" i="76"/>
  <c r="E23" i="76"/>
  <c r="E7" i="76"/>
  <c r="E34" i="76"/>
  <c r="E66" i="76"/>
  <c r="E45" i="76"/>
  <c r="E16" i="76"/>
  <c r="E31" i="76"/>
  <c r="E10" i="76"/>
  <c r="E65" i="76"/>
  <c r="E49" i="76"/>
  <c r="E33" i="76"/>
  <c r="E17" i="76"/>
  <c r="E42" i="76"/>
  <c r="E68" i="76"/>
  <c r="E52" i="76"/>
  <c r="E36" i="76"/>
  <c r="E20" i="76"/>
  <c r="E46" i="76"/>
  <c r="E67" i="76"/>
  <c r="E51" i="76"/>
  <c r="E35" i="76"/>
  <c r="E19" i="76"/>
  <c r="E70" i="76"/>
  <c r="E22" i="76"/>
  <c r="E50" i="76"/>
  <c r="E61" i="76"/>
  <c r="E26" i="76"/>
  <c r="E48" i="76"/>
  <c r="E30" i="76"/>
  <c r="E47" i="76"/>
  <c r="E62" i="76"/>
  <c r="U69" i="76"/>
  <c r="U53" i="76"/>
  <c r="U37" i="76"/>
  <c r="U75" i="76"/>
  <c r="U59" i="76"/>
  <c r="U43" i="76"/>
  <c r="U50" i="76"/>
  <c r="U32" i="76"/>
  <c r="U10" i="76"/>
  <c r="U44" i="76"/>
  <c r="U19" i="76"/>
  <c r="U70" i="76"/>
  <c r="U40" i="76"/>
  <c r="U20" i="76"/>
  <c r="U48" i="76"/>
  <c r="U36" i="76"/>
  <c r="U23" i="76"/>
  <c r="U65" i="76"/>
  <c r="U49" i="76"/>
  <c r="U33" i="76"/>
  <c r="U71" i="76"/>
  <c r="U55" i="76"/>
  <c r="U74" i="76"/>
  <c r="U42" i="76"/>
  <c r="U22" i="76"/>
  <c r="U68" i="76"/>
  <c r="U34" i="76"/>
  <c r="U15" i="76"/>
  <c r="U62" i="76"/>
  <c r="U30" i="76"/>
  <c r="U16" i="76"/>
  <c r="U17" i="76"/>
  <c r="U21" i="76"/>
  <c r="U9" i="76"/>
  <c r="U61" i="76"/>
  <c r="U45" i="76"/>
  <c r="U29" i="76"/>
  <c r="U67" i="76"/>
  <c r="U51" i="76"/>
  <c r="U66" i="76"/>
  <c r="U38" i="76"/>
  <c r="U18" i="76"/>
  <c r="U60" i="76"/>
  <c r="U31" i="76"/>
  <c r="U11" i="76"/>
  <c r="U54" i="76"/>
  <c r="U27" i="76"/>
  <c r="U12" i="76"/>
  <c r="U56" i="76"/>
  <c r="U64" i="76"/>
  <c r="U13" i="76"/>
  <c r="U73" i="76"/>
  <c r="U63" i="76"/>
  <c r="U14" i="76"/>
  <c r="U46" i="76"/>
  <c r="U26" i="76"/>
  <c r="U57" i="76"/>
  <c r="U47" i="76"/>
  <c r="U52" i="76"/>
  <c r="U24" i="76"/>
  <c r="U72" i="76"/>
  <c r="U41" i="76"/>
  <c r="U58" i="76"/>
  <c r="U28" i="76"/>
  <c r="U8" i="76"/>
  <c r="U25" i="76"/>
  <c r="U35" i="76"/>
  <c r="U7" i="76"/>
  <c r="U39" i="76"/>
  <c r="AZ75" i="76"/>
  <c r="AZ72" i="76"/>
  <c r="AZ69" i="76"/>
  <c r="AZ66" i="76"/>
  <c r="AZ63" i="76"/>
  <c r="AZ56" i="76"/>
  <c r="AZ53" i="76"/>
  <c r="AZ50" i="76"/>
  <c r="AZ47" i="76"/>
  <c r="AZ73" i="76"/>
  <c r="AZ70" i="76"/>
  <c r="AZ67" i="76"/>
  <c r="AZ60" i="76"/>
  <c r="AZ57" i="76"/>
  <c r="AZ54" i="76"/>
  <c r="AZ51" i="76"/>
  <c r="AZ74" i="76"/>
  <c r="AZ71" i="76"/>
  <c r="AZ64" i="76"/>
  <c r="AZ61" i="76"/>
  <c r="AZ58" i="76"/>
  <c r="AZ55" i="76"/>
  <c r="AZ48" i="76"/>
  <c r="AZ45" i="76"/>
  <c r="AZ44" i="76"/>
  <c r="AZ43" i="76"/>
  <c r="AZ42" i="76"/>
  <c r="AZ41" i="76"/>
  <c r="AZ40" i="76"/>
  <c r="AZ39" i="76"/>
  <c r="AZ38" i="76"/>
  <c r="AZ37" i="76"/>
  <c r="AZ36" i="76"/>
  <c r="AZ35" i="76"/>
  <c r="AZ68" i="76"/>
  <c r="AZ49" i="76"/>
  <c r="AZ65" i="76"/>
  <c r="AZ46" i="76"/>
  <c r="AZ62" i="76"/>
  <c r="AZ31" i="76"/>
  <c r="AZ27" i="76"/>
  <c r="AZ23" i="76"/>
  <c r="AZ19" i="76"/>
  <c r="AZ15" i="76"/>
  <c r="AZ34" i="76"/>
  <c r="AZ32" i="76"/>
  <c r="AZ28" i="76"/>
  <c r="AZ24" i="76"/>
  <c r="AZ20" i="76"/>
  <c r="AZ16" i="76"/>
  <c r="AZ13" i="76"/>
  <c r="AZ12" i="76"/>
  <c r="AZ11" i="76"/>
  <c r="AZ10" i="76"/>
  <c r="AZ9" i="76"/>
  <c r="AZ8" i="76"/>
  <c r="AZ7" i="76"/>
  <c r="AZ59" i="76"/>
  <c r="AZ52" i="76"/>
  <c r="AZ33" i="76"/>
  <c r="AZ29" i="76"/>
  <c r="AZ25" i="76"/>
  <c r="AZ21" i="76"/>
  <c r="AZ17" i="76"/>
  <c r="AZ30" i="76"/>
  <c r="AZ26" i="76"/>
  <c r="AZ22" i="76"/>
  <c r="AZ18" i="76"/>
  <c r="AZ14" i="76"/>
  <c r="BA4" i="76"/>
  <c r="AI4" i="76"/>
  <c r="T31" i="30"/>
  <c r="T39" i="30"/>
  <c r="T37" i="30"/>
  <c r="I77" i="25"/>
  <c r="J77" i="25" s="1"/>
  <c r="BF72" i="76"/>
  <c r="BF65" i="76"/>
  <c r="BF49" i="76"/>
  <c r="BF43" i="76"/>
  <c r="BF42" i="76"/>
  <c r="BF41" i="76"/>
  <c r="BF40" i="76"/>
  <c r="BF39" i="76"/>
  <c r="BF38" i="76"/>
  <c r="BF37" i="76"/>
  <c r="BF36" i="76"/>
  <c r="BF35" i="76"/>
  <c r="BF69" i="76"/>
  <c r="BF53" i="76"/>
  <c r="BF75" i="76"/>
  <c r="BF73" i="76"/>
  <c r="BF57" i="76"/>
  <c r="BF34" i="76"/>
  <c r="BF33" i="76"/>
  <c r="BF32" i="76"/>
  <c r="BF31" i="76"/>
  <c r="BF30" i="76"/>
  <c r="BF29" i="76"/>
  <c r="BF28" i="76"/>
  <c r="BF27" i="76"/>
  <c r="BF26" i="76"/>
  <c r="BF25" i="76"/>
  <c r="BF24" i="76"/>
  <c r="BF23" i="76"/>
  <c r="BF22" i="76"/>
  <c r="BF21" i="76"/>
  <c r="BF20" i="76"/>
  <c r="BF19" i="76"/>
  <c r="BF18" i="76"/>
  <c r="BF17" i="76"/>
  <c r="BF16" i="76"/>
  <c r="BF15" i="76"/>
  <c r="BF14" i="76"/>
  <c r="BF45" i="76"/>
  <c r="BF13" i="76"/>
  <c r="BF12" i="76"/>
  <c r="BF11" i="76"/>
  <c r="BF10" i="76"/>
  <c r="BF9" i="76"/>
  <c r="BF8" i="76"/>
  <c r="BF7" i="76"/>
  <c r="BF61" i="76"/>
  <c r="BF50" i="76"/>
  <c r="BF66" i="76"/>
  <c r="BF51" i="76"/>
  <c r="BF67" i="76"/>
  <c r="BF56" i="76"/>
  <c r="BF54" i="76"/>
  <c r="BF55" i="76"/>
  <c r="BF71" i="76"/>
  <c r="BF60" i="76"/>
  <c r="BF46" i="76"/>
  <c r="BF62" i="76"/>
  <c r="BF47" i="76"/>
  <c r="BF63" i="76"/>
  <c r="BF52" i="76"/>
  <c r="BF68" i="76"/>
  <c r="BF70" i="76"/>
  <c r="BF44" i="76"/>
  <c r="BF58" i="76"/>
  <c r="BF74" i="76"/>
  <c r="BF59" i="76"/>
  <c r="BF48" i="76"/>
  <c r="BF64" i="76"/>
  <c r="T25" i="30"/>
  <c r="W4" i="76"/>
  <c r="BB4" i="76"/>
  <c r="BG4" i="76"/>
  <c r="BC4" i="76"/>
  <c r="P73" i="76"/>
  <c r="P69" i="76"/>
  <c r="P64" i="76"/>
  <c r="P59" i="76"/>
  <c r="P48" i="76"/>
  <c r="P32" i="76"/>
  <c r="P19" i="76"/>
  <c r="P49" i="76"/>
  <c r="P33" i="76"/>
  <c r="P61" i="76"/>
  <c r="P42" i="76"/>
  <c r="P26" i="76"/>
  <c r="P39" i="76"/>
  <c r="P12" i="76"/>
  <c r="P7" i="76"/>
  <c r="P43" i="76"/>
  <c r="P15" i="76"/>
  <c r="P72" i="76"/>
  <c r="P68" i="76"/>
  <c r="P62" i="76"/>
  <c r="P65" i="76"/>
  <c r="P44" i="76"/>
  <c r="P28" i="76"/>
  <c r="P17" i="76"/>
  <c r="P45" i="76"/>
  <c r="P29" i="76"/>
  <c r="P54" i="76"/>
  <c r="P38" i="76"/>
  <c r="P22" i="76"/>
  <c r="P31" i="76"/>
  <c r="P11" i="76"/>
  <c r="P63" i="76"/>
  <c r="P35" i="76"/>
  <c r="P13" i="76"/>
  <c r="P75" i="76"/>
  <c r="P71" i="76"/>
  <c r="P57" i="76"/>
  <c r="P60" i="76"/>
  <c r="P58" i="76"/>
  <c r="P40" i="76"/>
  <c r="P24" i="76"/>
  <c r="P67" i="76"/>
  <c r="P41" i="76"/>
  <c r="P25" i="76"/>
  <c r="P50" i="76"/>
  <c r="P34" i="76"/>
  <c r="P18" i="76"/>
  <c r="P23" i="76"/>
  <c r="P10" i="76"/>
  <c r="P55" i="76"/>
  <c r="P27" i="76"/>
  <c r="P8" i="76"/>
  <c r="P70" i="76"/>
  <c r="P36" i="76"/>
  <c r="P21" i="76"/>
  <c r="P14" i="76"/>
  <c r="P66" i="76"/>
  <c r="P20" i="76"/>
  <c r="P46" i="76"/>
  <c r="P9" i="76"/>
  <c r="P56" i="76"/>
  <c r="P53" i="76"/>
  <c r="P30" i="76"/>
  <c r="P51" i="76"/>
  <c r="P52" i="76"/>
  <c r="P37" i="76"/>
  <c r="P47" i="76"/>
  <c r="P74" i="76"/>
  <c r="P16" i="76"/>
  <c r="BH75" i="76"/>
  <c r="BH73" i="76"/>
  <c r="BH66" i="76"/>
  <c r="BH63" i="76"/>
  <c r="BH60" i="76"/>
  <c r="BH57" i="76"/>
  <c r="BH50" i="76"/>
  <c r="BH47" i="76"/>
  <c r="BH44" i="76"/>
  <c r="BH70" i="76"/>
  <c r="BH67" i="76"/>
  <c r="BH64" i="76"/>
  <c r="BH61" i="76"/>
  <c r="BH54" i="76"/>
  <c r="BH51" i="76"/>
  <c r="BH48" i="76"/>
  <c r="BH45" i="76"/>
  <c r="BH74" i="76"/>
  <c r="BH71" i="76"/>
  <c r="BH68" i="76"/>
  <c r="BH65" i="76"/>
  <c r="BH58" i="76"/>
  <c r="BH55" i="76"/>
  <c r="BH52" i="76"/>
  <c r="BH49" i="76"/>
  <c r="BH43" i="76"/>
  <c r="BH42" i="76"/>
  <c r="BH41" i="76"/>
  <c r="BH40" i="76"/>
  <c r="BH39" i="76"/>
  <c r="BH38" i="76"/>
  <c r="BH37" i="76"/>
  <c r="BH36" i="76"/>
  <c r="BH35" i="76"/>
  <c r="BH72" i="76"/>
  <c r="BH53" i="76"/>
  <c r="BH46" i="76"/>
  <c r="BH69" i="76"/>
  <c r="BH62" i="76"/>
  <c r="BH59" i="76"/>
  <c r="BH56" i="76"/>
  <c r="BH33" i="76"/>
  <c r="BH29" i="76"/>
  <c r="BH25" i="76"/>
  <c r="BH21" i="76"/>
  <c r="BH17" i="76"/>
  <c r="BH28" i="76"/>
  <c r="BH24" i="76"/>
  <c r="BH20" i="76"/>
  <c r="BH16" i="76"/>
  <c r="BH34" i="76"/>
  <c r="BH30" i="76"/>
  <c r="BH26" i="76"/>
  <c r="BH22" i="76"/>
  <c r="BH18" i="76"/>
  <c r="BH14" i="76"/>
  <c r="BH13" i="76"/>
  <c r="BH12" i="76"/>
  <c r="BH11" i="76"/>
  <c r="BH10" i="76"/>
  <c r="BH9" i="76"/>
  <c r="BH8" i="76"/>
  <c r="BH7" i="76"/>
  <c r="BH31" i="76"/>
  <c r="BH27" i="76"/>
  <c r="BH23" i="76"/>
  <c r="BH19" i="76"/>
  <c r="BH15" i="76"/>
  <c r="BH32" i="76"/>
  <c r="AX74" i="76"/>
  <c r="AX71" i="76"/>
  <c r="AX55" i="76"/>
  <c r="AX44" i="76"/>
  <c r="AX43" i="76"/>
  <c r="AX42" i="76"/>
  <c r="AX41" i="76"/>
  <c r="AX40" i="76"/>
  <c r="AX39" i="76"/>
  <c r="AX38" i="76"/>
  <c r="AX37" i="76"/>
  <c r="AX36" i="76"/>
  <c r="AX59" i="76"/>
  <c r="AX63" i="76"/>
  <c r="AX47" i="76"/>
  <c r="AX51" i="76"/>
  <c r="AX35" i="76"/>
  <c r="AX34" i="76"/>
  <c r="AX33" i="76"/>
  <c r="AX32" i="76"/>
  <c r="AX31" i="76"/>
  <c r="AX30" i="76"/>
  <c r="AX29" i="76"/>
  <c r="AX28" i="76"/>
  <c r="AX27" i="76"/>
  <c r="AX26" i="76"/>
  <c r="AX25" i="76"/>
  <c r="AX24" i="76"/>
  <c r="AX23" i="76"/>
  <c r="AX22" i="76"/>
  <c r="AX21" i="76"/>
  <c r="AX20" i="76"/>
  <c r="AX19" i="76"/>
  <c r="AX18" i="76"/>
  <c r="AX17" i="76"/>
  <c r="AX16" i="76"/>
  <c r="AX15" i="76"/>
  <c r="AX67" i="76"/>
  <c r="AX14" i="76"/>
  <c r="AX12" i="76"/>
  <c r="AX11" i="76"/>
  <c r="AX10" i="76"/>
  <c r="AX9" i="76"/>
  <c r="AX8" i="76"/>
  <c r="AX13" i="76"/>
  <c r="AX7" i="76"/>
  <c r="AX56" i="76"/>
  <c r="AX72" i="76"/>
  <c r="AX57" i="76"/>
  <c r="AX73" i="76"/>
  <c r="AX46" i="76"/>
  <c r="AX62" i="76"/>
  <c r="AX70" i="76"/>
  <c r="AX45" i="76"/>
  <c r="AX50" i="76"/>
  <c r="AX52" i="76"/>
  <c r="AX68" i="76"/>
  <c r="AX53" i="76"/>
  <c r="AX69" i="76"/>
  <c r="AX58" i="76"/>
  <c r="AX60" i="76"/>
  <c r="AX61" i="76"/>
  <c r="AX66" i="76"/>
  <c r="AX48" i="76"/>
  <c r="AX64" i="76"/>
  <c r="AX49" i="76"/>
  <c r="AX65" i="76"/>
  <c r="AX75" i="76"/>
  <c r="AX54" i="76"/>
  <c r="N68" i="76"/>
  <c r="N61" i="76"/>
  <c r="N57" i="76"/>
  <c r="N52" i="76"/>
  <c r="N48" i="76"/>
  <c r="N44" i="76"/>
  <c r="N40" i="76"/>
  <c r="N36" i="76"/>
  <c r="N32" i="76"/>
  <c r="N28" i="76"/>
  <c r="N24" i="76"/>
  <c r="N20" i="76"/>
  <c r="N70" i="76"/>
  <c r="N60" i="76"/>
  <c r="N15" i="76"/>
  <c r="N11" i="76"/>
  <c r="N7" i="76"/>
  <c r="N63" i="76"/>
  <c r="N53" i="76"/>
  <c r="N45" i="76"/>
  <c r="N33" i="76"/>
  <c r="N29" i="76"/>
  <c r="N21" i="76"/>
  <c r="N62" i="76"/>
  <c r="N12" i="76"/>
  <c r="N75" i="76"/>
  <c r="N67" i="76"/>
  <c r="N58" i="76"/>
  <c r="N55" i="76"/>
  <c r="N51" i="76"/>
  <c r="N47" i="76"/>
  <c r="N43" i="76"/>
  <c r="N39" i="76"/>
  <c r="N35" i="76"/>
  <c r="N31" i="76"/>
  <c r="N27" i="76"/>
  <c r="N23" i="76"/>
  <c r="N19" i="76"/>
  <c r="N66" i="76"/>
  <c r="N56" i="76"/>
  <c r="N14" i="76"/>
  <c r="N10" i="76"/>
  <c r="N71" i="76"/>
  <c r="N41" i="76"/>
  <c r="N74" i="76"/>
  <c r="N8" i="76"/>
  <c r="N65" i="76"/>
  <c r="N73" i="76"/>
  <c r="N54" i="76"/>
  <c r="N50" i="76"/>
  <c r="N46" i="76"/>
  <c r="N42" i="76"/>
  <c r="N38" i="76"/>
  <c r="N34" i="76"/>
  <c r="N30" i="76"/>
  <c r="N26" i="76"/>
  <c r="N22" i="76"/>
  <c r="N18" i="76"/>
  <c r="N64" i="76"/>
  <c r="N17" i="76"/>
  <c r="N13" i="76"/>
  <c r="N9" i="76"/>
  <c r="N59" i="76"/>
  <c r="N72" i="76"/>
  <c r="N69" i="76"/>
  <c r="N49" i="76"/>
  <c r="N37" i="76"/>
  <c r="N25" i="76"/>
  <c r="N16" i="76"/>
  <c r="AH75" i="76"/>
  <c r="AH59" i="76"/>
  <c r="AH43" i="76"/>
  <c r="AH74" i="76"/>
  <c r="AH58" i="76"/>
  <c r="AH57" i="76"/>
  <c r="AH71" i="76"/>
  <c r="AH51" i="76"/>
  <c r="AH31" i="76"/>
  <c r="AH54" i="76"/>
  <c r="AH41" i="76"/>
  <c r="AH22" i="76"/>
  <c r="AH72" i="76"/>
  <c r="AH45" i="76"/>
  <c r="AH25" i="76"/>
  <c r="AH9" i="76"/>
  <c r="AH49" i="76"/>
  <c r="AH40" i="76"/>
  <c r="AH68" i="76"/>
  <c r="AH60" i="76"/>
  <c r="AH15" i="76"/>
  <c r="AH20" i="76"/>
  <c r="AH67" i="76"/>
  <c r="AH47" i="76"/>
  <c r="AH70" i="76"/>
  <c r="AH73" i="76"/>
  <c r="AH38" i="76"/>
  <c r="AH18" i="76"/>
  <c r="AH64" i="76"/>
  <c r="AH42" i="76"/>
  <c r="AH21" i="76"/>
  <c r="AH69" i="76"/>
  <c r="AH46" i="76"/>
  <c r="AH27" i="76"/>
  <c r="AH37" i="76"/>
  <c r="AH53" i="76"/>
  <c r="AH7" i="76"/>
  <c r="AH50" i="76"/>
  <c r="AH55" i="76"/>
  <c r="AH62" i="76"/>
  <c r="AH26" i="76"/>
  <c r="AH48" i="76"/>
  <c r="AH13" i="76"/>
  <c r="AH33" i="76"/>
  <c r="AH16" i="76"/>
  <c r="AH28" i="76"/>
  <c r="AH39" i="76"/>
  <c r="AH65" i="76"/>
  <c r="AH14" i="76"/>
  <c r="AH32" i="76"/>
  <c r="AH61" i="76"/>
  <c r="AH19" i="76"/>
  <c r="AH34" i="76"/>
  <c r="AH12" i="76"/>
  <c r="AH35" i="76"/>
  <c r="AH44" i="76"/>
  <c r="AH10" i="76"/>
  <c r="AH29" i="76"/>
  <c r="AH52" i="76"/>
  <c r="AH11" i="76"/>
  <c r="AH23" i="76"/>
  <c r="AH63" i="76"/>
  <c r="AH66" i="76"/>
  <c r="AH30" i="76"/>
  <c r="AH56" i="76"/>
  <c r="AH17" i="76"/>
  <c r="AH36" i="76"/>
  <c r="AH24" i="76"/>
  <c r="AH8" i="76"/>
  <c r="V70" i="76"/>
  <c r="V54" i="76"/>
  <c r="V38" i="76"/>
  <c r="V22" i="76"/>
  <c r="V60" i="76"/>
  <c r="V44" i="76"/>
  <c r="V51" i="76"/>
  <c r="V28" i="76"/>
  <c r="V11" i="76"/>
  <c r="V53" i="76"/>
  <c r="V27" i="76"/>
  <c r="V12" i="76"/>
  <c r="V55" i="76"/>
  <c r="V33" i="76"/>
  <c r="V13" i="76"/>
  <c r="V65" i="76"/>
  <c r="V32" i="76"/>
  <c r="V66" i="76"/>
  <c r="V50" i="76"/>
  <c r="V34" i="76"/>
  <c r="V72" i="76"/>
  <c r="V56" i="76"/>
  <c r="V75" i="76"/>
  <c r="V43" i="76"/>
  <c r="V25" i="76"/>
  <c r="V7" i="76"/>
  <c r="V45" i="76"/>
  <c r="V24" i="76"/>
  <c r="V8" i="76"/>
  <c r="V47" i="76"/>
  <c r="V23" i="76"/>
  <c r="V9" i="76"/>
  <c r="V14" i="76"/>
  <c r="V29" i="76"/>
  <c r="V74" i="76"/>
  <c r="V42" i="76"/>
  <c r="V64" i="76"/>
  <c r="V59" i="76"/>
  <c r="V15" i="76"/>
  <c r="V37" i="76"/>
  <c r="V62" i="76"/>
  <c r="V30" i="76"/>
  <c r="V52" i="76"/>
  <c r="V41" i="76"/>
  <c r="V69" i="76"/>
  <c r="V20" i="76"/>
  <c r="V39" i="76"/>
  <c r="V57" i="76"/>
  <c r="V18" i="76"/>
  <c r="V58" i="76"/>
  <c r="V26" i="76"/>
  <c r="V48" i="76"/>
  <c r="V31" i="76"/>
  <c r="V61" i="76"/>
  <c r="V16" i="76"/>
  <c r="V36" i="76"/>
  <c r="V10" i="76"/>
  <c r="V49" i="76"/>
  <c r="V46" i="76"/>
  <c r="V40" i="76"/>
  <c r="V17" i="76"/>
  <c r="V68" i="76"/>
  <c r="V71" i="76"/>
  <c r="V73" i="76"/>
  <c r="V67" i="76"/>
  <c r="V63" i="76"/>
  <c r="V35" i="76"/>
  <c r="V19" i="76"/>
  <c r="V21" i="76"/>
  <c r="AL71" i="76"/>
  <c r="AL55" i="76"/>
  <c r="AL39" i="76"/>
  <c r="AL70" i="76"/>
  <c r="AL54" i="76"/>
  <c r="AL50" i="76"/>
  <c r="AL30" i="76"/>
  <c r="AL14" i="76"/>
  <c r="AL44" i="76"/>
  <c r="AL25" i="76"/>
  <c r="AL9" i="76"/>
  <c r="AL48" i="76"/>
  <c r="AL72" i="76"/>
  <c r="AL7" i="76"/>
  <c r="AL20" i="76"/>
  <c r="AL19" i="76"/>
  <c r="AL33" i="76"/>
  <c r="AL67" i="76"/>
  <c r="AL51" i="76"/>
  <c r="AL35" i="76"/>
  <c r="AL66" i="76"/>
  <c r="AL69" i="76"/>
  <c r="AL40" i="76"/>
  <c r="AL26" i="76"/>
  <c r="AL10" i="76"/>
  <c r="AL41" i="76"/>
  <c r="AL21" i="76"/>
  <c r="AL73" i="76"/>
  <c r="AL45" i="76"/>
  <c r="AL49" i="76"/>
  <c r="AL64" i="76"/>
  <c r="AL56" i="76"/>
  <c r="AL11" i="76"/>
  <c r="AL16" i="76"/>
  <c r="AL59" i="76"/>
  <c r="AL74" i="76"/>
  <c r="AL53" i="76"/>
  <c r="AL18" i="76"/>
  <c r="AL29" i="76"/>
  <c r="AL57" i="76"/>
  <c r="AL15" i="76"/>
  <c r="AL27" i="76"/>
  <c r="AL8" i="76"/>
  <c r="AL31" i="76"/>
  <c r="AL12" i="76"/>
  <c r="AL47" i="76"/>
  <c r="AL62" i="76"/>
  <c r="AL37" i="76"/>
  <c r="AL68" i="76"/>
  <c r="AL17" i="76"/>
  <c r="AL42" i="76"/>
  <c r="AL46" i="76"/>
  <c r="AL24" i="76"/>
  <c r="AL75" i="76"/>
  <c r="AL43" i="76"/>
  <c r="AL58" i="76"/>
  <c r="AL34" i="76"/>
  <c r="AL60" i="76"/>
  <c r="AL13" i="76"/>
  <c r="AL32" i="76"/>
  <c r="AL28" i="76"/>
  <c r="AL52" i="76"/>
  <c r="AL63" i="76"/>
  <c r="AL61" i="76"/>
  <c r="AL22" i="76"/>
  <c r="AL38" i="76"/>
  <c r="AL65" i="76"/>
  <c r="AL23" i="76"/>
  <c r="AL36" i="76"/>
  <c r="H75" i="76"/>
  <c r="H71" i="76"/>
  <c r="H59" i="76"/>
  <c r="H58" i="76"/>
  <c r="H50" i="76"/>
  <c r="H34" i="76"/>
  <c r="H19" i="76"/>
  <c r="H51" i="76"/>
  <c r="H35" i="76"/>
  <c r="H67" i="76"/>
  <c r="H44" i="76"/>
  <c r="H28" i="76"/>
  <c r="H45" i="76"/>
  <c r="H17" i="76"/>
  <c r="H9" i="76"/>
  <c r="H49" i="76"/>
  <c r="H15" i="76"/>
  <c r="H8" i="76"/>
  <c r="H74" i="76"/>
  <c r="H70" i="76"/>
  <c r="H66" i="76"/>
  <c r="H57" i="76"/>
  <c r="H46" i="76"/>
  <c r="H30" i="76"/>
  <c r="H65" i="76"/>
  <c r="H47" i="76"/>
  <c r="H31" i="76"/>
  <c r="H56" i="76"/>
  <c r="H40" i="76"/>
  <c r="H24" i="76"/>
  <c r="H37" i="76"/>
  <c r="H16" i="76"/>
  <c r="H7" i="76"/>
  <c r="H41" i="76"/>
  <c r="H14" i="76"/>
  <c r="H68" i="76"/>
  <c r="H54" i="76"/>
  <c r="H22" i="76"/>
  <c r="H39" i="76"/>
  <c r="H48" i="76"/>
  <c r="H18" i="76"/>
  <c r="H10" i="76"/>
  <c r="H25" i="76"/>
  <c r="H73" i="76"/>
  <c r="H64" i="76"/>
  <c r="H42" i="76"/>
  <c r="H60" i="76"/>
  <c r="H27" i="76"/>
  <c r="H36" i="76"/>
  <c r="H29" i="76"/>
  <c r="H61" i="76"/>
  <c r="H13" i="76"/>
  <c r="H72" i="76"/>
  <c r="H62" i="76"/>
  <c r="H38" i="76"/>
  <c r="H55" i="76"/>
  <c r="H23" i="76"/>
  <c r="H32" i="76"/>
  <c r="H21" i="76"/>
  <c r="H53" i="76"/>
  <c r="H12" i="76"/>
  <c r="H26" i="76"/>
  <c r="H11" i="76"/>
  <c r="H43" i="76"/>
  <c r="H33" i="76"/>
  <c r="H69" i="76"/>
  <c r="H52" i="76"/>
  <c r="H63" i="76"/>
  <c r="H20" i="76"/>
  <c r="M72" i="76"/>
  <c r="M68" i="76"/>
  <c r="M64" i="76"/>
  <c r="M59" i="76"/>
  <c r="M54" i="76"/>
  <c r="M50" i="76"/>
  <c r="M46" i="76"/>
  <c r="M42" i="76"/>
  <c r="M38" i="76"/>
  <c r="M34" i="76"/>
  <c r="M30" i="76"/>
  <c r="M26" i="76"/>
  <c r="M22" i="76"/>
  <c r="M56" i="76"/>
  <c r="M15" i="76"/>
  <c r="M11" i="76"/>
  <c r="M7" i="76"/>
  <c r="M75" i="76"/>
  <c r="M71" i="76"/>
  <c r="M67" i="76"/>
  <c r="M63" i="76"/>
  <c r="M58" i="76"/>
  <c r="M53" i="76"/>
  <c r="M49" i="76"/>
  <c r="M45" i="76"/>
  <c r="M41" i="76"/>
  <c r="M37" i="76"/>
  <c r="M33" i="76"/>
  <c r="M29" i="76"/>
  <c r="M25" i="76"/>
  <c r="M21" i="76"/>
  <c r="M19" i="76"/>
  <c r="M14" i="76"/>
  <c r="M10" i="76"/>
  <c r="M18" i="76"/>
  <c r="M73" i="76"/>
  <c r="M65" i="76"/>
  <c r="M55" i="76"/>
  <c r="M47" i="76"/>
  <c r="M39" i="76"/>
  <c r="M31" i="76"/>
  <c r="M23" i="76"/>
  <c r="M16" i="76"/>
  <c r="M8" i="76"/>
  <c r="M70" i="76"/>
  <c r="M62" i="76"/>
  <c r="M52" i="76"/>
  <c r="M44" i="76"/>
  <c r="M36" i="76"/>
  <c r="M28" i="76"/>
  <c r="M20" i="76"/>
  <c r="M13" i="76"/>
  <c r="M69" i="76"/>
  <c r="M61" i="76"/>
  <c r="M51" i="76"/>
  <c r="M43" i="76"/>
  <c r="M35" i="76"/>
  <c r="M27" i="76"/>
  <c r="M60" i="76"/>
  <c r="M12" i="76"/>
  <c r="M57" i="76"/>
  <c r="M24" i="76"/>
  <c r="M48" i="76"/>
  <c r="M17" i="76"/>
  <c r="M74" i="76"/>
  <c r="M40" i="76"/>
  <c r="M9" i="76"/>
  <c r="M66" i="76"/>
  <c r="M32" i="76"/>
  <c r="AW44" i="76"/>
  <c r="AW43" i="76"/>
  <c r="AW42" i="76"/>
  <c r="AW41" i="76"/>
  <c r="AW40" i="76"/>
  <c r="AW39" i="76"/>
  <c r="AW38" i="76"/>
  <c r="AW37" i="76"/>
  <c r="AW36" i="76"/>
  <c r="AW35" i="76"/>
  <c r="AW34" i="76"/>
  <c r="AW33" i="76"/>
  <c r="AW32" i="76"/>
  <c r="AW31" i="76"/>
  <c r="AW30" i="76"/>
  <c r="AW29" i="76"/>
  <c r="AW28" i="76"/>
  <c r="AW27" i="76"/>
  <c r="AW26" i="76"/>
  <c r="AW25" i="76"/>
  <c r="AW24" i="76"/>
  <c r="AW23" i="76"/>
  <c r="AW22" i="76"/>
  <c r="AW21" i="76"/>
  <c r="AW20" i="76"/>
  <c r="AW19" i="76"/>
  <c r="AW18" i="76"/>
  <c r="AW17" i="76"/>
  <c r="AW16" i="76"/>
  <c r="AW15" i="76"/>
  <c r="AW14" i="76"/>
  <c r="AW13" i="76"/>
  <c r="AW12" i="76"/>
  <c r="AW11" i="76"/>
  <c r="AW10" i="76"/>
  <c r="AW9" i="76"/>
  <c r="AW8" i="76"/>
  <c r="AW7" i="76"/>
  <c r="AW72" i="76"/>
  <c r="AW68" i="76"/>
  <c r="AW64" i="76"/>
  <c r="AW60" i="76"/>
  <c r="AW56" i="76"/>
  <c r="AW52" i="76"/>
  <c r="AW48" i="76"/>
  <c r="AW66" i="76"/>
  <c r="AW58" i="76"/>
  <c r="AW50" i="76"/>
  <c r="AW46" i="76"/>
  <c r="AW75" i="76"/>
  <c r="AW69" i="76"/>
  <c r="AW57" i="76"/>
  <c r="AW49" i="76"/>
  <c r="AW71" i="76"/>
  <c r="AW67" i="76"/>
  <c r="AW63" i="76"/>
  <c r="AW59" i="76"/>
  <c r="AW55" i="76"/>
  <c r="AW51" i="76"/>
  <c r="AW47" i="76"/>
  <c r="AW74" i="76"/>
  <c r="AW70" i="76"/>
  <c r="AW62" i="76"/>
  <c r="AW54" i="76"/>
  <c r="AW73" i="76"/>
  <c r="AW65" i="76"/>
  <c r="AW61" i="76"/>
  <c r="AW53" i="76"/>
  <c r="AW45" i="76"/>
  <c r="AK64" i="76"/>
  <c r="AK48" i="76"/>
  <c r="AK32" i="76"/>
  <c r="AK63" i="76"/>
  <c r="AK62" i="76"/>
  <c r="AK60" i="76"/>
  <c r="AK44" i="76"/>
  <c r="AK56" i="76"/>
  <c r="AK75" i="76"/>
  <c r="AK55" i="76"/>
  <c r="AK46" i="76"/>
  <c r="AK23" i="76"/>
  <c r="AK7" i="76"/>
  <c r="AK50" i="76"/>
  <c r="AK31" i="76"/>
  <c r="AK18" i="76"/>
  <c r="AK66" i="76"/>
  <c r="AK38" i="76"/>
  <c r="AK42" i="76"/>
  <c r="AK57" i="76"/>
  <c r="AK20" i="76"/>
  <c r="AK13" i="76"/>
  <c r="AK52" i="76"/>
  <c r="AK71" i="76"/>
  <c r="AK70" i="76"/>
  <c r="AK43" i="76"/>
  <c r="AK19" i="76"/>
  <c r="AK69" i="76"/>
  <c r="AK47" i="76"/>
  <c r="AK30" i="76"/>
  <c r="AK14" i="76"/>
  <c r="AK58" i="76"/>
  <c r="AK35" i="76"/>
  <c r="AK24" i="76"/>
  <c r="AK39" i="76"/>
  <c r="AK12" i="76"/>
  <c r="AK45" i="76"/>
  <c r="AK72" i="76"/>
  <c r="AK40" i="76"/>
  <c r="AK67" i="76"/>
  <c r="AK54" i="76"/>
  <c r="AK33" i="76"/>
  <c r="AK15" i="76"/>
  <c r="AK61" i="76"/>
  <c r="AK37" i="76"/>
  <c r="AK26" i="76"/>
  <c r="AK10" i="76"/>
  <c r="AK51" i="76"/>
  <c r="AK29" i="76"/>
  <c r="AK16" i="76"/>
  <c r="AK21" i="76"/>
  <c r="AK73" i="76"/>
  <c r="AK17" i="76"/>
  <c r="AK49" i="76"/>
  <c r="AK34" i="76"/>
  <c r="AK65" i="76"/>
  <c r="AK9" i="76"/>
  <c r="AK68" i="76"/>
  <c r="AK27" i="76"/>
  <c r="AK22" i="76"/>
  <c r="AK8" i="76"/>
  <c r="AK36" i="76"/>
  <c r="AK11" i="76"/>
  <c r="AK74" i="76"/>
  <c r="AK28" i="76"/>
  <c r="AK53" i="76"/>
  <c r="AK41" i="76"/>
  <c r="AK25" i="76"/>
  <c r="AK59" i="76"/>
  <c r="I73" i="76"/>
  <c r="I69" i="76"/>
  <c r="I65" i="76"/>
  <c r="I61" i="76"/>
  <c r="I56" i="76"/>
  <c r="I52" i="76"/>
  <c r="I48" i="76"/>
  <c r="I44" i="76"/>
  <c r="I40" i="76"/>
  <c r="I36" i="76"/>
  <c r="I32" i="76"/>
  <c r="I28" i="76"/>
  <c r="I24" i="76"/>
  <c r="I20" i="76"/>
  <c r="I15" i="76"/>
  <c r="I11" i="76"/>
  <c r="I7" i="76"/>
  <c r="I72" i="76"/>
  <c r="I68" i="76"/>
  <c r="I64" i="76"/>
  <c r="I58" i="76"/>
  <c r="I55" i="76"/>
  <c r="I51" i="76"/>
  <c r="I47" i="76"/>
  <c r="I43" i="76"/>
  <c r="I39" i="76"/>
  <c r="I35" i="76"/>
  <c r="I31" i="76"/>
  <c r="I27" i="76"/>
  <c r="I23" i="76"/>
  <c r="I18" i="76"/>
  <c r="I14" i="76"/>
  <c r="I10" i="76"/>
  <c r="I59" i="76"/>
  <c r="I70" i="76"/>
  <c r="I62" i="76"/>
  <c r="I53" i="76"/>
  <c r="I45" i="76"/>
  <c r="I37" i="76"/>
  <c r="I29" i="76"/>
  <c r="I21" i="76"/>
  <c r="I12" i="76"/>
  <c r="I63" i="76"/>
  <c r="I46" i="76"/>
  <c r="I22" i="76"/>
  <c r="I19" i="76"/>
  <c r="I75" i="76"/>
  <c r="I67" i="76"/>
  <c r="I57" i="76"/>
  <c r="I50" i="76"/>
  <c r="I42" i="76"/>
  <c r="I34" i="76"/>
  <c r="I26" i="76"/>
  <c r="I17" i="76"/>
  <c r="I9" i="76"/>
  <c r="I30" i="76"/>
  <c r="I74" i="76"/>
  <c r="I66" i="76"/>
  <c r="I60" i="76"/>
  <c r="I49" i="76"/>
  <c r="I41" i="76"/>
  <c r="I33" i="76"/>
  <c r="I25" i="76"/>
  <c r="I16" i="76"/>
  <c r="I8" i="76"/>
  <c r="I71" i="76"/>
  <c r="I54" i="76"/>
  <c r="I38" i="76"/>
  <c r="I13" i="76"/>
  <c r="Y73" i="76"/>
  <c r="Y57" i="76"/>
  <c r="Y41" i="76"/>
  <c r="Y25" i="76"/>
  <c r="Y63" i="76"/>
  <c r="Y47" i="76"/>
  <c r="Y54" i="76"/>
  <c r="Y26" i="76"/>
  <c r="Y10" i="76"/>
  <c r="Y48" i="76"/>
  <c r="Y22" i="76"/>
  <c r="Y7" i="76"/>
  <c r="Y50" i="76"/>
  <c r="Y28" i="76"/>
  <c r="Y8" i="76"/>
  <c r="Y24" i="76"/>
  <c r="Y68" i="76"/>
  <c r="Y17" i="76"/>
  <c r="Y69" i="76"/>
  <c r="Y53" i="76"/>
  <c r="Y37" i="76"/>
  <c r="Y75" i="76"/>
  <c r="Y59" i="76"/>
  <c r="Y43" i="76"/>
  <c r="Y46" i="76"/>
  <c r="Y23" i="76"/>
  <c r="Y72" i="76"/>
  <c r="Y38" i="76"/>
  <c r="Y19" i="76"/>
  <c r="Y74" i="76"/>
  <c r="Y42" i="76"/>
  <c r="Y20" i="76"/>
  <c r="Y52" i="76"/>
  <c r="Y21" i="76"/>
  <c r="Y13" i="76"/>
  <c r="Y65" i="76"/>
  <c r="Y49" i="76"/>
  <c r="Y33" i="76"/>
  <c r="Y71" i="76"/>
  <c r="Y55" i="76"/>
  <c r="Y70" i="76"/>
  <c r="Y39" i="76"/>
  <c r="Y18" i="76"/>
  <c r="Y64" i="76"/>
  <c r="Y35" i="76"/>
  <c r="Y15" i="76"/>
  <c r="Y66" i="76"/>
  <c r="Y34" i="76"/>
  <c r="Y16" i="76"/>
  <c r="Y30" i="76"/>
  <c r="Y60" i="76"/>
  <c r="Y29" i="76"/>
  <c r="Y36" i="76"/>
  <c r="Y11" i="76"/>
  <c r="Y27" i="76"/>
  <c r="Y67" i="76"/>
  <c r="Y14" i="76"/>
  <c r="Y58" i="76"/>
  <c r="Y9" i="76"/>
  <c r="Y61" i="76"/>
  <c r="Y51" i="76"/>
  <c r="Y56" i="76"/>
  <c r="Y31" i="76"/>
  <c r="Y44" i="76"/>
  <c r="Y45" i="76"/>
  <c r="Y40" i="76"/>
  <c r="Y62" i="76"/>
  <c r="Y32" i="76"/>
  <c r="Y12" i="76"/>
  <c r="Q73" i="76"/>
  <c r="Q69" i="76"/>
  <c r="Q65" i="76"/>
  <c r="Q61" i="76"/>
  <c r="Q58" i="76"/>
  <c r="Q52" i="76"/>
  <c r="Q48" i="76"/>
  <c r="Q44" i="76"/>
  <c r="Q40" i="76"/>
  <c r="Q36" i="76"/>
  <c r="Q32" i="76"/>
  <c r="Q28" i="76"/>
  <c r="Q24" i="76"/>
  <c r="Q20" i="76"/>
  <c r="Q15" i="76"/>
  <c r="Q11" i="76"/>
  <c r="Q7" i="76"/>
  <c r="Q72" i="76"/>
  <c r="Q68" i="76"/>
  <c r="Q64" i="76"/>
  <c r="Q60" i="76"/>
  <c r="Q55" i="76"/>
  <c r="Q51" i="76"/>
  <c r="Q47" i="76"/>
  <c r="Q43" i="76"/>
  <c r="Q39" i="76"/>
  <c r="Q35" i="76"/>
  <c r="Q31" i="76"/>
  <c r="Q27" i="76"/>
  <c r="Q23" i="76"/>
  <c r="Q18" i="76"/>
  <c r="Q14" i="76"/>
  <c r="Q10" i="76"/>
  <c r="Q17" i="76"/>
  <c r="Q70" i="76"/>
  <c r="Q62" i="76"/>
  <c r="Q53" i="76"/>
  <c r="Q45" i="76"/>
  <c r="Q37" i="76"/>
  <c r="Q29" i="76"/>
  <c r="Q21" i="76"/>
  <c r="Q12" i="76"/>
  <c r="Q75" i="76"/>
  <c r="Q67" i="76"/>
  <c r="Q56" i="76"/>
  <c r="Q50" i="76"/>
  <c r="Q42" i="76"/>
  <c r="Q34" i="76"/>
  <c r="Q26" i="76"/>
  <c r="Q57" i="76"/>
  <c r="Q9" i="76"/>
  <c r="Q74" i="76"/>
  <c r="Q66" i="76"/>
  <c r="Q59" i="76"/>
  <c r="Q49" i="76"/>
  <c r="Q41" i="76"/>
  <c r="Q33" i="76"/>
  <c r="Q25" i="76"/>
  <c r="Q16" i="76"/>
  <c r="Q8" i="76"/>
  <c r="Q63" i="76"/>
  <c r="Q30" i="76"/>
  <c r="Q54" i="76"/>
  <c r="Q22" i="76"/>
  <c r="Q46" i="76"/>
  <c r="Q13" i="76"/>
  <c r="Q71" i="76"/>
  <c r="Q38" i="76"/>
  <c r="Q19" i="76"/>
  <c r="AB70" i="76"/>
  <c r="AB62" i="76"/>
  <c r="AB55" i="76"/>
  <c r="AB47" i="76"/>
  <c r="AB39" i="76"/>
  <c r="AB31" i="76"/>
  <c r="AB23" i="76"/>
  <c r="AB15" i="76"/>
  <c r="AB7" i="76"/>
  <c r="AB48" i="76"/>
  <c r="AB40" i="76"/>
  <c r="AB32" i="76"/>
  <c r="AB24" i="76"/>
  <c r="AB16" i="76"/>
  <c r="AB8" i="76"/>
  <c r="AB71" i="76"/>
  <c r="AB75" i="76"/>
  <c r="AB68" i="76"/>
  <c r="AB53" i="76"/>
  <c r="AB37" i="76"/>
  <c r="AB21" i="76"/>
  <c r="AB54" i="76"/>
  <c r="AB38" i="76"/>
  <c r="AB30" i="76"/>
  <c r="AB14" i="76"/>
  <c r="AB63" i="76"/>
  <c r="AB72" i="76"/>
  <c r="AB49" i="76"/>
  <c r="AB25" i="76"/>
  <c r="AB50" i="76"/>
  <c r="AB18" i="76"/>
  <c r="AB61" i="76"/>
  <c r="AB60" i="76"/>
  <c r="AB45" i="76"/>
  <c r="AB29" i="76"/>
  <c r="AB13" i="76"/>
  <c r="AB46" i="76"/>
  <c r="AB22" i="76"/>
  <c r="AB73" i="76"/>
  <c r="AB67" i="76"/>
  <c r="AB64" i="76"/>
  <c r="AB33" i="76"/>
  <c r="AB9" i="76"/>
  <c r="AB34" i="76"/>
  <c r="AB57" i="76"/>
  <c r="AB74" i="76"/>
  <c r="AB66" i="76"/>
  <c r="AB58" i="76"/>
  <c r="AB51" i="76"/>
  <c r="AB43" i="76"/>
  <c r="AB35" i="76"/>
  <c r="AB27" i="76"/>
  <c r="AB19" i="76"/>
  <c r="AB11" i="76"/>
  <c r="AB52" i="76"/>
  <c r="AB44" i="76"/>
  <c r="AB36" i="76"/>
  <c r="AB28" i="76"/>
  <c r="AB20" i="76"/>
  <c r="AB12" i="76"/>
  <c r="AB65" i="76"/>
  <c r="AB69" i="76"/>
  <c r="AB59" i="76"/>
  <c r="AB56" i="76"/>
  <c r="AB41" i="76"/>
  <c r="AB17" i="76"/>
  <c r="AB42" i="76"/>
  <c r="AB26" i="76"/>
  <c r="AB10" i="76"/>
  <c r="S75" i="76"/>
  <c r="S59" i="76"/>
  <c r="S43" i="76"/>
  <c r="S27" i="76"/>
  <c r="S65" i="76"/>
  <c r="S49" i="76"/>
  <c r="S56" i="76"/>
  <c r="S30" i="76"/>
  <c r="S8" i="76"/>
  <c r="S50" i="76"/>
  <c r="S26" i="76"/>
  <c r="S9" i="76"/>
  <c r="S44" i="76"/>
  <c r="S25" i="76"/>
  <c r="S10" i="76"/>
  <c r="S34" i="76"/>
  <c r="S19" i="76"/>
  <c r="S54" i="76"/>
  <c r="S31" i="76"/>
  <c r="S64" i="76"/>
  <c r="S58" i="76"/>
  <c r="S13" i="76"/>
  <c r="S14" i="76"/>
  <c r="S24" i="76"/>
  <c r="S71" i="76"/>
  <c r="S55" i="76"/>
  <c r="S39" i="76"/>
  <c r="S23" i="76"/>
  <c r="S61" i="76"/>
  <c r="S45" i="76"/>
  <c r="S48" i="76"/>
  <c r="S20" i="76"/>
  <c r="S74" i="76"/>
  <c r="S42" i="76"/>
  <c r="S21" i="76"/>
  <c r="S68" i="76"/>
  <c r="S41" i="76"/>
  <c r="S22" i="76"/>
  <c r="S62" i="76"/>
  <c r="S15" i="76"/>
  <c r="S46" i="76"/>
  <c r="S47" i="76"/>
  <c r="S12" i="76"/>
  <c r="S28" i="76"/>
  <c r="S11" i="76"/>
  <c r="S67" i="76"/>
  <c r="S51" i="76"/>
  <c r="S35" i="76"/>
  <c r="S73" i="76"/>
  <c r="S57" i="76"/>
  <c r="S72" i="76"/>
  <c r="S36" i="76"/>
  <c r="S16" i="76"/>
  <c r="S66" i="76"/>
  <c r="S32" i="76"/>
  <c r="S17" i="76"/>
  <c r="S60" i="76"/>
  <c r="S38" i="76"/>
  <c r="S18" i="76"/>
  <c r="S40" i="76"/>
  <c r="S70" i="76"/>
  <c r="S7" i="76"/>
  <c r="S63" i="76"/>
  <c r="S69" i="76"/>
  <c r="S53" i="76"/>
  <c r="S33" i="76"/>
  <c r="S29" i="76"/>
  <c r="S52" i="76"/>
  <c r="S37" i="76"/>
  <c r="F76" i="76"/>
  <c r="F77" i="76" s="1"/>
  <c r="G76" i="14"/>
  <c r="N141" i="14"/>
  <c r="G139" i="14"/>
  <c r="G130" i="14"/>
  <c r="Q40" i="30"/>
  <c r="L77" i="26"/>
  <c r="N77" i="26" s="1"/>
  <c r="C73" i="76"/>
  <c r="AM73" i="9"/>
  <c r="H40" i="30"/>
  <c r="T12" i="17"/>
  <c r="T38" i="30"/>
  <c r="T66" i="73"/>
  <c r="F66" i="73"/>
  <c r="X76" i="73"/>
  <c r="Q14" i="17"/>
  <c r="AD66" i="73"/>
  <c r="R64" i="12"/>
  <c r="AB64" i="12" s="1"/>
  <c r="AU42" i="9"/>
  <c r="AU76" i="9" s="1"/>
  <c r="AC14" i="17"/>
  <c r="N14" i="17"/>
  <c r="R33" i="12"/>
  <c r="AB33" i="12" s="1"/>
  <c r="D33" i="73"/>
  <c r="R74" i="12"/>
  <c r="AB74" i="12" s="1"/>
  <c r="D74" i="73"/>
  <c r="R39" i="12"/>
  <c r="AB39" i="12" s="1"/>
  <c r="D39" i="73"/>
  <c r="R11" i="12"/>
  <c r="AB11" i="12" s="1"/>
  <c r="D11" i="73"/>
  <c r="R67" i="12"/>
  <c r="AB67" i="12" s="1"/>
  <c r="D67" i="73"/>
  <c r="R61" i="12"/>
  <c r="AB61" i="12" s="1"/>
  <c r="D61" i="73"/>
  <c r="K40" i="30"/>
  <c r="R40" i="12"/>
  <c r="AB40" i="12" s="1"/>
  <c r="D40" i="73"/>
  <c r="D71" i="73"/>
  <c r="R71" i="12"/>
  <c r="AB71" i="12" s="1"/>
  <c r="D69" i="73"/>
  <c r="O69" i="73" s="1"/>
  <c r="R69" i="12"/>
  <c r="AB69" i="12" s="1"/>
  <c r="D31" i="73"/>
  <c r="Y31" i="73" s="1"/>
  <c r="R31" i="12"/>
  <c r="AB31" i="12" s="1"/>
  <c r="R59" i="12"/>
  <c r="AB59" i="12" s="1"/>
  <c r="D59" i="73"/>
  <c r="D7" i="73"/>
  <c r="R7" i="12"/>
  <c r="AB7" i="12" s="1"/>
  <c r="N40" i="30"/>
  <c r="J40" i="73"/>
  <c r="Y71" i="73"/>
  <c r="E76" i="15"/>
  <c r="E141" i="15" s="1"/>
  <c r="R72" i="12"/>
  <c r="AB72" i="12" s="1"/>
  <c r="D72" i="73"/>
  <c r="D29" i="73"/>
  <c r="O29" i="73" s="1"/>
  <c r="R29" i="12"/>
  <c r="AB29" i="12" s="1"/>
  <c r="R57" i="12"/>
  <c r="AB57" i="12" s="1"/>
  <c r="D57" i="73"/>
  <c r="N76" i="14"/>
  <c r="N122" i="14" s="1"/>
  <c r="D21" i="73"/>
  <c r="R21" i="12"/>
  <c r="AB21" i="12" s="1"/>
  <c r="D49" i="73"/>
  <c r="R49" i="12"/>
  <c r="AB49" i="12" s="1"/>
  <c r="R48" i="12"/>
  <c r="AB48" i="12" s="1"/>
  <c r="D48" i="73"/>
  <c r="D41" i="73"/>
  <c r="R41" i="12"/>
  <c r="AB41" i="12" s="1"/>
  <c r="J141" i="15"/>
  <c r="R128" i="15"/>
  <c r="R17" i="12"/>
  <c r="AB17" i="12" s="1"/>
  <c r="D17" i="73"/>
  <c r="R45" i="12"/>
  <c r="AB45" i="12" s="1"/>
  <c r="D45" i="73"/>
  <c r="O45" i="73" s="1"/>
  <c r="R20" i="12"/>
  <c r="AB20" i="12" s="1"/>
  <c r="D20" i="73"/>
  <c r="E37" i="30"/>
  <c r="E36" i="30"/>
  <c r="R51" i="12"/>
  <c r="AB51" i="12" s="1"/>
  <c r="D51" i="73"/>
  <c r="F122" i="14"/>
  <c r="K122" i="14"/>
  <c r="K143" i="14" s="1"/>
  <c r="C48" i="76"/>
  <c r="AM48" i="9"/>
  <c r="AM28" i="9"/>
  <c r="C28" i="76"/>
  <c r="M122" i="14"/>
  <c r="M143" i="14" s="1"/>
  <c r="C60" i="76"/>
  <c r="AM60" i="9"/>
  <c r="I76" i="73"/>
  <c r="R93" i="15"/>
  <c r="D62" i="73"/>
  <c r="AA17" i="29"/>
  <c r="D19" i="73"/>
  <c r="J19" i="73" s="1"/>
  <c r="R19" i="12"/>
  <c r="AB19" i="12" s="1"/>
  <c r="R34" i="12"/>
  <c r="AB34" i="12" s="1"/>
  <c r="D34" i="73"/>
  <c r="D15" i="73"/>
  <c r="R15" i="12"/>
  <c r="AB15" i="12" s="1"/>
  <c r="R42" i="12"/>
  <c r="AB42" i="12" s="1"/>
  <c r="D42" i="73"/>
  <c r="J42" i="73" s="1"/>
  <c r="D55" i="73"/>
  <c r="R55" i="12"/>
  <c r="AB55" i="12" s="1"/>
  <c r="R70" i="12"/>
  <c r="AB70" i="12" s="1"/>
  <c r="D70" i="73"/>
  <c r="D22" i="73"/>
  <c r="R22" i="12"/>
  <c r="R26" i="12"/>
  <c r="AB26" i="12" s="1"/>
  <c r="D26" i="73"/>
  <c r="P83" i="27"/>
  <c r="Q83" i="27" s="1"/>
  <c r="D75" i="73"/>
  <c r="R75" i="12"/>
  <c r="AB75" i="12" s="1"/>
  <c r="D32" i="73"/>
  <c r="R32" i="12"/>
  <c r="AB32" i="12" s="1"/>
  <c r="D44" i="73"/>
  <c r="O44" i="73" s="1"/>
  <c r="R44" i="12"/>
  <c r="AB44" i="12" s="1"/>
  <c r="D12" i="73"/>
  <c r="O12" i="73" s="1"/>
  <c r="R12" i="12"/>
  <c r="AB12" i="12" s="1"/>
  <c r="D36" i="73"/>
  <c r="O36" i="73" s="1"/>
  <c r="R36" i="12"/>
  <c r="AB36" i="12" s="1"/>
  <c r="R60" i="12"/>
  <c r="AB60" i="12" s="1"/>
  <c r="D60" i="73"/>
  <c r="D28" i="73"/>
  <c r="R28" i="12"/>
  <c r="AB28" i="12" s="1"/>
  <c r="D56" i="73"/>
  <c r="R56" i="12"/>
  <c r="AB56" i="12" s="1"/>
  <c r="R16" i="12"/>
  <c r="AB16" i="12" s="1"/>
  <c r="D16" i="73"/>
  <c r="D50" i="73"/>
  <c r="R50" i="12"/>
  <c r="AB50" i="12" s="1"/>
  <c r="R30" i="12"/>
  <c r="AB30" i="12" s="1"/>
  <c r="D30" i="73"/>
  <c r="R24" i="12"/>
  <c r="AB24" i="12" s="1"/>
  <c r="D24" i="73"/>
  <c r="D52" i="73"/>
  <c r="R52" i="12"/>
  <c r="AB52" i="12" s="1"/>
  <c r="D68" i="73"/>
  <c r="R68" i="12"/>
  <c r="AB68" i="12" s="1"/>
  <c r="AH26" i="30"/>
  <c r="AH34" i="30"/>
  <c r="AH14" i="30"/>
  <c r="AH18" i="30"/>
  <c r="O37" i="73"/>
  <c r="AD37" i="73"/>
  <c r="Y37" i="73"/>
  <c r="F37" i="73"/>
  <c r="J37" i="73"/>
  <c r="T37" i="73"/>
  <c r="D65" i="73"/>
  <c r="R65" i="12"/>
  <c r="AB65" i="12" s="1"/>
  <c r="J64" i="73"/>
  <c r="T64" i="73"/>
  <c r="F64" i="73"/>
  <c r="O64" i="73"/>
  <c r="Y64" i="73"/>
  <c r="C76" i="13"/>
  <c r="G34" i="13"/>
  <c r="G25" i="13"/>
  <c r="G64" i="13"/>
  <c r="G51" i="13"/>
  <c r="G43" i="13"/>
  <c r="G72" i="13"/>
  <c r="G54" i="13"/>
  <c r="G61" i="13"/>
  <c r="G33" i="13"/>
  <c r="G23" i="13"/>
  <c r="G53" i="13"/>
  <c r="G59" i="13"/>
  <c r="G39" i="13"/>
  <c r="G62" i="13"/>
  <c r="G20" i="13"/>
  <c r="G9" i="13"/>
  <c r="G22" i="13"/>
  <c r="G17" i="13"/>
  <c r="G70" i="13"/>
  <c r="G63" i="13"/>
  <c r="G74" i="13"/>
  <c r="G26" i="13"/>
  <c r="G73" i="13"/>
  <c r="G47" i="13"/>
  <c r="G71" i="13"/>
  <c r="G46" i="13"/>
  <c r="G52" i="13"/>
  <c r="G56" i="13"/>
  <c r="G40" i="13"/>
  <c r="G19" i="13"/>
  <c r="G29" i="13"/>
  <c r="G49" i="13"/>
  <c r="G55" i="13"/>
  <c r="G14" i="13"/>
  <c r="G27" i="13"/>
  <c r="G35" i="13"/>
  <c r="G12" i="13"/>
  <c r="G60" i="13"/>
  <c r="G8" i="13"/>
  <c r="G32" i="13"/>
  <c r="G44" i="13"/>
  <c r="G67" i="13"/>
  <c r="G57" i="13"/>
  <c r="G45" i="13"/>
  <c r="G31" i="13"/>
  <c r="G28" i="13"/>
  <c r="G30" i="13"/>
  <c r="G18" i="13"/>
  <c r="G50" i="13"/>
  <c r="G42" i="13"/>
  <c r="G15" i="13"/>
  <c r="G7" i="13"/>
  <c r="G37" i="13"/>
  <c r="G58" i="13"/>
  <c r="G16" i="13"/>
  <c r="G41" i="13"/>
  <c r="G48" i="13"/>
  <c r="G69" i="13"/>
  <c r="G75" i="13"/>
  <c r="G21" i="13"/>
  <c r="G65" i="13"/>
  <c r="G38" i="13"/>
  <c r="G13" i="13"/>
  <c r="G11" i="13"/>
  <c r="G24" i="13"/>
  <c r="G66" i="13"/>
  <c r="G36" i="13"/>
  <c r="G10" i="13"/>
  <c r="G68" i="13"/>
  <c r="AC63" i="73"/>
  <c r="O63" i="12"/>
  <c r="P63" i="12" s="1"/>
  <c r="N76" i="12"/>
  <c r="C9" i="76"/>
  <c r="AM9" i="9"/>
  <c r="G141" i="14"/>
  <c r="O115" i="14"/>
  <c r="D73" i="73"/>
  <c r="O73" i="73" s="1"/>
  <c r="R73" i="12"/>
  <c r="AB73" i="12" s="1"/>
  <c r="R38" i="12"/>
  <c r="AB38" i="12" s="1"/>
  <c r="D38" i="73"/>
  <c r="AB40" i="30"/>
  <c r="AT40" i="30"/>
  <c r="AC9" i="30"/>
  <c r="AC40" i="30" s="1"/>
  <c r="R137" i="15"/>
  <c r="R84" i="15"/>
  <c r="AB14" i="17"/>
  <c r="N76" i="73"/>
  <c r="AB9" i="12"/>
  <c r="O9" i="73"/>
  <c r="Y9" i="73"/>
  <c r="F9" i="73"/>
  <c r="J9" i="73"/>
  <c r="T9" i="73"/>
  <c r="AD9" i="73"/>
  <c r="E76" i="67"/>
  <c r="G76" i="67"/>
  <c r="H8" i="67"/>
  <c r="U17" i="29"/>
  <c r="P25" i="12"/>
  <c r="R139" i="15"/>
  <c r="V9" i="16"/>
  <c r="AH11" i="30"/>
  <c r="BA42" i="9"/>
  <c r="V19" i="29"/>
  <c r="BB42" i="9"/>
  <c r="AH13" i="17"/>
  <c r="AH14" i="17" s="1"/>
  <c r="N76" i="15"/>
  <c r="N141" i="15" s="1"/>
  <c r="O42" i="15"/>
  <c r="F143" i="14"/>
  <c r="AM72" i="9"/>
  <c r="C72" i="76"/>
  <c r="O130" i="14"/>
  <c r="T11" i="17"/>
  <c r="O139" i="14"/>
  <c r="I11" i="29"/>
  <c r="O120" i="14"/>
  <c r="O76" i="14"/>
  <c r="C4" i="76" s="1"/>
  <c r="AM7" i="9"/>
  <c r="C7" i="76"/>
  <c r="T7" i="30"/>
  <c r="O81" i="14"/>
  <c r="AU4" i="76" s="1"/>
  <c r="G111" i="14"/>
  <c r="Y35" i="73" l="1"/>
  <c r="O35" i="73"/>
  <c r="AD35" i="73"/>
  <c r="T35" i="73"/>
  <c r="J35" i="73"/>
  <c r="F35" i="73"/>
  <c r="D27" i="73"/>
  <c r="J23" i="73"/>
  <c r="Y23" i="73"/>
  <c r="T23" i="73"/>
  <c r="O23" i="73"/>
  <c r="AD23" i="73"/>
  <c r="F23" i="73"/>
  <c r="Y76" i="12"/>
  <c r="D54" i="73"/>
  <c r="AD54" i="73" s="1"/>
  <c r="R54" i="12"/>
  <c r="AB54" i="12" s="1"/>
  <c r="G122" i="14"/>
  <c r="O47" i="73"/>
  <c r="T47" i="73"/>
  <c r="J47" i="73"/>
  <c r="Y47" i="73"/>
  <c r="F47" i="73"/>
  <c r="AD47" i="73"/>
  <c r="O43" i="73"/>
  <c r="AD43" i="73"/>
  <c r="J43" i="73"/>
  <c r="F43" i="73"/>
  <c r="Y43" i="73"/>
  <c r="F18" i="73"/>
  <c r="T18" i="73"/>
  <c r="Y18" i="73"/>
  <c r="O18" i="73"/>
  <c r="AD18" i="73"/>
  <c r="J18" i="73"/>
  <c r="T43" i="73"/>
  <c r="E40" i="30"/>
  <c r="F27" i="73"/>
  <c r="Y27" i="73"/>
  <c r="N143" i="14"/>
  <c r="D23" i="76"/>
  <c r="D4" i="76"/>
  <c r="Q76" i="76"/>
  <c r="Q77" i="76" s="1"/>
  <c r="BG72" i="76"/>
  <c r="BG69" i="76"/>
  <c r="BG62" i="76"/>
  <c r="BG59" i="76"/>
  <c r="BG56" i="76"/>
  <c r="BG53" i="76"/>
  <c r="BG46" i="76"/>
  <c r="BG75" i="76"/>
  <c r="BG73" i="76"/>
  <c r="BG66" i="76"/>
  <c r="BG63" i="76"/>
  <c r="BG60" i="76"/>
  <c r="BG57" i="76"/>
  <c r="BG50" i="76"/>
  <c r="BG47" i="76"/>
  <c r="BG44" i="76"/>
  <c r="BG70" i="76"/>
  <c r="BG67" i="76"/>
  <c r="BG64" i="76"/>
  <c r="BG61" i="76"/>
  <c r="BG54" i="76"/>
  <c r="BG51" i="76"/>
  <c r="BG48" i="76"/>
  <c r="BG45" i="76"/>
  <c r="BG65" i="76"/>
  <c r="BG58" i="76"/>
  <c r="BG41" i="76"/>
  <c r="BG37" i="76"/>
  <c r="BG34" i="76"/>
  <c r="BG33" i="76"/>
  <c r="BG32" i="76"/>
  <c r="BG31" i="76"/>
  <c r="BG30" i="76"/>
  <c r="BG29" i="76"/>
  <c r="BG28" i="76"/>
  <c r="BG27" i="76"/>
  <c r="BG26" i="76"/>
  <c r="BG25" i="76"/>
  <c r="BG24" i="76"/>
  <c r="BG23" i="76"/>
  <c r="BG22" i="76"/>
  <c r="BG21" i="76"/>
  <c r="BG20" i="76"/>
  <c r="BG19" i="76"/>
  <c r="BG18" i="76"/>
  <c r="BG17" i="76"/>
  <c r="BG16" i="76"/>
  <c r="BG15" i="76"/>
  <c r="BG14" i="76"/>
  <c r="BG74" i="76"/>
  <c r="BG55" i="76"/>
  <c r="BG42" i="76"/>
  <c r="BG38" i="76"/>
  <c r="BG71" i="76"/>
  <c r="BG52" i="76"/>
  <c r="BG43" i="76"/>
  <c r="BG39" i="76"/>
  <c r="BG35" i="76"/>
  <c r="BG40" i="76"/>
  <c r="BG68" i="76"/>
  <c r="BG36" i="76"/>
  <c r="BG13" i="76"/>
  <c r="BG12" i="76"/>
  <c r="BG11" i="76"/>
  <c r="BG10" i="76"/>
  <c r="BG9" i="76"/>
  <c r="BG8" i="76"/>
  <c r="BG7" i="76"/>
  <c r="BG49" i="76"/>
  <c r="E76" i="76"/>
  <c r="E77" i="76" s="1"/>
  <c r="AF76" i="76"/>
  <c r="AF77" i="76" s="1"/>
  <c r="J75" i="76"/>
  <c r="J62" i="76"/>
  <c r="J71" i="76"/>
  <c r="J57" i="76"/>
  <c r="J56" i="76"/>
  <c r="J52" i="76"/>
  <c r="J48" i="76"/>
  <c r="J44" i="76"/>
  <c r="J40" i="76"/>
  <c r="J36" i="76"/>
  <c r="J32" i="76"/>
  <c r="J28" i="76"/>
  <c r="J24" i="76"/>
  <c r="J64" i="76"/>
  <c r="J55" i="76"/>
  <c r="J50" i="76"/>
  <c r="J45" i="76"/>
  <c r="J39" i="76"/>
  <c r="J34" i="76"/>
  <c r="J29" i="76"/>
  <c r="J23" i="76"/>
  <c r="J19" i="76"/>
  <c r="J67" i="76"/>
  <c r="J59" i="76"/>
  <c r="J16" i="76"/>
  <c r="J12" i="76"/>
  <c r="J8" i="76"/>
  <c r="J60" i="76"/>
  <c r="J46" i="76"/>
  <c r="J35" i="76"/>
  <c r="J25" i="76"/>
  <c r="J69" i="76"/>
  <c r="J17" i="76"/>
  <c r="J9" i="76"/>
  <c r="J72" i="76"/>
  <c r="J54" i="76"/>
  <c r="J49" i="76"/>
  <c r="J43" i="76"/>
  <c r="J38" i="76"/>
  <c r="J33" i="76"/>
  <c r="J27" i="76"/>
  <c r="J22" i="76"/>
  <c r="J18" i="76"/>
  <c r="J65" i="76"/>
  <c r="J74" i="76"/>
  <c r="J15" i="76"/>
  <c r="J11" i="76"/>
  <c r="J7" i="76"/>
  <c r="J68" i="76"/>
  <c r="J53" i="76"/>
  <c r="J47" i="76"/>
  <c r="J42" i="76"/>
  <c r="J37" i="76"/>
  <c r="J31" i="76"/>
  <c r="J26" i="76"/>
  <c r="J21" i="76"/>
  <c r="J73" i="76"/>
  <c r="J63" i="76"/>
  <c r="J58" i="76"/>
  <c r="J14" i="76"/>
  <c r="J10" i="76"/>
  <c r="J70" i="76"/>
  <c r="J66" i="76"/>
  <c r="J51" i="76"/>
  <c r="J41" i="76"/>
  <c r="J30" i="76"/>
  <c r="J20" i="76"/>
  <c r="J61" i="76"/>
  <c r="J13" i="76"/>
  <c r="S76" i="76"/>
  <c r="S77" i="76" s="1"/>
  <c r="M76" i="76"/>
  <c r="M77" i="76" s="1"/>
  <c r="AH76" i="76"/>
  <c r="AH77" i="76" s="1"/>
  <c r="W63" i="76"/>
  <c r="W47" i="76"/>
  <c r="W31" i="76"/>
  <c r="W69" i="76"/>
  <c r="W53" i="76"/>
  <c r="W60" i="76"/>
  <c r="W37" i="76"/>
  <c r="W16" i="76"/>
  <c r="W62" i="76"/>
  <c r="W33" i="76"/>
  <c r="W13" i="76"/>
  <c r="W56" i="76"/>
  <c r="W26" i="76"/>
  <c r="W66" i="76"/>
  <c r="W7" i="76"/>
  <c r="W11" i="76"/>
  <c r="W25" i="76"/>
  <c r="W50" i="76"/>
  <c r="W51" i="76"/>
  <c r="W57" i="76"/>
  <c r="W68" i="76"/>
  <c r="W70" i="76"/>
  <c r="W17" i="76"/>
  <c r="W10" i="76"/>
  <c r="W38" i="76"/>
  <c r="W75" i="76"/>
  <c r="W59" i="76"/>
  <c r="W43" i="76"/>
  <c r="W27" i="76"/>
  <c r="W65" i="76"/>
  <c r="W49" i="76"/>
  <c r="W52" i="76"/>
  <c r="W34" i="76"/>
  <c r="W12" i="76"/>
  <c r="W54" i="76"/>
  <c r="W30" i="76"/>
  <c r="W9" i="76"/>
  <c r="W48" i="76"/>
  <c r="W18" i="76"/>
  <c r="W19" i="76"/>
  <c r="W22" i="76"/>
  <c r="W15" i="76"/>
  <c r="W35" i="76"/>
  <c r="W20" i="76"/>
  <c r="W64" i="76"/>
  <c r="W42" i="76"/>
  <c r="W71" i="76"/>
  <c r="W55" i="76"/>
  <c r="W39" i="76"/>
  <c r="W23" i="76"/>
  <c r="W61" i="76"/>
  <c r="W45" i="76"/>
  <c r="W44" i="76"/>
  <c r="W24" i="76"/>
  <c r="W8" i="76"/>
  <c r="W46" i="76"/>
  <c r="W21" i="76"/>
  <c r="W72" i="76"/>
  <c r="W32" i="76"/>
  <c r="W14" i="76"/>
  <c r="W74" i="76"/>
  <c r="W41" i="76"/>
  <c r="W58" i="76"/>
  <c r="W67" i="76"/>
  <c r="W73" i="76"/>
  <c r="W40" i="76"/>
  <c r="W36" i="76"/>
  <c r="W29" i="76"/>
  <c r="W28" i="76"/>
  <c r="AI70" i="76"/>
  <c r="AI54" i="76"/>
  <c r="AI38" i="76"/>
  <c r="AI65" i="76"/>
  <c r="AI64" i="76"/>
  <c r="AI45" i="76"/>
  <c r="AI25" i="76"/>
  <c r="AI9" i="76"/>
  <c r="AI52" i="76"/>
  <c r="AI33" i="76"/>
  <c r="AI16" i="76"/>
  <c r="AI60" i="76"/>
  <c r="AI37" i="76"/>
  <c r="AI10" i="76"/>
  <c r="AI23" i="76"/>
  <c r="AI14" i="76"/>
  <c r="AI27" i="76"/>
  <c r="AI66" i="76"/>
  <c r="AI34" i="76"/>
  <c r="AI61" i="76"/>
  <c r="AI35" i="76"/>
  <c r="AI21" i="76"/>
  <c r="AI49" i="76"/>
  <c r="AI12" i="76"/>
  <c r="AI47" i="76"/>
  <c r="AI67" i="76"/>
  <c r="AI59" i="76"/>
  <c r="AI42" i="76"/>
  <c r="AI72" i="76"/>
  <c r="AI13" i="76"/>
  <c r="AI20" i="76"/>
  <c r="AI30" i="76"/>
  <c r="AI22" i="76"/>
  <c r="AI50" i="76"/>
  <c r="AI56" i="76"/>
  <c r="AI71" i="76"/>
  <c r="AI28" i="76"/>
  <c r="AI53" i="76"/>
  <c r="AI75" i="76"/>
  <c r="AI7" i="76"/>
  <c r="AI58" i="76"/>
  <c r="AI48" i="76"/>
  <c r="AI55" i="76"/>
  <c r="AI40" i="76"/>
  <c r="AI19" i="76"/>
  <c r="AI62" i="76"/>
  <c r="AI46" i="76"/>
  <c r="AI73" i="76"/>
  <c r="AI57" i="76"/>
  <c r="AI51" i="76"/>
  <c r="AI32" i="76"/>
  <c r="AI17" i="76"/>
  <c r="AI63" i="76"/>
  <c r="AI39" i="76"/>
  <c r="AI24" i="76"/>
  <c r="AI8" i="76"/>
  <c r="AI43" i="76"/>
  <c r="AI26" i="76"/>
  <c r="AI44" i="76"/>
  <c r="AI41" i="76"/>
  <c r="AI15" i="76"/>
  <c r="AI31" i="76"/>
  <c r="AI74" i="76"/>
  <c r="AI69" i="76"/>
  <c r="AI29" i="76"/>
  <c r="AI36" i="76"/>
  <c r="AI68" i="76"/>
  <c r="AI18" i="76"/>
  <c r="AI11" i="76"/>
  <c r="AZ76" i="76"/>
  <c r="AZ77" i="76" s="1"/>
  <c r="AJ76" i="76"/>
  <c r="AJ77" i="76" s="1"/>
  <c r="AY76" i="76"/>
  <c r="AY77" i="76" s="1"/>
  <c r="O76" i="76"/>
  <c r="O77" i="76" s="1"/>
  <c r="X68" i="76"/>
  <c r="X52" i="76"/>
  <c r="X36" i="76"/>
  <c r="X74" i="76"/>
  <c r="X58" i="76"/>
  <c r="X42" i="76"/>
  <c r="X45" i="76"/>
  <c r="X21" i="76"/>
  <c r="X71" i="76"/>
  <c r="X39" i="76"/>
  <c r="X18" i="76"/>
  <c r="X65" i="76"/>
  <c r="X38" i="76"/>
  <c r="X19" i="76"/>
  <c r="X75" i="76"/>
  <c r="X16" i="76"/>
  <c r="X34" i="76"/>
  <c r="X64" i="76"/>
  <c r="X48" i="76"/>
  <c r="X32" i="76"/>
  <c r="X70" i="76"/>
  <c r="X54" i="76"/>
  <c r="X69" i="76"/>
  <c r="X33" i="76"/>
  <c r="X17" i="76"/>
  <c r="X63" i="76"/>
  <c r="X29" i="76"/>
  <c r="X14" i="76"/>
  <c r="X57" i="76"/>
  <c r="X35" i="76"/>
  <c r="X15" i="76"/>
  <c r="X43" i="76"/>
  <c r="X59" i="76"/>
  <c r="X31" i="76"/>
  <c r="X60" i="76"/>
  <c r="X28" i="76"/>
  <c r="X50" i="76"/>
  <c r="X30" i="76"/>
  <c r="X55" i="76"/>
  <c r="X10" i="76"/>
  <c r="X25" i="76"/>
  <c r="X12" i="76"/>
  <c r="X8" i="76"/>
  <c r="X56" i="76"/>
  <c r="X24" i="76"/>
  <c r="X46" i="76"/>
  <c r="X27" i="76"/>
  <c r="X47" i="76"/>
  <c r="X73" i="76"/>
  <c r="X22" i="76"/>
  <c r="X51" i="76"/>
  <c r="X37" i="76"/>
  <c r="X44" i="76"/>
  <c r="X66" i="76"/>
  <c r="X61" i="76"/>
  <c r="X13" i="76"/>
  <c r="X26" i="76"/>
  <c r="X49" i="76"/>
  <c r="X11" i="76"/>
  <c r="X20" i="76"/>
  <c r="X53" i="76"/>
  <c r="X7" i="76"/>
  <c r="X72" i="76"/>
  <c r="X9" i="76"/>
  <c r="X67" i="76"/>
  <c r="X40" i="76"/>
  <c r="X23" i="76"/>
  <c r="X62" i="76"/>
  <c r="X41" i="76"/>
  <c r="T11" i="30"/>
  <c r="Y76" i="76"/>
  <c r="Y77" i="76" s="1"/>
  <c r="I76" i="76"/>
  <c r="I77" i="76" s="1"/>
  <c r="H76" i="76"/>
  <c r="H77" i="76" s="1"/>
  <c r="AL76" i="76"/>
  <c r="AL77" i="76" s="1"/>
  <c r="N76" i="76"/>
  <c r="N77" i="76" s="1"/>
  <c r="AX76" i="76"/>
  <c r="AX77" i="76" s="1"/>
  <c r="BH76" i="76"/>
  <c r="BH77" i="76" s="1"/>
  <c r="BC73" i="76"/>
  <c r="BC70" i="76"/>
  <c r="BC67" i="76"/>
  <c r="BC64" i="76"/>
  <c r="BC57" i="76"/>
  <c r="BC54" i="76"/>
  <c r="BC51" i="76"/>
  <c r="BC48" i="76"/>
  <c r="BC75" i="76"/>
  <c r="BC74" i="76"/>
  <c r="BC71" i="76"/>
  <c r="BC68" i="76"/>
  <c r="BC61" i="76"/>
  <c r="BC58" i="76"/>
  <c r="BC55" i="76"/>
  <c r="BC52" i="76"/>
  <c r="BC45" i="76"/>
  <c r="BC72" i="76"/>
  <c r="BC65" i="76"/>
  <c r="BC62" i="76"/>
  <c r="BC59" i="76"/>
  <c r="BC56" i="76"/>
  <c r="BC49" i="76"/>
  <c r="BC46" i="76"/>
  <c r="BC63" i="76"/>
  <c r="BC44" i="76"/>
  <c r="BC40" i="76"/>
  <c r="BC36" i="76"/>
  <c r="BC34" i="76"/>
  <c r="BC33" i="76"/>
  <c r="BC32" i="76"/>
  <c r="BC31" i="76"/>
  <c r="BC30" i="76"/>
  <c r="BC29" i="76"/>
  <c r="BC28" i="76"/>
  <c r="BC27" i="76"/>
  <c r="BC26" i="76"/>
  <c r="BC25" i="76"/>
  <c r="BC24" i="76"/>
  <c r="BC23" i="76"/>
  <c r="BC22" i="76"/>
  <c r="BC21" i="76"/>
  <c r="BC20" i="76"/>
  <c r="BC19" i="76"/>
  <c r="BC18" i="76"/>
  <c r="BC17" i="76"/>
  <c r="BC16" i="76"/>
  <c r="BC15" i="76"/>
  <c r="BC14" i="76"/>
  <c r="BC60" i="76"/>
  <c r="BC53" i="76"/>
  <c r="BC41" i="76"/>
  <c r="BC37" i="76"/>
  <c r="BC69" i="76"/>
  <c r="BC50" i="76"/>
  <c r="BC42" i="76"/>
  <c r="BC38" i="76"/>
  <c r="BC66" i="76"/>
  <c r="BC47" i="76"/>
  <c r="BC35" i="76"/>
  <c r="BC39" i="76"/>
  <c r="BC43" i="76"/>
  <c r="BC13" i="76"/>
  <c r="BC12" i="76"/>
  <c r="BC11" i="76"/>
  <c r="BC10" i="76"/>
  <c r="BC9" i="76"/>
  <c r="BC8" i="76"/>
  <c r="BC7" i="76"/>
  <c r="BB71" i="76"/>
  <c r="BB60" i="76"/>
  <c r="BB44" i="76"/>
  <c r="BB43" i="76"/>
  <c r="BB42" i="76"/>
  <c r="BB41" i="76"/>
  <c r="BB40" i="76"/>
  <c r="BB39" i="76"/>
  <c r="BB38" i="76"/>
  <c r="BB37" i="76"/>
  <c r="BB36" i="76"/>
  <c r="BB35" i="76"/>
  <c r="BB64" i="76"/>
  <c r="BB48" i="76"/>
  <c r="BB75" i="76"/>
  <c r="BB68" i="76"/>
  <c r="BB52" i="76"/>
  <c r="BB56" i="76"/>
  <c r="BB72" i="76"/>
  <c r="BB34" i="76"/>
  <c r="BB33" i="76"/>
  <c r="BB32" i="76"/>
  <c r="BB31" i="76"/>
  <c r="BB30" i="76"/>
  <c r="BB29" i="76"/>
  <c r="BB28" i="76"/>
  <c r="BB27" i="76"/>
  <c r="BB26" i="76"/>
  <c r="BB25" i="76"/>
  <c r="BB24" i="76"/>
  <c r="BB23" i="76"/>
  <c r="BB22" i="76"/>
  <c r="BB21" i="76"/>
  <c r="BB20" i="76"/>
  <c r="BB19" i="76"/>
  <c r="BB18" i="76"/>
  <c r="BB17" i="76"/>
  <c r="BB16" i="76"/>
  <c r="BB15" i="76"/>
  <c r="BB14" i="76"/>
  <c r="BB13" i="76"/>
  <c r="BB7" i="76"/>
  <c r="BB12" i="76"/>
  <c r="BB11" i="76"/>
  <c r="BB10" i="76"/>
  <c r="BB9" i="76"/>
  <c r="BB8" i="76"/>
  <c r="BB45" i="76"/>
  <c r="BB61" i="76"/>
  <c r="BB46" i="76"/>
  <c r="BB62" i="76"/>
  <c r="BB51" i="76"/>
  <c r="BB67" i="76"/>
  <c r="BB65" i="76"/>
  <c r="BB57" i="76"/>
  <c r="BB73" i="76"/>
  <c r="BB58" i="76"/>
  <c r="BB74" i="76"/>
  <c r="BB47" i="76"/>
  <c r="BB63" i="76"/>
  <c r="BB49" i="76"/>
  <c r="BB50" i="76"/>
  <c r="BB66" i="76"/>
  <c r="BB55" i="76"/>
  <c r="BB53" i="76"/>
  <c r="BB69" i="76"/>
  <c r="BB54" i="76"/>
  <c r="BB70" i="76"/>
  <c r="BB59" i="76"/>
  <c r="BF76" i="76"/>
  <c r="BF77" i="76" s="1"/>
  <c r="T76" i="76"/>
  <c r="T77" i="76" s="1"/>
  <c r="BD76" i="76"/>
  <c r="BD77" i="76" s="1"/>
  <c r="T27" i="30"/>
  <c r="BE43" i="76"/>
  <c r="BE42" i="76"/>
  <c r="BE41" i="76"/>
  <c r="BE40" i="76"/>
  <c r="BE39" i="76"/>
  <c r="BE38" i="76"/>
  <c r="BE37" i="76"/>
  <c r="BE36" i="76"/>
  <c r="BE35" i="76"/>
  <c r="BE34" i="76"/>
  <c r="BE33" i="76"/>
  <c r="BE32" i="76"/>
  <c r="BE31" i="76"/>
  <c r="BE30" i="76"/>
  <c r="BE29" i="76"/>
  <c r="BE28" i="76"/>
  <c r="BE27" i="76"/>
  <c r="BE26" i="76"/>
  <c r="BE25" i="76"/>
  <c r="BE24" i="76"/>
  <c r="BE23" i="76"/>
  <c r="BE22" i="76"/>
  <c r="BE21" i="76"/>
  <c r="BE20" i="76"/>
  <c r="BE19" i="76"/>
  <c r="BE18" i="76"/>
  <c r="BE17" i="76"/>
  <c r="BE16" i="76"/>
  <c r="BE15" i="76"/>
  <c r="BE14" i="76"/>
  <c r="BE75" i="76"/>
  <c r="BE13" i="76"/>
  <c r="BE12" i="76"/>
  <c r="BE11" i="76"/>
  <c r="BE10" i="76"/>
  <c r="BE9" i="76"/>
  <c r="BE8" i="76"/>
  <c r="BE7" i="76"/>
  <c r="BE70" i="76"/>
  <c r="BE66" i="76"/>
  <c r="BE62" i="76"/>
  <c r="BE58" i="76"/>
  <c r="BE54" i="76"/>
  <c r="BE50" i="76"/>
  <c r="BE46" i="76"/>
  <c r="BE74" i="76"/>
  <c r="BE53" i="76"/>
  <c r="BE45" i="76"/>
  <c r="BE68" i="76"/>
  <c r="BE60" i="76"/>
  <c r="BE52" i="76"/>
  <c r="BE67" i="76"/>
  <c r="BE59" i="76"/>
  <c r="BE47" i="76"/>
  <c r="BE69" i="76"/>
  <c r="BE65" i="76"/>
  <c r="BE61" i="76"/>
  <c r="BE57" i="76"/>
  <c r="BE49" i="76"/>
  <c r="BE72" i="76"/>
  <c r="BE64" i="76"/>
  <c r="BE56" i="76"/>
  <c r="BE48" i="76"/>
  <c r="BE44" i="76"/>
  <c r="BE71" i="76"/>
  <c r="BE63" i="76"/>
  <c r="BE55" i="76"/>
  <c r="BE51" i="76"/>
  <c r="BE73" i="76"/>
  <c r="AU75" i="76"/>
  <c r="AU67" i="76"/>
  <c r="AU59" i="76"/>
  <c r="AU51" i="76"/>
  <c r="AU43" i="76"/>
  <c r="AU35" i="76"/>
  <c r="AU27" i="76"/>
  <c r="AU19" i="76"/>
  <c r="AU11" i="76"/>
  <c r="AU70" i="76"/>
  <c r="AU54" i="76"/>
  <c r="AU38" i="76"/>
  <c r="AU22" i="76"/>
  <c r="AU72" i="76"/>
  <c r="AU56" i="76"/>
  <c r="AU40" i="76"/>
  <c r="AU24" i="76"/>
  <c r="AU8" i="76"/>
  <c r="AU73" i="76"/>
  <c r="AU65" i="76"/>
  <c r="AU57" i="76"/>
  <c r="AU49" i="76"/>
  <c r="AU41" i="76"/>
  <c r="AU33" i="76"/>
  <c r="AU25" i="76"/>
  <c r="AU17" i="76"/>
  <c r="AU9" i="76"/>
  <c r="AU66" i="76"/>
  <c r="AU50" i="76"/>
  <c r="AU34" i="76"/>
  <c r="AU18" i="76"/>
  <c r="AU68" i="76"/>
  <c r="AU52" i="76"/>
  <c r="AU36" i="76"/>
  <c r="AU20" i="76"/>
  <c r="AU61" i="76"/>
  <c r="AU45" i="76"/>
  <c r="AU29" i="76"/>
  <c r="AU13" i="76"/>
  <c r="AU58" i="76"/>
  <c r="AU26" i="76"/>
  <c r="AU60" i="76"/>
  <c r="AU28" i="76"/>
  <c r="AU31" i="76"/>
  <c r="AU62" i="76"/>
  <c r="AU30" i="76"/>
  <c r="AU32" i="76"/>
  <c r="AU71" i="76"/>
  <c r="AU55" i="76"/>
  <c r="AU39" i="76"/>
  <c r="AU23" i="76"/>
  <c r="AU7" i="76"/>
  <c r="AU46" i="76"/>
  <c r="AU14" i="76"/>
  <c r="AU48" i="76"/>
  <c r="AU16" i="76"/>
  <c r="AU69" i="76"/>
  <c r="AU53" i="76"/>
  <c r="AU37" i="76"/>
  <c r="AU21" i="76"/>
  <c r="AU74" i="76"/>
  <c r="AU42" i="76"/>
  <c r="AU10" i="76"/>
  <c r="AU44" i="76"/>
  <c r="AU12" i="76"/>
  <c r="AU63" i="76"/>
  <c r="AU47" i="76"/>
  <c r="AU15" i="76"/>
  <c r="AU64" i="76"/>
  <c r="AV4" i="76"/>
  <c r="BI4" i="76" s="1"/>
  <c r="AB76" i="76"/>
  <c r="AB77" i="76" s="1"/>
  <c r="AK76" i="76"/>
  <c r="AK77" i="76" s="1"/>
  <c r="AW76" i="76"/>
  <c r="AW77" i="76" s="1"/>
  <c r="V76" i="76"/>
  <c r="V77" i="76" s="1"/>
  <c r="P76" i="76"/>
  <c r="P77" i="76" s="1"/>
  <c r="T13" i="17"/>
  <c r="BA44" i="76"/>
  <c r="BA43" i="76"/>
  <c r="BA42" i="76"/>
  <c r="BA41" i="76"/>
  <c r="BA40" i="76"/>
  <c r="BA39" i="76"/>
  <c r="BA38" i="76"/>
  <c r="BA37" i="76"/>
  <c r="BA36" i="76"/>
  <c r="BA35" i="76"/>
  <c r="BA75" i="76"/>
  <c r="BA34" i="76"/>
  <c r="BA33" i="76"/>
  <c r="BA32" i="76"/>
  <c r="BA31" i="76"/>
  <c r="BA30" i="76"/>
  <c r="BA29" i="76"/>
  <c r="BA28" i="76"/>
  <c r="BA27" i="76"/>
  <c r="BA26" i="76"/>
  <c r="BA25" i="76"/>
  <c r="BA24" i="76"/>
  <c r="BA23" i="76"/>
  <c r="BA22" i="76"/>
  <c r="BA21" i="76"/>
  <c r="BA20" i="76"/>
  <c r="BA19" i="76"/>
  <c r="BA18" i="76"/>
  <c r="BA17" i="76"/>
  <c r="BA16" i="76"/>
  <c r="BA15" i="76"/>
  <c r="BA14" i="76"/>
  <c r="BA13" i="76"/>
  <c r="BA12" i="76"/>
  <c r="BA11" i="76"/>
  <c r="BA10" i="76"/>
  <c r="BA9" i="76"/>
  <c r="BA8" i="76"/>
  <c r="BA7" i="76"/>
  <c r="BA72" i="76"/>
  <c r="BA68" i="76"/>
  <c r="BA64" i="76"/>
  <c r="BA60" i="76"/>
  <c r="BA56" i="76"/>
  <c r="BA52" i="76"/>
  <c r="BA48" i="76"/>
  <c r="BA73" i="76"/>
  <c r="BA66" i="76"/>
  <c r="BA58" i="76"/>
  <c r="BA46" i="76"/>
  <c r="BA69" i="76"/>
  <c r="BA57" i="76"/>
  <c r="BA49" i="76"/>
  <c r="BA71" i="76"/>
  <c r="BA67" i="76"/>
  <c r="BA63" i="76"/>
  <c r="BA59" i="76"/>
  <c r="BA55" i="76"/>
  <c r="BA51" i="76"/>
  <c r="BA47" i="76"/>
  <c r="BA74" i="76"/>
  <c r="BA70" i="76"/>
  <c r="BA62" i="76"/>
  <c r="BA54" i="76"/>
  <c r="BA50" i="76"/>
  <c r="BA65" i="76"/>
  <c r="BA61" i="76"/>
  <c r="BA53" i="76"/>
  <c r="BA45" i="76"/>
  <c r="U76" i="76"/>
  <c r="U77" i="76" s="1"/>
  <c r="AA76" i="76"/>
  <c r="AA77" i="76" s="1"/>
  <c r="L76" i="76"/>
  <c r="L77" i="76" s="1"/>
  <c r="AG76" i="76"/>
  <c r="AG77" i="76" s="1"/>
  <c r="AT76" i="76"/>
  <c r="AT77" i="76" s="1"/>
  <c r="G76" i="76"/>
  <c r="G77" i="76" s="1"/>
  <c r="K76" i="76"/>
  <c r="K77" i="76" s="1"/>
  <c r="H9" i="16"/>
  <c r="R77" i="26"/>
  <c r="P77" i="26"/>
  <c r="Q77" i="26" s="1"/>
  <c r="AA19" i="29"/>
  <c r="O76" i="12"/>
  <c r="O33" i="73"/>
  <c r="Y33" i="73"/>
  <c r="J33" i="73"/>
  <c r="T33" i="73"/>
  <c r="AD33" i="73"/>
  <c r="F33" i="73"/>
  <c r="J74" i="73"/>
  <c r="T74" i="73"/>
  <c r="Y74" i="73"/>
  <c r="AD74" i="73"/>
  <c r="O74" i="73"/>
  <c r="F74" i="73"/>
  <c r="O7" i="73"/>
  <c r="T7" i="73"/>
  <c r="J7" i="73"/>
  <c r="AD7" i="73"/>
  <c r="Y7" i="73"/>
  <c r="F7" i="73"/>
  <c r="T31" i="73"/>
  <c r="AD31" i="73"/>
  <c r="J31" i="73"/>
  <c r="O31" i="73"/>
  <c r="F31" i="73"/>
  <c r="J71" i="73"/>
  <c r="T71" i="73"/>
  <c r="F71" i="73"/>
  <c r="AD71" i="73"/>
  <c r="O71" i="73"/>
  <c r="F67" i="73"/>
  <c r="Y67" i="73"/>
  <c r="J67" i="73"/>
  <c r="O67" i="73"/>
  <c r="T67" i="73"/>
  <c r="AD67" i="73"/>
  <c r="J39" i="73"/>
  <c r="O39" i="73"/>
  <c r="T39" i="73"/>
  <c r="AD39" i="73"/>
  <c r="F39" i="73"/>
  <c r="T59" i="73"/>
  <c r="AD59" i="73"/>
  <c r="O59" i="73"/>
  <c r="Y59" i="73"/>
  <c r="F59" i="73"/>
  <c r="J59" i="73"/>
  <c r="F40" i="73"/>
  <c r="AD40" i="73"/>
  <c r="Y40" i="73"/>
  <c r="O40" i="73"/>
  <c r="T40" i="73"/>
  <c r="AD69" i="73"/>
  <c r="J69" i="73"/>
  <c r="T69" i="73"/>
  <c r="F69" i="73"/>
  <c r="Y69" i="73"/>
  <c r="Y61" i="73"/>
  <c r="T61" i="73"/>
  <c r="F61" i="73"/>
  <c r="J61" i="73"/>
  <c r="AD61" i="73"/>
  <c r="O61" i="73"/>
  <c r="F11" i="73"/>
  <c r="T11" i="73"/>
  <c r="AD11" i="73"/>
  <c r="Y11" i="73"/>
  <c r="J11" i="73"/>
  <c r="O11" i="73"/>
  <c r="Y39" i="73"/>
  <c r="Y20" i="73"/>
  <c r="T20" i="73"/>
  <c r="AD20" i="73"/>
  <c r="O20" i="73"/>
  <c r="F20" i="73"/>
  <c r="AD17" i="73"/>
  <c r="J17" i="73"/>
  <c r="F17" i="73"/>
  <c r="Y17" i="73"/>
  <c r="T17" i="73"/>
  <c r="T48" i="73"/>
  <c r="O48" i="73"/>
  <c r="F48" i="73"/>
  <c r="AD48" i="73"/>
  <c r="J48" i="73"/>
  <c r="Y48" i="73"/>
  <c r="Y21" i="73"/>
  <c r="J21" i="73"/>
  <c r="F21" i="73"/>
  <c r="T21" i="73"/>
  <c r="O21" i="73"/>
  <c r="AD21" i="73"/>
  <c r="F29" i="73"/>
  <c r="Y29" i="73"/>
  <c r="J29" i="73"/>
  <c r="T29" i="73"/>
  <c r="AD29" i="73"/>
  <c r="J20" i="73"/>
  <c r="Y49" i="73"/>
  <c r="J49" i="73"/>
  <c r="T49" i="73"/>
  <c r="F49" i="73"/>
  <c r="AD49" i="73"/>
  <c r="O49" i="73"/>
  <c r="T45" i="73"/>
  <c r="AD45" i="73"/>
  <c r="J45" i="73"/>
  <c r="F45" i="73"/>
  <c r="Y45" i="73"/>
  <c r="Y41" i="73"/>
  <c r="T41" i="73"/>
  <c r="AD41" i="73"/>
  <c r="O41" i="73"/>
  <c r="F41" i="73"/>
  <c r="J41" i="73"/>
  <c r="Y57" i="73"/>
  <c r="T57" i="73"/>
  <c r="J57" i="73"/>
  <c r="F57" i="73"/>
  <c r="O57" i="73"/>
  <c r="AD57" i="73"/>
  <c r="T72" i="73"/>
  <c r="J72" i="73"/>
  <c r="Y72" i="73"/>
  <c r="O72" i="73"/>
  <c r="F72" i="73"/>
  <c r="AD72" i="73"/>
  <c r="O17" i="73"/>
  <c r="H20" i="67"/>
  <c r="J20" i="67" s="1"/>
  <c r="S20" i="12" s="1"/>
  <c r="T20" i="12" s="1"/>
  <c r="H17" i="67"/>
  <c r="J17" i="67" s="1"/>
  <c r="S17" i="12" s="1"/>
  <c r="T17" i="12" s="1"/>
  <c r="H16" i="67"/>
  <c r="J16" i="67" s="1"/>
  <c r="S16" i="12" s="1"/>
  <c r="T16" i="12" s="1"/>
  <c r="H57" i="67"/>
  <c r="J57" i="67" s="1"/>
  <c r="S57" i="12" s="1"/>
  <c r="T57" i="12" s="1"/>
  <c r="H62" i="67"/>
  <c r="J62" i="67" s="1"/>
  <c r="S62" i="12" s="1"/>
  <c r="T62" i="12" s="1"/>
  <c r="H38" i="67"/>
  <c r="J38" i="67" s="1"/>
  <c r="S38" i="12" s="1"/>
  <c r="T38" i="12" s="1"/>
  <c r="Z38" i="12" s="1"/>
  <c r="H68" i="67"/>
  <c r="J68" i="67" s="1"/>
  <c r="S68" i="12" s="1"/>
  <c r="T68" i="12" s="1"/>
  <c r="H61" i="67"/>
  <c r="J61" i="67" s="1"/>
  <c r="S61" i="12" s="1"/>
  <c r="T61" i="12" s="1"/>
  <c r="H14" i="67"/>
  <c r="J14" i="67" s="1"/>
  <c r="S14" i="12" s="1"/>
  <c r="T14" i="12" s="1"/>
  <c r="H58" i="67"/>
  <c r="J58" i="67" s="1"/>
  <c r="S58" i="12" s="1"/>
  <c r="T58" i="12" s="1"/>
  <c r="H43" i="67"/>
  <c r="J43" i="67" s="1"/>
  <c r="S43" i="12" s="1"/>
  <c r="T43" i="12" s="1"/>
  <c r="H36" i="67"/>
  <c r="J36" i="67" s="1"/>
  <c r="S36" i="12" s="1"/>
  <c r="T36" i="12" s="1"/>
  <c r="H26" i="67"/>
  <c r="J26" i="67" s="1"/>
  <c r="S26" i="12" s="1"/>
  <c r="H47" i="67"/>
  <c r="J47" i="67" s="1"/>
  <c r="S47" i="12" s="1"/>
  <c r="T47" i="12" s="1"/>
  <c r="H60" i="67"/>
  <c r="J60" i="67" s="1"/>
  <c r="S60" i="12" s="1"/>
  <c r="T60" i="12" s="1"/>
  <c r="H52" i="67"/>
  <c r="J52" i="67" s="1"/>
  <c r="S52" i="12" s="1"/>
  <c r="T52" i="12" s="1"/>
  <c r="H53" i="67"/>
  <c r="J53" i="67" s="1"/>
  <c r="S53" i="12" s="1"/>
  <c r="T53" i="12" s="1"/>
  <c r="H49" i="67"/>
  <c r="J49" i="67" s="1"/>
  <c r="S49" i="12" s="1"/>
  <c r="T49" i="12" s="1"/>
  <c r="H37" i="67"/>
  <c r="J37" i="67" s="1"/>
  <c r="S37" i="12" s="1"/>
  <c r="T37" i="12" s="1"/>
  <c r="H9" i="67"/>
  <c r="J9" i="67" s="1"/>
  <c r="S9" i="12" s="1"/>
  <c r="T9" i="12" s="1"/>
  <c r="W9" i="12" s="1"/>
  <c r="H73" i="67"/>
  <c r="J73" i="67" s="1"/>
  <c r="S73" i="12" s="1"/>
  <c r="H27" i="67"/>
  <c r="J27" i="67" s="1"/>
  <c r="S27" i="12" s="1"/>
  <c r="T27" i="12" s="1"/>
  <c r="H22" i="67"/>
  <c r="J22" i="67" s="1"/>
  <c r="S22" i="12" s="1"/>
  <c r="T22" i="12" s="1"/>
  <c r="H34" i="67"/>
  <c r="J34" i="67" s="1"/>
  <c r="S34" i="12" s="1"/>
  <c r="T34" i="12" s="1"/>
  <c r="U34" i="12" s="1"/>
  <c r="H48" i="67"/>
  <c r="J48" i="67" s="1"/>
  <c r="S48" i="12" s="1"/>
  <c r="T48" i="12" s="1"/>
  <c r="H45" i="67"/>
  <c r="J45" i="67" s="1"/>
  <c r="S45" i="12" s="1"/>
  <c r="T45" i="12" s="1"/>
  <c r="H35" i="67"/>
  <c r="J35" i="67" s="1"/>
  <c r="S35" i="12" s="1"/>
  <c r="T35" i="12" s="1"/>
  <c r="H32" i="67"/>
  <c r="J32" i="67" s="1"/>
  <c r="S32" i="12" s="1"/>
  <c r="T32" i="12" s="1"/>
  <c r="H72" i="67"/>
  <c r="J72" i="67" s="1"/>
  <c r="S72" i="12" s="1"/>
  <c r="T72" i="12" s="1"/>
  <c r="H19" i="67"/>
  <c r="J19" i="67" s="1"/>
  <c r="S19" i="12" s="1"/>
  <c r="T19" i="12" s="1"/>
  <c r="U19" i="12" s="1"/>
  <c r="H40" i="67"/>
  <c r="J40" i="67" s="1"/>
  <c r="S40" i="12" s="1"/>
  <c r="T40" i="12" s="1"/>
  <c r="H12" i="67"/>
  <c r="J12" i="67" s="1"/>
  <c r="S12" i="12" s="1"/>
  <c r="H74" i="67"/>
  <c r="J74" i="67" s="1"/>
  <c r="S74" i="12" s="1"/>
  <c r="T74" i="12" s="1"/>
  <c r="H15" i="67"/>
  <c r="J15" i="67" s="1"/>
  <c r="S15" i="12" s="1"/>
  <c r="T15" i="12" s="1"/>
  <c r="H46" i="67"/>
  <c r="J46" i="67" s="1"/>
  <c r="S46" i="12" s="1"/>
  <c r="T46" i="12" s="1"/>
  <c r="H63" i="67"/>
  <c r="J63" i="67" s="1"/>
  <c r="S63" i="12" s="1"/>
  <c r="H21" i="67"/>
  <c r="J21" i="67" s="1"/>
  <c r="S21" i="12" s="1"/>
  <c r="T21" i="12" s="1"/>
  <c r="H18" i="67"/>
  <c r="J18" i="67" s="1"/>
  <c r="S18" i="12" s="1"/>
  <c r="T18" i="12" s="1"/>
  <c r="H30" i="67"/>
  <c r="J30" i="67" s="1"/>
  <c r="S30" i="12" s="1"/>
  <c r="T30" i="12" s="1"/>
  <c r="H56" i="67"/>
  <c r="J56" i="67" s="1"/>
  <c r="S56" i="12" s="1"/>
  <c r="T56" i="12" s="1"/>
  <c r="H55" i="67"/>
  <c r="J55" i="67" s="1"/>
  <c r="S55" i="12" s="1"/>
  <c r="T55" i="12" s="1"/>
  <c r="H28" i="67"/>
  <c r="J28" i="67" s="1"/>
  <c r="S28" i="12" s="1"/>
  <c r="T28" i="12" s="1"/>
  <c r="H13" i="67"/>
  <c r="J13" i="67" s="1"/>
  <c r="S13" i="12" s="1"/>
  <c r="T13" i="12" s="1"/>
  <c r="H59" i="67"/>
  <c r="J59" i="67" s="1"/>
  <c r="S59" i="12" s="1"/>
  <c r="T59" i="12" s="1"/>
  <c r="H29" i="67"/>
  <c r="J29" i="67" s="1"/>
  <c r="S29" i="12" s="1"/>
  <c r="T29" i="12" s="1"/>
  <c r="H69" i="67"/>
  <c r="J69" i="67" s="1"/>
  <c r="S69" i="12" s="1"/>
  <c r="T69" i="12" s="1"/>
  <c r="H33" i="67"/>
  <c r="J33" i="67" s="1"/>
  <c r="S33" i="12" s="1"/>
  <c r="T33" i="12" s="1"/>
  <c r="H23" i="67"/>
  <c r="J23" i="67" s="1"/>
  <c r="S23" i="12" s="1"/>
  <c r="T23" i="12" s="1"/>
  <c r="H51" i="67"/>
  <c r="J51" i="67" s="1"/>
  <c r="S51" i="12" s="1"/>
  <c r="T51" i="12" s="1"/>
  <c r="H67" i="67"/>
  <c r="J67" i="67" s="1"/>
  <c r="S67" i="12" s="1"/>
  <c r="T67" i="12" s="1"/>
  <c r="H66" i="67"/>
  <c r="J66" i="67" s="1"/>
  <c r="S66" i="12" s="1"/>
  <c r="T66" i="12" s="1"/>
  <c r="H7" i="67"/>
  <c r="J7" i="67" s="1"/>
  <c r="H24" i="67"/>
  <c r="J24" i="67" s="1"/>
  <c r="S24" i="12" s="1"/>
  <c r="T24" i="12" s="1"/>
  <c r="H44" i="67"/>
  <c r="J44" i="67" s="1"/>
  <c r="S44" i="12" s="1"/>
  <c r="T44" i="12" s="1"/>
  <c r="H64" i="67"/>
  <c r="J64" i="67" s="1"/>
  <c r="S64" i="12" s="1"/>
  <c r="T64" i="12" s="1"/>
  <c r="H65" i="67"/>
  <c r="J65" i="67" s="1"/>
  <c r="S65" i="12" s="1"/>
  <c r="T65" i="12" s="1"/>
  <c r="X65" i="12" s="1"/>
  <c r="H71" i="67"/>
  <c r="J71" i="67" s="1"/>
  <c r="S71" i="12" s="1"/>
  <c r="T71" i="12" s="1"/>
  <c r="H42" i="67"/>
  <c r="J42" i="67" s="1"/>
  <c r="S42" i="12" s="1"/>
  <c r="T42" i="12" s="1"/>
  <c r="X42" i="12" s="1"/>
  <c r="H39" i="67"/>
  <c r="J39" i="67" s="1"/>
  <c r="S39" i="12" s="1"/>
  <c r="T39" i="12" s="1"/>
  <c r="H25" i="67"/>
  <c r="J25" i="67" s="1"/>
  <c r="S25" i="12" s="1"/>
  <c r="H50" i="67"/>
  <c r="J50" i="67" s="1"/>
  <c r="S50" i="12" s="1"/>
  <c r="T50" i="12" s="1"/>
  <c r="H54" i="67"/>
  <c r="J54" i="67" s="1"/>
  <c r="S54" i="12" s="1"/>
  <c r="T54" i="12" s="1"/>
  <c r="H41" i="67"/>
  <c r="J41" i="67" s="1"/>
  <c r="S41" i="12" s="1"/>
  <c r="T41" i="12" s="1"/>
  <c r="H11" i="67"/>
  <c r="J11" i="67" s="1"/>
  <c r="S11" i="12" s="1"/>
  <c r="T11" i="12" s="1"/>
  <c r="H10" i="67"/>
  <c r="J10" i="67" s="1"/>
  <c r="S10" i="12" s="1"/>
  <c r="T10" i="12" s="1"/>
  <c r="H70" i="67"/>
  <c r="J70" i="67" s="1"/>
  <c r="S70" i="12" s="1"/>
  <c r="T70" i="12" s="1"/>
  <c r="U70" i="12" s="1"/>
  <c r="V70" i="12" s="1"/>
  <c r="H31" i="67"/>
  <c r="J31" i="67" s="1"/>
  <c r="S31" i="12" s="1"/>
  <c r="T31" i="12" s="1"/>
  <c r="H75" i="67"/>
  <c r="J75" i="67" s="1"/>
  <c r="S75" i="12" s="1"/>
  <c r="T73" i="12"/>
  <c r="W73" i="12" s="1"/>
  <c r="F51" i="73"/>
  <c r="O51" i="73"/>
  <c r="J51" i="73"/>
  <c r="Y51" i="73"/>
  <c r="AD51" i="73"/>
  <c r="T51" i="73"/>
  <c r="AD62" i="73"/>
  <c r="J62" i="73"/>
  <c r="O62" i="73"/>
  <c r="Y62" i="73"/>
  <c r="F62" i="73"/>
  <c r="T62" i="73"/>
  <c r="T75" i="12"/>
  <c r="AA75" i="12" s="1"/>
  <c r="AH40" i="30"/>
  <c r="O15" i="73"/>
  <c r="Y15" i="73"/>
  <c r="T15" i="73"/>
  <c r="F15" i="73"/>
  <c r="AD15" i="73"/>
  <c r="AD19" i="73"/>
  <c r="Y19" i="73"/>
  <c r="F19" i="73"/>
  <c r="T19" i="73"/>
  <c r="O19" i="73"/>
  <c r="O70" i="73"/>
  <c r="AD70" i="73"/>
  <c r="T70" i="73"/>
  <c r="Y70" i="73"/>
  <c r="F70" i="73"/>
  <c r="J70" i="73"/>
  <c r="J15" i="73"/>
  <c r="O55" i="73"/>
  <c r="J55" i="73"/>
  <c r="AD55" i="73"/>
  <c r="F55" i="73"/>
  <c r="Y55" i="73"/>
  <c r="T42" i="73"/>
  <c r="Y42" i="73"/>
  <c r="O42" i="73"/>
  <c r="F42" i="73"/>
  <c r="AD42" i="73"/>
  <c r="AB22" i="12"/>
  <c r="T55" i="73"/>
  <c r="T26" i="12"/>
  <c r="U26" i="12" s="1"/>
  <c r="J26" i="73"/>
  <c r="Y26" i="73"/>
  <c r="F26" i="73"/>
  <c r="T26" i="73"/>
  <c r="O26" i="73"/>
  <c r="AD26" i="73"/>
  <c r="F22" i="73"/>
  <c r="AD22" i="73"/>
  <c r="O22" i="73"/>
  <c r="T22" i="73"/>
  <c r="Y22" i="73"/>
  <c r="J22" i="73"/>
  <c r="O34" i="73"/>
  <c r="AD34" i="73"/>
  <c r="J34" i="73"/>
  <c r="Y34" i="73"/>
  <c r="T34" i="73"/>
  <c r="F34" i="73"/>
  <c r="Y52" i="73"/>
  <c r="AD52" i="73"/>
  <c r="J52" i="73"/>
  <c r="T52" i="73"/>
  <c r="F52" i="73"/>
  <c r="Y28" i="73"/>
  <c r="J28" i="73"/>
  <c r="T28" i="73"/>
  <c r="AD28" i="73"/>
  <c r="O28" i="73"/>
  <c r="F28" i="73"/>
  <c r="AD36" i="73"/>
  <c r="T36" i="73"/>
  <c r="J36" i="73"/>
  <c r="F36" i="73"/>
  <c r="Y36" i="73"/>
  <c r="Y24" i="73"/>
  <c r="J24" i="73"/>
  <c r="AD24" i="73"/>
  <c r="O24" i="73"/>
  <c r="F24" i="73"/>
  <c r="T24" i="73"/>
  <c r="Y16" i="73"/>
  <c r="O16" i="73"/>
  <c r="AD16" i="73"/>
  <c r="J16" i="73"/>
  <c r="T16" i="73"/>
  <c r="F16" i="73"/>
  <c r="F60" i="73"/>
  <c r="AD60" i="73"/>
  <c r="T60" i="73"/>
  <c r="Y60" i="73"/>
  <c r="J60" i="73"/>
  <c r="O60" i="73"/>
  <c r="Y44" i="73"/>
  <c r="AD44" i="73"/>
  <c r="F44" i="73"/>
  <c r="T44" i="73"/>
  <c r="J44" i="73"/>
  <c r="AD68" i="73"/>
  <c r="F68" i="73"/>
  <c r="O68" i="73"/>
  <c r="Y68" i="73"/>
  <c r="J68" i="73"/>
  <c r="T68" i="73"/>
  <c r="F50" i="73"/>
  <c r="O50" i="73"/>
  <c r="J50" i="73"/>
  <c r="AD50" i="73"/>
  <c r="T50" i="73"/>
  <c r="Y50" i="73"/>
  <c r="T56" i="73"/>
  <c r="F56" i="73"/>
  <c r="O56" i="73"/>
  <c r="AD56" i="73"/>
  <c r="Y56" i="73"/>
  <c r="J56" i="73"/>
  <c r="J12" i="73"/>
  <c r="AD12" i="73"/>
  <c r="F12" i="73"/>
  <c r="T12" i="73"/>
  <c r="Y12" i="73"/>
  <c r="T32" i="73"/>
  <c r="O32" i="73"/>
  <c r="F32" i="73"/>
  <c r="AD32" i="73"/>
  <c r="Y32" i="73"/>
  <c r="J32" i="73"/>
  <c r="O30" i="73"/>
  <c r="J30" i="73"/>
  <c r="T30" i="73"/>
  <c r="AD30" i="73"/>
  <c r="F30" i="73"/>
  <c r="Y30" i="73"/>
  <c r="O52" i="73"/>
  <c r="T12" i="12"/>
  <c r="O75" i="73"/>
  <c r="T75" i="73"/>
  <c r="AD75" i="73"/>
  <c r="Y75" i="73"/>
  <c r="J75" i="73"/>
  <c r="F75" i="73"/>
  <c r="BA76" i="9"/>
  <c r="Y65" i="73"/>
  <c r="O65" i="73"/>
  <c r="T65" i="73"/>
  <c r="J65" i="73"/>
  <c r="F65" i="73"/>
  <c r="AD65" i="73"/>
  <c r="AC76" i="73"/>
  <c r="K10" i="13"/>
  <c r="AN10" i="12" s="1"/>
  <c r="AO10" i="12" s="1"/>
  <c r="J10" i="13"/>
  <c r="AJ10" i="12" s="1"/>
  <c r="AK10" i="12" s="1"/>
  <c r="K11" i="13"/>
  <c r="AN11" i="12" s="1"/>
  <c r="AO11" i="12" s="1"/>
  <c r="J11" i="13"/>
  <c r="AJ11" i="12" s="1"/>
  <c r="AK11" i="12" s="1"/>
  <c r="J21" i="13"/>
  <c r="AJ21" i="12" s="1"/>
  <c r="AK21" i="12" s="1"/>
  <c r="K21" i="13"/>
  <c r="J41" i="13"/>
  <c r="AJ41" i="12" s="1"/>
  <c r="AK41" i="12" s="1"/>
  <c r="K41" i="13"/>
  <c r="G76" i="13"/>
  <c r="J7" i="13"/>
  <c r="K7" i="13"/>
  <c r="J18" i="13"/>
  <c r="AJ18" i="12" s="1"/>
  <c r="AK18" i="12" s="1"/>
  <c r="K18" i="13"/>
  <c r="AN18" i="12" s="1"/>
  <c r="AO18" i="12" s="1"/>
  <c r="K45" i="13"/>
  <c r="J45" i="13"/>
  <c r="AJ45" i="12" s="1"/>
  <c r="AK45" i="12" s="1"/>
  <c r="J32" i="13"/>
  <c r="AJ32" i="12" s="1"/>
  <c r="AK32" i="12" s="1"/>
  <c r="K32" i="13"/>
  <c r="AN32" i="12" s="1"/>
  <c r="AO32" i="12" s="1"/>
  <c r="J35" i="13"/>
  <c r="AJ35" i="12" s="1"/>
  <c r="AK35" i="12" s="1"/>
  <c r="K35" i="13"/>
  <c r="J49" i="13"/>
  <c r="AJ49" i="12" s="1"/>
  <c r="AK49" i="12" s="1"/>
  <c r="K49" i="13"/>
  <c r="J56" i="13"/>
  <c r="AJ56" i="12" s="1"/>
  <c r="AK56" i="12" s="1"/>
  <c r="K56" i="13"/>
  <c r="AN56" i="12" s="1"/>
  <c r="AO56" i="12" s="1"/>
  <c r="K47" i="13"/>
  <c r="AN47" i="12" s="1"/>
  <c r="AO47" i="12" s="1"/>
  <c r="J47" i="13"/>
  <c r="AJ47" i="12" s="1"/>
  <c r="AK47" i="12" s="1"/>
  <c r="J63" i="13"/>
  <c r="AJ63" i="12" s="1"/>
  <c r="AK63" i="12" s="1"/>
  <c r="K63" i="13"/>
  <c r="AN63" i="12" s="1"/>
  <c r="AO63" i="12" s="1"/>
  <c r="J9" i="13"/>
  <c r="AJ9" i="12" s="1"/>
  <c r="AK9" i="12" s="1"/>
  <c r="K9" i="13"/>
  <c r="AN9" i="12" s="1"/>
  <c r="AO9" i="12" s="1"/>
  <c r="J59" i="13"/>
  <c r="AJ59" i="12" s="1"/>
  <c r="AK59" i="12" s="1"/>
  <c r="K59" i="13"/>
  <c r="AN59" i="12" s="1"/>
  <c r="AO59" i="12" s="1"/>
  <c r="J61" i="13"/>
  <c r="AJ61" i="12" s="1"/>
  <c r="AK61" i="12" s="1"/>
  <c r="K61" i="13"/>
  <c r="AN61" i="12" s="1"/>
  <c r="AO61" i="12" s="1"/>
  <c r="J51" i="13"/>
  <c r="AJ51" i="12" s="1"/>
  <c r="AK51" i="12" s="1"/>
  <c r="K51" i="13"/>
  <c r="AN51" i="12" s="1"/>
  <c r="AO51" i="12" s="1"/>
  <c r="J36" i="13"/>
  <c r="AJ36" i="12" s="1"/>
  <c r="AK36" i="12" s="1"/>
  <c r="K36" i="13"/>
  <c r="K13" i="13"/>
  <c r="J13" i="13"/>
  <c r="AJ13" i="12" s="1"/>
  <c r="AK13" i="12" s="1"/>
  <c r="K75" i="13"/>
  <c r="J75" i="13"/>
  <c r="AJ75" i="12" s="1"/>
  <c r="AK75" i="12" s="1"/>
  <c r="J16" i="13"/>
  <c r="AJ16" i="12" s="1"/>
  <c r="AK16" i="12" s="1"/>
  <c r="K16" i="13"/>
  <c r="AN16" i="12" s="1"/>
  <c r="AO16" i="12" s="1"/>
  <c r="J15" i="13"/>
  <c r="AJ15" i="12" s="1"/>
  <c r="AK15" i="12" s="1"/>
  <c r="K15" i="13"/>
  <c r="AN15" i="12" s="1"/>
  <c r="AO15" i="12" s="1"/>
  <c r="J30" i="13"/>
  <c r="AJ30" i="12" s="1"/>
  <c r="AK30" i="12" s="1"/>
  <c r="K30" i="13"/>
  <c r="AN30" i="12" s="1"/>
  <c r="AO30" i="12" s="1"/>
  <c r="K57" i="13"/>
  <c r="AN57" i="12" s="1"/>
  <c r="AO57" i="12" s="1"/>
  <c r="J57" i="13"/>
  <c r="AJ57" i="12" s="1"/>
  <c r="AK57" i="12" s="1"/>
  <c r="J8" i="13"/>
  <c r="AJ8" i="12" s="1"/>
  <c r="AK8" i="12" s="1"/>
  <c r="K8" i="13"/>
  <c r="K27" i="13"/>
  <c r="AN27" i="12" s="1"/>
  <c r="AO27" i="12" s="1"/>
  <c r="J27" i="13"/>
  <c r="AJ27" i="12" s="1"/>
  <c r="AK27" i="12" s="1"/>
  <c r="J29" i="13"/>
  <c r="AJ29" i="12" s="1"/>
  <c r="AK29" i="12" s="1"/>
  <c r="K29" i="13"/>
  <c r="AN29" i="12" s="1"/>
  <c r="AO29" i="12" s="1"/>
  <c r="J52" i="13"/>
  <c r="AJ52" i="12" s="1"/>
  <c r="AK52" i="12" s="1"/>
  <c r="K52" i="13"/>
  <c r="K73" i="13"/>
  <c r="J73" i="13"/>
  <c r="AJ73" i="12" s="1"/>
  <c r="AK73" i="12" s="1"/>
  <c r="J70" i="13"/>
  <c r="AJ70" i="12" s="1"/>
  <c r="AK70" i="12" s="1"/>
  <c r="K70" i="13"/>
  <c r="AN70" i="12" s="1"/>
  <c r="AO70" i="12" s="1"/>
  <c r="K20" i="13"/>
  <c r="J20" i="13"/>
  <c r="AJ20" i="12" s="1"/>
  <c r="AK20" i="12" s="1"/>
  <c r="J53" i="13"/>
  <c r="AJ53" i="12" s="1"/>
  <c r="AK53" i="12" s="1"/>
  <c r="K53" i="13"/>
  <c r="AN53" i="12" s="1"/>
  <c r="AO53" i="12" s="1"/>
  <c r="K54" i="13"/>
  <c r="J54" i="13"/>
  <c r="AJ54" i="12" s="1"/>
  <c r="AK54" i="12" s="1"/>
  <c r="J64" i="13"/>
  <c r="AJ64" i="12" s="1"/>
  <c r="AK64" i="12" s="1"/>
  <c r="K64" i="13"/>
  <c r="AN64" i="12" s="1"/>
  <c r="AO64" i="12" s="1"/>
  <c r="K66" i="13"/>
  <c r="AN66" i="12" s="1"/>
  <c r="AO66" i="12" s="1"/>
  <c r="J66" i="13"/>
  <c r="AJ66" i="12" s="1"/>
  <c r="AK66" i="12" s="1"/>
  <c r="K38" i="13"/>
  <c r="AN38" i="12" s="1"/>
  <c r="AO38" i="12" s="1"/>
  <c r="J38" i="13"/>
  <c r="AJ38" i="12" s="1"/>
  <c r="AK38" i="12" s="1"/>
  <c r="J69" i="13"/>
  <c r="AJ69" i="12" s="1"/>
  <c r="AK69" i="12" s="1"/>
  <c r="K69" i="13"/>
  <c r="K58" i="13"/>
  <c r="J58" i="13"/>
  <c r="AJ58" i="12" s="1"/>
  <c r="AK58" i="12" s="1"/>
  <c r="J42" i="13"/>
  <c r="AJ42" i="12" s="1"/>
  <c r="AK42" i="12" s="1"/>
  <c r="K42" i="13"/>
  <c r="K28" i="13"/>
  <c r="J28" i="13"/>
  <c r="AJ28" i="12" s="1"/>
  <c r="AK28" i="12" s="1"/>
  <c r="K67" i="13"/>
  <c r="AN67" i="12" s="1"/>
  <c r="AO67" i="12" s="1"/>
  <c r="J67" i="13"/>
  <c r="AJ67" i="12" s="1"/>
  <c r="AK67" i="12" s="1"/>
  <c r="K60" i="13"/>
  <c r="J60" i="13"/>
  <c r="AJ60" i="12" s="1"/>
  <c r="AK60" i="12" s="1"/>
  <c r="K14" i="13"/>
  <c r="J14" i="13"/>
  <c r="AJ14" i="12" s="1"/>
  <c r="AK14" i="12" s="1"/>
  <c r="J19" i="13"/>
  <c r="AJ19" i="12" s="1"/>
  <c r="AK19" i="12" s="1"/>
  <c r="K19" i="13"/>
  <c r="K46" i="13"/>
  <c r="AN46" i="12" s="1"/>
  <c r="AO46" i="12" s="1"/>
  <c r="J46" i="13"/>
  <c r="AJ46" i="12" s="1"/>
  <c r="AK46" i="12" s="1"/>
  <c r="J26" i="13"/>
  <c r="AJ26" i="12" s="1"/>
  <c r="AK26" i="12" s="1"/>
  <c r="K26" i="13"/>
  <c r="J17" i="13"/>
  <c r="AJ17" i="12" s="1"/>
  <c r="AK17" i="12" s="1"/>
  <c r="K17" i="13"/>
  <c r="AN17" i="12" s="1"/>
  <c r="AO17" i="12" s="1"/>
  <c r="J62" i="13"/>
  <c r="AJ62" i="12" s="1"/>
  <c r="AK62" i="12" s="1"/>
  <c r="K62" i="13"/>
  <c r="K23" i="13"/>
  <c r="AN23" i="12" s="1"/>
  <c r="AO23" i="12" s="1"/>
  <c r="J23" i="13"/>
  <c r="AJ23" i="12" s="1"/>
  <c r="AK23" i="12" s="1"/>
  <c r="J72" i="13"/>
  <c r="AJ72" i="12" s="1"/>
  <c r="AK72" i="12" s="1"/>
  <c r="K72" i="13"/>
  <c r="AN72" i="12" s="1"/>
  <c r="AO72" i="12" s="1"/>
  <c r="K25" i="13"/>
  <c r="AN25" i="12" s="1"/>
  <c r="AO25" i="12" s="1"/>
  <c r="J25" i="13"/>
  <c r="AJ25" i="12" s="1"/>
  <c r="AK25" i="12" s="1"/>
  <c r="R63" i="12"/>
  <c r="D63" i="73"/>
  <c r="J68" i="13"/>
  <c r="AJ68" i="12" s="1"/>
  <c r="AK68" i="12" s="1"/>
  <c r="K68" i="13"/>
  <c r="AN68" i="12" s="1"/>
  <c r="AO68" i="12" s="1"/>
  <c r="K24" i="13"/>
  <c r="AN24" i="12" s="1"/>
  <c r="AO24" i="12" s="1"/>
  <c r="J24" i="13"/>
  <c r="AJ24" i="12" s="1"/>
  <c r="AK24" i="12" s="1"/>
  <c r="K65" i="13"/>
  <c r="AN65" i="12" s="1"/>
  <c r="AO65" i="12" s="1"/>
  <c r="J65" i="13"/>
  <c r="AJ65" i="12" s="1"/>
  <c r="AK65" i="12" s="1"/>
  <c r="J48" i="13"/>
  <c r="AJ48" i="12" s="1"/>
  <c r="AK48" i="12" s="1"/>
  <c r="K48" i="13"/>
  <c r="K37" i="13"/>
  <c r="AN37" i="12" s="1"/>
  <c r="AO37" i="12" s="1"/>
  <c r="J37" i="13"/>
  <c r="AJ37" i="12" s="1"/>
  <c r="AK37" i="12" s="1"/>
  <c r="K50" i="13"/>
  <c r="AN50" i="12" s="1"/>
  <c r="AO50" i="12" s="1"/>
  <c r="J50" i="13"/>
  <c r="AJ50" i="12" s="1"/>
  <c r="AK50" i="12" s="1"/>
  <c r="K31" i="13"/>
  <c r="AN31" i="12" s="1"/>
  <c r="AO31" i="12" s="1"/>
  <c r="J31" i="13"/>
  <c r="AJ31" i="12" s="1"/>
  <c r="AK31" i="12" s="1"/>
  <c r="J44" i="13"/>
  <c r="AJ44" i="12" s="1"/>
  <c r="AK44" i="12" s="1"/>
  <c r="K44" i="13"/>
  <c r="J12" i="13"/>
  <c r="AJ12" i="12" s="1"/>
  <c r="AK12" i="12" s="1"/>
  <c r="K12" i="13"/>
  <c r="AN12" i="12" s="1"/>
  <c r="AO12" i="12" s="1"/>
  <c r="K55" i="13"/>
  <c r="J55" i="13"/>
  <c r="AJ55" i="12" s="1"/>
  <c r="AK55" i="12" s="1"/>
  <c r="K40" i="13"/>
  <c r="J40" i="13"/>
  <c r="AJ40" i="12" s="1"/>
  <c r="AK40" i="12" s="1"/>
  <c r="K71" i="13"/>
  <c r="AN71" i="12" s="1"/>
  <c r="AO71" i="12" s="1"/>
  <c r="J71" i="13"/>
  <c r="AJ71" i="12" s="1"/>
  <c r="AK71" i="12" s="1"/>
  <c r="K74" i="13"/>
  <c r="J74" i="13"/>
  <c r="AJ74" i="12" s="1"/>
  <c r="AK74" i="12" s="1"/>
  <c r="J22" i="13"/>
  <c r="AJ22" i="12" s="1"/>
  <c r="AK22" i="12" s="1"/>
  <c r="K22" i="13"/>
  <c r="AN22" i="12" s="1"/>
  <c r="AO22" i="12" s="1"/>
  <c r="K39" i="13"/>
  <c r="AN39" i="12" s="1"/>
  <c r="AO39" i="12" s="1"/>
  <c r="J39" i="13"/>
  <c r="AJ39" i="12" s="1"/>
  <c r="AK39" i="12" s="1"/>
  <c r="J33" i="13"/>
  <c r="AJ33" i="12" s="1"/>
  <c r="AK33" i="12" s="1"/>
  <c r="K33" i="13"/>
  <c r="AN33" i="12" s="1"/>
  <c r="AO33" i="12" s="1"/>
  <c r="J43" i="13"/>
  <c r="AJ43" i="12" s="1"/>
  <c r="AK43" i="12" s="1"/>
  <c r="K43" i="13"/>
  <c r="K34" i="13"/>
  <c r="AN34" i="12" s="1"/>
  <c r="AO34" i="12" s="1"/>
  <c r="J34" i="13"/>
  <c r="AJ34" i="12" s="1"/>
  <c r="AK34" i="12" s="1"/>
  <c r="Y38" i="73"/>
  <c r="T38" i="73"/>
  <c r="F38" i="73"/>
  <c r="AD38" i="73"/>
  <c r="O38" i="73"/>
  <c r="J38" i="73"/>
  <c r="AD73" i="73"/>
  <c r="Y73" i="73"/>
  <c r="J73" i="73"/>
  <c r="F73" i="73"/>
  <c r="T73" i="73"/>
  <c r="J8" i="67"/>
  <c r="S8" i="12" s="1"/>
  <c r="T8" i="12" s="1"/>
  <c r="X8" i="12" s="1"/>
  <c r="U19" i="29"/>
  <c r="S7" i="12"/>
  <c r="D25" i="73"/>
  <c r="R25" i="12"/>
  <c r="P76" i="12"/>
  <c r="O76" i="15"/>
  <c r="O141" i="15" s="1"/>
  <c r="Q42" i="15"/>
  <c r="BB76" i="9"/>
  <c r="G143" i="14"/>
  <c r="O141" i="14"/>
  <c r="L77" i="27"/>
  <c r="T10" i="17"/>
  <c r="T14" i="17" s="1"/>
  <c r="C76" i="76"/>
  <c r="C77" i="76" s="1"/>
  <c r="I17" i="29"/>
  <c r="O111" i="14"/>
  <c r="O122" i="14" s="1"/>
  <c r="AM76" i="9"/>
  <c r="D76" i="76"/>
  <c r="D77" i="76" s="1"/>
  <c r="J27" i="73" l="1"/>
  <c r="O27" i="73"/>
  <c r="T27" i="73"/>
  <c r="AD27" i="73"/>
  <c r="AA73" i="12"/>
  <c r="Y54" i="73"/>
  <c r="T54" i="73"/>
  <c r="J54" i="73"/>
  <c r="O54" i="73"/>
  <c r="F54" i="73"/>
  <c r="Z19" i="12"/>
  <c r="AC19" i="12" s="1"/>
  <c r="AW19" i="12" s="1"/>
  <c r="L19" i="25" s="1"/>
  <c r="O19" i="25" s="1"/>
  <c r="P19" i="25" s="1"/>
  <c r="BG76" i="76"/>
  <c r="BG77" i="76" s="1"/>
  <c r="BB76" i="76"/>
  <c r="BB77" i="76" s="1"/>
  <c r="X76" i="76"/>
  <c r="X77" i="76" s="1"/>
  <c r="J76" i="76"/>
  <c r="J77" i="76" s="1"/>
  <c r="BE76" i="76"/>
  <c r="BE77" i="76" s="1"/>
  <c r="W76" i="76"/>
  <c r="W77" i="76" s="1"/>
  <c r="BA76" i="76"/>
  <c r="BA77" i="76" s="1"/>
  <c r="AU76" i="76"/>
  <c r="AU77" i="76" s="1"/>
  <c r="BC76" i="76"/>
  <c r="BC77" i="76" s="1"/>
  <c r="AI76" i="76"/>
  <c r="AI77" i="76" s="1"/>
  <c r="Z9" i="12"/>
  <c r="AC9" i="12" s="1"/>
  <c r="AW9" i="12" s="1"/>
  <c r="U73" i="12"/>
  <c r="X73" i="12"/>
  <c r="Z73" i="12"/>
  <c r="AC73" i="12" s="1"/>
  <c r="C19" i="73"/>
  <c r="Z19" i="73" s="1"/>
  <c r="AB19" i="73" s="1"/>
  <c r="V19" i="12"/>
  <c r="X19" i="12"/>
  <c r="AA70" i="12"/>
  <c r="W44" i="12"/>
  <c r="AA44" i="12"/>
  <c r="U44" i="12"/>
  <c r="AA22" i="12"/>
  <c r="X22" i="12"/>
  <c r="W22" i="12"/>
  <c r="Z22" i="12"/>
  <c r="AC22" i="12" s="1"/>
  <c r="U22" i="12"/>
  <c r="C22" i="73" s="1"/>
  <c r="W41" i="12"/>
  <c r="AA41" i="12"/>
  <c r="U41" i="12"/>
  <c r="X41" i="12"/>
  <c r="Z41" i="12"/>
  <c r="AC41" i="12" s="1"/>
  <c r="W66" i="12"/>
  <c r="Z66" i="12"/>
  <c r="AC66" i="12" s="1"/>
  <c r="X66" i="12"/>
  <c r="AA66" i="12"/>
  <c r="U66" i="12"/>
  <c r="X46" i="12"/>
  <c r="W46" i="12"/>
  <c r="Z46" i="12"/>
  <c r="AC46" i="12" s="1"/>
  <c r="AA46" i="12"/>
  <c r="U46" i="12"/>
  <c r="W61" i="12"/>
  <c r="Z61" i="12"/>
  <c r="AC61" i="12" s="1"/>
  <c r="AA61" i="12"/>
  <c r="X61" i="12"/>
  <c r="U61" i="12"/>
  <c r="U54" i="12"/>
  <c r="X54" i="12"/>
  <c r="AA54" i="12"/>
  <c r="W54" i="12"/>
  <c r="Z54" i="12"/>
  <c r="AC54" i="12" s="1"/>
  <c r="Z67" i="12"/>
  <c r="AC67" i="12" s="1"/>
  <c r="W67" i="12"/>
  <c r="AA67" i="12"/>
  <c r="U67" i="12"/>
  <c r="X67" i="12"/>
  <c r="AA69" i="12"/>
  <c r="X69" i="12"/>
  <c r="W69" i="12"/>
  <c r="Z69" i="12"/>
  <c r="AC69" i="12" s="1"/>
  <c r="U69" i="12"/>
  <c r="U18" i="12"/>
  <c r="W18" i="12"/>
  <c r="Z18" i="12"/>
  <c r="AC18" i="12" s="1"/>
  <c r="AA18" i="12"/>
  <c r="X18" i="12"/>
  <c r="Z40" i="12"/>
  <c r="AC40" i="12" s="1"/>
  <c r="W40" i="12"/>
  <c r="X40" i="12"/>
  <c r="AA40" i="12"/>
  <c r="U40" i="12"/>
  <c r="W35" i="12"/>
  <c r="AA35" i="12"/>
  <c r="X35" i="12"/>
  <c r="U35" i="12"/>
  <c r="Z35" i="12"/>
  <c r="AC35" i="12" s="1"/>
  <c r="X37" i="12"/>
  <c r="AA37" i="12"/>
  <c r="W37" i="12"/>
  <c r="Z37" i="12"/>
  <c r="AC37" i="12" s="1"/>
  <c r="U37" i="12"/>
  <c r="Z43" i="12"/>
  <c r="AC43" i="12" s="1"/>
  <c r="U43" i="12"/>
  <c r="AA43" i="12"/>
  <c r="W43" i="12"/>
  <c r="X43" i="12"/>
  <c r="Z31" i="12"/>
  <c r="AC31" i="12" s="1"/>
  <c r="AA31" i="12"/>
  <c r="X31" i="12"/>
  <c r="U31" i="12"/>
  <c r="W31" i="12"/>
  <c r="AA64" i="12"/>
  <c r="Z64" i="12"/>
  <c r="AC64" i="12" s="1"/>
  <c r="W64" i="12"/>
  <c r="U64" i="12"/>
  <c r="X64" i="12"/>
  <c r="W13" i="12"/>
  <c r="Z13" i="12"/>
  <c r="AC13" i="12" s="1"/>
  <c r="X13" i="12"/>
  <c r="AA13" i="12"/>
  <c r="U13" i="12"/>
  <c r="X57" i="12"/>
  <c r="U57" i="12"/>
  <c r="AA57" i="12"/>
  <c r="W57" i="12"/>
  <c r="Z57" i="12"/>
  <c r="AC57" i="12" s="1"/>
  <c r="U9" i="12"/>
  <c r="V9" i="12" s="1"/>
  <c r="X9" i="12"/>
  <c r="W8" i="12"/>
  <c r="AA10" i="12"/>
  <c r="X10" i="12"/>
  <c r="W10" i="12"/>
  <c r="Z10" i="12"/>
  <c r="AC10" i="12" s="1"/>
  <c r="U10" i="12"/>
  <c r="Z71" i="12"/>
  <c r="AC71" i="12" s="1"/>
  <c r="U71" i="12"/>
  <c r="AA71" i="12"/>
  <c r="X71" i="12"/>
  <c r="W71" i="12"/>
  <c r="X29" i="12"/>
  <c r="Z29" i="12"/>
  <c r="AC29" i="12" s="1"/>
  <c r="AA29" i="12"/>
  <c r="W29" i="12"/>
  <c r="U29" i="12"/>
  <c r="X21" i="12"/>
  <c r="W21" i="12"/>
  <c r="Z21" i="12"/>
  <c r="AC21" i="12" s="1"/>
  <c r="AA21" i="12"/>
  <c r="U21" i="12"/>
  <c r="W74" i="12"/>
  <c r="X74" i="12"/>
  <c r="AA74" i="12"/>
  <c r="Z74" i="12"/>
  <c r="AC74" i="12" s="1"/>
  <c r="U74" i="12"/>
  <c r="AA19" i="12"/>
  <c r="W19" i="12"/>
  <c r="AD19" i="12" s="1"/>
  <c r="AE19" i="12" s="1"/>
  <c r="W45" i="12"/>
  <c r="AA45" i="12"/>
  <c r="X45" i="12"/>
  <c r="U45" i="12"/>
  <c r="Z45" i="12"/>
  <c r="AC45" i="12" s="1"/>
  <c r="U27" i="12"/>
  <c r="W27" i="12"/>
  <c r="AA27" i="12"/>
  <c r="Z27" i="12"/>
  <c r="AC27" i="12" s="1"/>
  <c r="X27" i="12"/>
  <c r="AA49" i="12"/>
  <c r="U49" i="12"/>
  <c r="Z49" i="12"/>
  <c r="AC49" i="12" s="1"/>
  <c r="W49" i="12"/>
  <c r="X49" i="12"/>
  <c r="U47" i="12"/>
  <c r="AA47" i="12"/>
  <c r="Z47" i="12"/>
  <c r="AC47" i="12" s="1"/>
  <c r="W47" i="12"/>
  <c r="X47" i="12"/>
  <c r="AA58" i="12"/>
  <c r="X58" i="12"/>
  <c r="W58" i="12"/>
  <c r="U58" i="12"/>
  <c r="Z58" i="12"/>
  <c r="AC58" i="12" s="1"/>
  <c r="AA17" i="12"/>
  <c r="W17" i="12"/>
  <c r="U17" i="12"/>
  <c r="Z17" i="12"/>
  <c r="AC17" i="12" s="1"/>
  <c r="X17" i="12"/>
  <c r="W39" i="12"/>
  <c r="X39" i="12"/>
  <c r="AA39" i="12"/>
  <c r="Z39" i="12"/>
  <c r="AC39" i="12" s="1"/>
  <c r="U39" i="12"/>
  <c r="X33" i="12"/>
  <c r="W33" i="12"/>
  <c r="Z33" i="12"/>
  <c r="AC33" i="12" s="1"/>
  <c r="AA33" i="12"/>
  <c r="U33" i="12"/>
  <c r="AA9" i="12"/>
  <c r="U42" i="12"/>
  <c r="V42" i="12" s="1"/>
  <c r="Z11" i="12"/>
  <c r="AC11" i="12" s="1"/>
  <c r="W11" i="12"/>
  <c r="AA11" i="12"/>
  <c r="U11" i="12"/>
  <c r="X11" i="12"/>
  <c r="W23" i="12"/>
  <c r="X23" i="12"/>
  <c r="AA23" i="12"/>
  <c r="U23" i="12"/>
  <c r="Z23" i="12"/>
  <c r="AC23" i="12" s="1"/>
  <c r="Z59" i="12"/>
  <c r="AC59" i="12" s="1"/>
  <c r="W59" i="12"/>
  <c r="X59" i="12"/>
  <c r="U59" i="12"/>
  <c r="AA59" i="12"/>
  <c r="U72" i="12"/>
  <c r="AA72" i="12"/>
  <c r="W72" i="12"/>
  <c r="X72" i="12"/>
  <c r="Z72" i="12"/>
  <c r="AC72" i="12" s="1"/>
  <c r="Z48" i="12"/>
  <c r="AC48" i="12" s="1"/>
  <c r="W48" i="12"/>
  <c r="AA48" i="12"/>
  <c r="U48" i="12"/>
  <c r="X48" i="12"/>
  <c r="X53" i="12"/>
  <c r="AA53" i="12"/>
  <c r="Z53" i="12"/>
  <c r="AC53" i="12" s="1"/>
  <c r="W53" i="12"/>
  <c r="U53" i="12"/>
  <c r="U14" i="12"/>
  <c r="Z14" i="12"/>
  <c r="AC14" i="12" s="1"/>
  <c r="AA14" i="12"/>
  <c r="W14" i="12"/>
  <c r="X14" i="12"/>
  <c r="X62" i="12"/>
  <c r="AA62" i="12"/>
  <c r="Z62" i="12"/>
  <c r="AC62" i="12" s="1"/>
  <c r="U62" i="12"/>
  <c r="W62" i="12"/>
  <c r="Z20" i="12"/>
  <c r="AC20" i="12" s="1"/>
  <c r="X20" i="12"/>
  <c r="W20" i="12"/>
  <c r="U20" i="12"/>
  <c r="AA20" i="12"/>
  <c r="H76" i="67"/>
  <c r="AA51" i="12"/>
  <c r="Z51" i="12"/>
  <c r="AC51" i="12" s="1"/>
  <c r="W51" i="12"/>
  <c r="X51" i="12"/>
  <c r="U51" i="12"/>
  <c r="Z75" i="12"/>
  <c r="AC75" i="12" s="1"/>
  <c r="AW75" i="12" s="1"/>
  <c r="AX75" i="12" s="1"/>
  <c r="X44" i="12"/>
  <c r="Z44" i="12"/>
  <c r="AC44" i="12" s="1"/>
  <c r="W75" i="12"/>
  <c r="C42" i="73"/>
  <c r="K42" i="73" s="1"/>
  <c r="M42" i="73" s="1"/>
  <c r="C70" i="73"/>
  <c r="G70" i="73" s="1"/>
  <c r="H70" i="73" s="1"/>
  <c r="U75" i="12"/>
  <c r="X75" i="12"/>
  <c r="Z65" i="12"/>
  <c r="AC65" i="12" s="1"/>
  <c r="AW65" i="12" s="1"/>
  <c r="AX65" i="12" s="1"/>
  <c r="W42" i="12"/>
  <c r="Z42" i="12"/>
  <c r="AC42" i="12" s="1"/>
  <c r="AA42" i="12"/>
  <c r="Z70" i="12"/>
  <c r="AC70" i="12" s="1"/>
  <c r="W70" i="12"/>
  <c r="X70" i="12"/>
  <c r="C26" i="73"/>
  <c r="K26" i="73" s="1"/>
  <c r="M26" i="73" s="1"/>
  <c r="V26" i="12"/>
  <c r="V34" i="12"/>
  <c r="C34" i="73"/>
  <c r="Z34" i="73" s="1"/>
  <c r="AB34" i="73" s="1"/>
  <c r="Z32" i="12"/>
  <c r="AC32" i="12" s="1"/>
  <c r="X32" i="12"/>
  <c r="AA32" i="12"/>
  <c r="W32" i="12"/>
  <c r="W55" i="12"/>
  <c r="X55" i="12"/>
  <c r="Z55" i="12"/>
  <c r="AC55" i="12" s="1"/>
  <c r="AA55" i="12"/>
  <c r="U65" i="12"/>
  <c r="X15" i="12"/>
  <c r="AA15" i="12"/>
  <c r="Z15" i="12"/>
  <c r="AC15" i="12" s="1"/>
  <c r="U15" i="12"/>
  <c r="W15" i="12"/>
  <c r="Z34" i="12"/>
  <c r="AC34" i="12" s="1"/>
  <c r="AA34" i="12"/>
  <c r="W34" i="12"/>
  <c r="X34" i="12"/>
  <c r="Z26" i="12"/>
  <c r="AC26" i="12" s="1"/>
  <c r="X26" i="12"/>
  <c r="W26" i="12"/>
  <c r="AA26" i="12"/>
  <c r="U32" i="12"/>
  <c r="U55" i="12"/>
  <c r="Z36" i="12"/>
  <c r="AC36" i="12" s="1"/>
  <c r="U36" i="12"/>
  <c r="X36" i="12"/>
  <c r="AA36" i="12"/>
  <c r="W36" i="12"/>
  <c r="Z52" i="12"/>
  <c r="AC52" i="12" s="1"/>
  <c r="AA52" i="12"/>
  <c r="X52" i="12"/>
  <c r="U52" i="12"/>
  <c r="W52" i="12"/>
  <c r="U50" i="12"/>
  <c r="X50" i="12"/>
  <c r="W50" i="12"/>
  <c r="Z50" i="12"/>
  <c r="AC50" i="12" s="1"/>
  <c r="AA50" i="12"/>
  <c r="AA60" i="12"/>
  <c r="X60" i="12"/>
  <c r="Z60" i="12"/>
  <c r="AC60" i="12" s="1"/>
  <c r="W60" i="12"/>
  <c r="U60" i="12"/>
  <c r="U8" i="12"/>
  <c r="C8" i="73" s="1"/>
  <c r="AA8" i="12"/>
  <c r="X16" i="12"/>
  <c r="AA16" i="12"/>
  <c r="Z16" i="12"/>
  <c r="AC16" i="12" s="1"/>
  <c r="U16" i="12"/>
  <c r="W16" i="12"/>
  <c r="Z56" i="12"/>
  <c r="AC56" i="12" s="1"/>
  <c r="AA56" i="12"/>
  <c r="U56" i="12"/>
  <c r="X56" i="12"/>
  <c r="W56" i="12"/>
  <c r="Z8" i="12"/>
  <c r="AC8" i="12" s="1"/>
  <c r="X24" i="12"/>
  <c r="U24" i="12"/>
  <c r="AA24" i="12"/>
  <c r="W24" i="12"/>
  <c r="Z24" i="12"/>
  <c r="AC24" i="12" s="1"/>
  <c r="J76" i="67"/>
  <c r="W12" i="12"/>
  <c r="U12" i="12"/>
  <c r="X12" i="12"/>
  <c r="AA12" i="12"/>
  <c r="Z12" i="12"/>
  <c r="AC12" i="12" s="1"/>
  <c r="AA68" i="12"/>
  <c r="W68" i="12"/>
  <c r="Z68" i="12"/>
  <c r="AC68" i="12" s="1"/>
  <c r="X68" i="12"/>
  <c r="U68" i="12"/>
  <c r="U28" i="12"/>
  <c r="Z28" i="12"/>
  <c r="AC28" i="12" s="1"/>
  <c r="X28" i="12"/>
  <c r="W28" i="12"/>
  <c r="AA28" i="12"/>
  <c r="W30" i="12"/>
  <c r="X30" i="12"/>
  <c r="AA30" i="12"/>
  <c r="Z30" i="12"/>
  <c r="AC30" i="12" s="1"/>
  <c r="U30" i="12"/>
  <c r="W65" i="12"/>
  <c r="AA65" i="12"/>
  <c r="AN55" i="12"/>
  <c r="AO55" i="12" s="1"/>
  <c r="AN75" i="12"/>
  <c r="AO75" i="12" s="1"/>
  <c r="AN41" i="12"/>
  <c r="AO41" i="12" s="1"/>
  <c r="AN43" i="12"/>
  <c r="AO43" i="12" s="1"/>
  <c r="F76" i="27"/>
  <c r="F84" i="27" s="1"/>
  <c r="F76" i="28"/>
  <c r="F84" i="28" s="1"/>
  <c r="F76" i="26"/>
  <c r="F84" i="26" s="1"/>
  <c r="AN62" i="12"/>
  <c r="AO62" i="12" s="1"/>
  <c r="AN26" i="12"/>
  <c r="AO26" i="12" s="1"/>
  <c r="AN19" i="12"/>
  <c r="AO19" i="12" s="1"/>
  <c r="AN8" i="12"/>
  <c r="AO8" i="12" s="1"/>
  <c r="AN35" i="12"/>
  <c r="AO35" i="12" s="1"/>
  <c r="K76" i="13"/>
  <c r="AN7" i="12"/>
  <c r="AB63" i="12"/>
  <c r="T63" i="12"/>
  <c r="U63" i="12" s="1"/>
  <c r="AN14" i="12"/>
  <c r="AO14" i="12" s="1"/>
  <c r="AN74" i="12"/>
  <c r="AO74" i="12" s="1"/>
  <c r="AN40" i="12"/>
  <c r="AO40" i="12" s="1"/>
  <c r="AN60" i="12"/>
  <c r="AO60" i="12" s="1"/>
  <c r="AN28" i="12"/>
  <c r="AO28" i="12" s="1"/>
  <c r="AN58" i="12"/>
  <c r="AO58" i="12" s="1"/>
  <c r="AN54" i="12"/>
  <c r="AO54" i="12" s="1"/>
  <c r="AN20" i="12"/>
  <c r="AO20" i="12" s="1"/>
  <c r="AN73" i="12"/>
  <c r="AO73" i="12" s="1"/>
  <c r="AN13" i="12"/>
  <c r="AO13" i="12" s="1"/>
  <c r="AN45" i="12"/>
  <c r="AO45" i="12" s="1"/>
  <c r="AJ7" i="12"/>
  <c r="J76" i="13"/>
  <c r="AN21" i="12"/>
  <c r="AO21" i="12" s="1"/>
  <c r="AN44" i="12"/>
  <c r="AO44" i="12" s="1"/>
  <c r="AN48" i="12"/>
  <c r="AO48" i="12" s="1"/>
  <c r="J63" i="73"/>
  <c r="O63" i="73"/>
  <c r="T63" i="73"/>
  <c r="F63" i="73"/>
  <c r="Y63" i="73"/>
  <c r="AN42" i="12"/>
  <c r="AO42" i="12" s="1"/>
  <c r="AN69" i="12"/>
  <c r="AO69" i="12" s="1"/>
  <c r="AN52" i="12"/>
  <c r="AO52" i="12" s="1"/>
  <c r="AN36" i="12"/>
  <c r="AO36" i="12" s="1"/>
  <c r="AN49" i="12"/>
  <c r="AO49" i="12" s="1"/>
  <c r="AD63" i="73"/>
  <c r="AC38" i="12"/>
  <c r="W38" i="12"/>
  <c r="U38" i="12"/>
  <c r="AA38" i="12"/>
  <c r="X38" i="12"/>
  <c r="AB25" i="12"/>
  <c r="R76" i="12"/>
  <c r="T25" i="12"/>
  <c r="U25" i="12" s="1"/>
  <c r="AX19" i="12"/>
  <c r="T7" i="12"/>
  <c r="S76" i="12"/>
  <c r="Y25" i="73"/>
  <c r="AD25" i="73"/>
  <c r="T25" i="73"/>
  <c r="J25" i="73"/>
  <c r="F25" i="73"/>
  <c r="D76" i="73"/>
  <c r="O25" i="73"/>
  <c r="G42" i="73"/>
  <c r="H42" i="73" s="1"/>
  <c r="Z42" i="73"/>
  <c r="AB42" i="73" s="1"/>
  <c r="L75" i="25"/>
  <c r="O75" i="25" s="1"/>
  <c r="P75" i="25" s="1"/>
  <c r="AV42" i="9"/>
  <c r="Q76" i="15"/>
  <c r="Q141" i="15" s="1"/>
  <c r="R42" i="15"/>
  <c r="O143" i="14"/>
  <c r="N77" i="27"/>
  <c r="T10" i="30"/>
  <c r="T40" i="30" s="1"/>
  <c r="I19" i="29"/>
  <c r="V8" i="12" l="1"/>
  <c r="AE26" i="73"/>
  <c r="K19" i="73"/>
  <c r="M19" i="73" s="1"/>
  <c r="K70" i="73"/>
  <c r="M70" i="73" s="1"/>
  <c r="P26" i="73"/>
  <c r="R26" i="73" s="1"/>
  <c r="Z26" i="73"/>
  <c r="AB26" i="73" s="1"/>
  <c r="U26" i="73"/>
  <c r="W26" i="73" s="1"/>
  <c r="P42" i="73"/>
  <c r="R42" i="73" s="1"/>
  <c r="U42" i="73"/>
  <c r="W42" i="73" s="1"/>
  <c r="U19" i="73"/>
  <c r="W19" i="73" s="1"/>
  <c r="AD9" i="12"/>
  <c r="AE9" i="12" s="1"/>
  <c r="AF9" i="12" s="1"/>
  <c r="AE70" i="73"/>
  <c r="AG70" i="73" s="1"/>
  <c r="AE19" i="73"/>
  <c r="AG19" i="73" s="1"/>
  <c r="P19" i="73"/>
  <c r="R19" i="73" s="1"/>
  <c r="AE42" i="73"/>
  <c r="C9" i="73"/>
  <c r="AE9" i="73" s="1"/>
  <c r="G19" i="73"/>
  <c r="H19" i="73" s="1"/>
  <c r="G26" i="73"/>
  <c r="H26" i="73" s="1"/>
  <c r="K34" i="73"/>
  <c r="M34" i="73" s="1"/>
  <c r="AB76" i="12"/>
  <c r="Z70" i="73"/>
  <c r="AB70" i="73" s="1"/>
  <c r="P70" i="73"/>
  <c r="R70" i="73" s="1"/>
  <c r="AD8" i="12"/>
  <c r="AE8" i="12" s="1"/>
  <c r="AF8" i="12" s="1"/>
  <c r="C73" i="73"/>
  <c r="V73" i="12"/>
  <c r="U70" i="73"/>
  <c r="W70" i="73" s="1"/>
  <c r="AW73" i="12"/>
  <c r="AD73" i="12"/>
  <c r="AE73" i="12" s="1"/>
  <c r="P34" i="73"/>
  <c r="R34" i="73" s="1"/>
  <c r="U34" i="73"/>
  <c r="W34" i="73" s="1"/>
  <c r="G34" i="73"/>
  <c r="H34" i="73" s="1"/>
  <c r="V22" i="12"/>
  <c r="AE34" i="73"/>
  <c r="AW8" i="12"/>
  <c r="AX8" i="12" s="1"/>
  <c r="AD75" i="12"/>
  <c r="AE75" i="12" s="1"/>
  <c r="AG75" i="12" s="1"/>
  <c r="AH19" i="12"/>
  <c r="AI19" i="12" s="1"/>
  <c r="AG19" i="12"/>
  <c r="AF19" i="12"/>
  <c r="AW20" i="12"/>
  <c r="AD20" i="12"/>
  <c r="AE20" i="12" s="1"/>
  <c r="AW48" i="12"/>
  <c r="AD48" i="12"/>
  <c r="AE48" i="12" s="1"/>
  <c r="C23" i="73"/>
  <c r="V23" i="12"/>
  <c r="AW11" i="12"/>
  <c r="AD11" i="12"/>
  <c r="AE11" i="12" s="1"/>
  <c r="C33" i="73"/>
  <c r="V33" i="12"/>
  <c r="AD21" i="12"/>
  <c r="AE21" i="12" s="1"/>
  <c r="AW21" i="12"/>
  <c r="AD71" i="12"/>
  <c r="AE71" i="12" s="1"/>
  <c r="AW71" i="12"/>
  <c r="V13" i="12"/>
  <c r="C13" i="73"/>
  <c r="AW64" i="12"/>
  <c r="AD64" i="12"/>
  <c r="AE64" i="12" s="1"/>
  <c r="V37" i="12"/>
  <c r="C37" i="73"/>
  <c r="C69" i="73"/>
  <c r="V69" i="12"/>
  <c r="V61" i="12"/>
  <c r="C61" i="73"/>
  <c r="V20" i="12"/>
  <c r="C20" i="73"/>
  <c r="AW14" i="12"/>
  <c r="AD14" i="12"/>
  <c r="AE14" i="12" s="1"/>
  <c r="AD53" i="12"/>
  <c r="AE53" i="12" s="1"/>
  <c r="AW53" i="12"/>
  <c r="V48" i="12"/>
  <c r="C48" i="73"/>
  <c r="AD72" i="12"/>
  <c r="AE72" i="12" s="1"/>
  <c r="AW72" i="12"/>
  <c r="C72" i="73"/>
  <c r="V72" i="12"/>
  <c r="C11" i="73"/>
  <c r="V11" i="12"/>
  <c r="C39" i="73"/>
  <c r="V39" i="12"/>
  <c r="AW47" i="12"/>
  <c r="AD47" i="12"/>
  <c r="AE47" i="12" s="1"/>
  <c r="V27" i="12"/>
  <c r="C27" i="73"/>
  <c r="C74" i="73"/>
  <c r="V74" i="12"/>
  <c r="V10" i="12"/>
  <c r="C10" i="73"/>
  <c r="AD37" i="12"/>
  <c r="AE37" i="12" s="1"/>
  <c r="AW37" i="12"/>
  <c r="AD35" i="12"/>
  <c r="AE35" i="12" s="1"/>
  <c r="AW35" i="12"/>
  <c r="AD18" i="12"/>
  <c r="AE18" i="12" s="1"/>
  <c r="AW18" i="12"/>
  <c r="AW69" i="12"/>
  <c r="AD69" i="12"/>
  <c r="AE69" i="12" s="1"/>
  <c r="AD67" i="12"/>
  <c r="AE67" i="12" s="1"/>
  <c r="AW67" i="12"/>
  <c r="C46" i="73"/>
  <c r="V46" i="12"/>
  <c r="AD66" i="12"/>
  <c r="AE66" i="12" s="1"/>
  <c r="AW66" i="12"/>
  <c r="V41" i="12"/>
  <c r="C41" i="73"/>
  <c r="V44" i="12"/>
  <c r="C44" i="73"/>
  <c r="V62" i="12"/>
  <c r="C62" i="73"/>
  <c r="C14" i="73"/>
  <c r="V14" i="12"/>
  <c r="AD59" i="12"/>
  <c r="AE59" i="12" s="1"/>
  <c r="AW59" i="12"/>
  <c r="AW33" i="12"/>
  <c r="AD33" i="12"/>
  <c r="AE33" i="12" s="1"/>
  <c r="AW39" i="12"/>
  <c r="AD39" i="12"/>
  <c r="AE39" i="12" s="1"/>
  <c r="AW17" i="12"/>
  <c r="AD17" i="12"/>
  <c r="AE17" i="12" s="1"/>
  <c r="AW58" i="12"/>
  <c r="AD58" i="12"/>
  <c r="AE58" i="12" s="1"/>
  <c r="AD49" i="12"/>
  <c r="AE49" i="12" s="1"/>
  <c r="AW49" i="12"/>
  <c r="AW27" i="12"/>
  <c r="AD27" i="12"/>
  <c r="AE27" i="12" s="1"/>
  <c r="AD45" i="12"/>
  <c r="AE45" i="12" s="1"/>
  <c r="AW45" i="12"/>
  <c r="AD74" i="12"/>
  <c r="AE74" i="12" s="1"/>
  <c r="AW74" i="12"/>
  <c r="V21" i="12"/>
  <c r="C21" i="73"/>
  <c r="AW29" i="12"/>
  <c r="AD29" i="12"/>
  <c r="AE29" i="12" s="1"/>
  <c r="AD10" i="12"/>
  <c r="AE10" i="12" s="1"/>
  <c r="AW10" i="12"/>
  <c r="V57" i="12"/>
  <c r="C57" i="73"/>
  <c r="C64" i="73"/>
  <c r="V64" i="12"/>
  <c r="AD31" i="12"/>
  <c r="AE31" i="12" s="1"/>
  <c r="AW31" i="12"/>
  <c r="V43" i="12"/>
  <c r="C43" i="73"/>
  <c r="V35" i="12"/>
  <c r="C35" i="73"/>
  <c r="V40" i="12"/>
  <c r="C40" i="73"/>
  <c r="AD40" i="12"/>
  <c r="AE40" i="12" s="1"/>
  <c r="AW40" i="12"/>
  <c r="V67" i="12"/>
  <c r="C67" i="73"/>
  <c r="AW54" i="12"/>
  <c r="AD54" i="12"/>
  <c r="AE54" i="12" s="1"/>
  <c r="C54" i="73"/>
  <c r="V54" i="12"/>
  <c r="V66" i="12"/>
  <c r="C66" i="73"/>
  <c r="AD62" i="12"/>
  <c r="AE62" i="12" s="1"/>
  <c r="AW62" i="12"/>
  <c r="C53" i="73"/>
  <c r="V53" i="12"/>
  <c r="V59" i="12"/>
  <c r="C59" i="73"/>
  <c r="AW23" i="12"/>
  <c r="AD23" i="12"/>
  <c r="AE23" i="12" s="1"/>
  <c r="V17" i="12"/>
  <c r="C17" i="73"/>
  <c r="V58" i="12"/>
  <c r="C58" i="73"/>
  <c r="V47" i="12"/>
  <c r="C47" i="73"/>
  <c r="V49" i="12"/>
  <c r="C49" i="73"/>
  <c r="V45" i="12"/>
  <c r="C45" i="73"/>
  <c r="C29" i="73"/>
  <c r="V29" i="12"/>
  <c r="V71" i="12"/>
  <c r="C71" i="73"/>
  <c r="AD57" i="12"/>
  <c r="AE57" i="12" s="1"/>
  <c r="AW57" i="12"/>
  <c r="AW13" i="12"/>
  <c r="AD13" i="12"/>
  <c r="AE13" i="12" s="1"/>
  <c r="C31" i="73"/>
  <c r="V31" i="12"/>
  <c r="AW43" i="12"/>
  <c r="AD43" i="12"/>
  <c r="AE43" i="12" s="1"/>
  <c r="V18" i="12"/>
  <c r="C18" i="73"/>
  <c r="AW61" i="12"/>
  <c r="AD61" i="12"/>
  <c r="AE61" i="12" s="1"/>
  <c r="AW46" i="12"/>
  <c r="AD46" i="12"/>
  <c r="AE46" i="12" s="1"/>
  <c r="AD41" i="12"/>
  <c r="AE41" i="12" s="1"/>
  <c r="AW41" i="12"/>
  <c r="V51" i="12"/>
  <c r="C51" i="73"/>
  <c r="AD51" i="12"/>
  <c r="AE51" i="12" s="1"/>
  <c r="AW51" i="12"/>
  <c r="AW44" i="12"/>
  <c r="AD44" i="12"/>
  <c r="AE44" i="12" s="1"/>
  <c r="AH75" i="12"/>
  <c r="AL75" i="12" s="1"/>
  <c r="AM75" i="12" s="1"/>
  <c r="V75" i="12"/>
  <c r="C75" i="73"/>
  <c r="L65" i="25"/>
  <c r="O65" i="25" s="1"/>
  <c r="P65" i="25" s="1"/>
  <c r="AD65" i="12"/>
  <c r="AE65" i="12" s="1"/>
  <c r="AF65" i="12" s="1"/>
  <c r="AD42" i="12"/>
  <c r="AE42" i="12" s="1"/>
  <c r="AG42" i="12" s="1"/>
  <c r="AW42" i="12"/>
  <c r="AW70" i="12"/>
  <c r="AD70" i="12"/>
  <c r="AE70" i="12" s="1"/>
  <c r="AD22" i="12"/>
  <c r="AE22" i="12" s="1"/>
  <c r="AW22" i="12"/>
  <c r="AD34" i="12"/>
  <c r="AE34" i="12" s="1"/>
  <c r="AW34" i="12"/>
  <c r="C15" i="73"/>
  <c r="V15" i="12"/>
  <c r="AW55" i="12"/>
  <c r="AD55" i="12"/>
  <c r="AE55" i="12" s="1"/>
  <c r="V55" i="12"/>
  <c r="C55" i="73"/>
  <c r="AW26" i="12"/>
  <c r="AD26" i="12"/>
  <c r="AE26" i="12" s="1"/>
  <c r="AW15" i="12"/>
  <c r="AD15" i="12"/>
  <c r="AE15" i="12" s="1"/>
  <c r="V65" i="12"/>
  <c r="C65" i="73"/>
  <c r="V32" i="12"/>
  <c r="C32" i="73"/>
  <c r="AD32" i="12"/>
  <c r="AE32" i="12" s="1"/>
  <c r="AW32" i="12"/>
  <c r="P22" i="73"/>
  <c r="R22" i="73" s="1"/>
  <c r="U22" i="73"/>
  <c r="W22" i="73" s="1"/>
  <c r="K22" i="73"/>
  <c r="M22" i="73" s="1"/>
  <c r="Z22" i="73"/>
  <c r="AB22" i="73" s="1"/>
  <c r="AE22" i="73"/>
  <c r="G22" i="73"/>
  <c r="H22" i="73" s="1"/>
  <c r="AW12" i="12"/>
  <c r="AD12" i="12"/>
  <c r="AE12" i="12" s="1"/>
  <c r="AD24" i="12"/>
  <c r="AE24" i="12" s="1"/>
  <c r="AW24" i="12"/>
  <c r="AD60" i="12"/>
  <c r="AE60" i="12" s="1"/>
  <c r="AW60" i="12"/>
  <c r="AD50" i="12"/>
  <c r="AE50" i="12" s="1"/>
  <c r="AW50" i="12"/>
  <c r="AD52" i="12"/>
  <c r="AE52" i="12" s="1"/>
  <c r="AW52" i="12"/>
  <c r="AD28" i="12"/>
  <c r="AE28" i="12" s="1"/>
  <c r="AW28" i="12"/>
  <c r="AD68" i="12"/>
  <c r="AE68" i="12" s="1"/>
  <c r="AW68" i="12"/>
  <c r="V56" i="12"/>
  <c r="C56" i="73"/>
  <c r="V16" i="12"/>
  <c r="C16" i="73"/>
  <c r="V52" i="12"/>
  <c r="C52" i="73"/>
  <c r="C30" i="73"/>
  <c r="V30" i="12"/>
  <c r="V28" i="12"/>
  <c r="C28" i="73"/>
  <c r="AD16" i="12"/>
  <c r="AE16" i="12" s="1"/>
  <c r="AW16" i="12"/>
  <c r="V60" i="12"/>
  <c r="C60" i="73"/>
  <c r="C36" i="73"/>
  <c r="V36" i="12"/>
  <c r="AW30" i="12"/>
  <c r="AD30" i="12"/>
  <c r="AE30" i="12" s="1"/>
  <c r="V68" i="12"/>
  <c r="C68" i="73"/>
  <c r="C12" i="73"/>
  <c r="V12" i="12"/>
  <c r="C24" i="73"/>
  <c r="V24" i="12"/>
  <c r="AD56" i="12"/>
  <c r="AE56" i="12" s="1"/>
  <c r="AW56" i="12"/>
  <c r="V50" i="12"/>
  <c r="C50" i="73"/>
  <c r="AW36" i="12"/>
  <c r="AD36" i="12"/>
  <c r="AE36" i="12" s="1"/>
  <c r="AN76" i="12"/>
  <c r="AO7" i="12"/>
  <c r="AK7" i="12"/>
  <c r="AJ76" i="12"/>
  <c r="V63" i="12"/>
  <c r="C63" i="73"/>
  <c r="Z63" i="12"/>
  <c r="AC63" i="12" s="1"/>
  <c r="AA63" i="12"/>
  <c r="X63" i="12"/>
  <c r="W63" i="12"/>
  <c r="AD38" i="12"/>
  <c r="AE38" i="12" s="1"/>
  <c r="AG38" i="12" s="1"/>
  <c r="AW38" i="12"/>
  <c r="C38" i="73"/>
  <c r="V38" i="12"/>
  <c r="V25" i="12"/>
  <c r="C25" i="73"/>
  <c r="R75" i="25"/>
  <c r="S75" i="25" s="1"/>
  <c r="D75" i="11" s="1"/>
  <c r="D75" i="10"/>
  <c r="L8" i="25"/>
  <c r="O8" i="25" s="1"/>
  <c r="P8" i="25" s="1"/>
  <c r="AG42" i="73"/>
  <c r="R19" i="25"/>
  <c r="S19" i="25" s="1"/>
  <c r="D19" i="11" s="1"/>
  <c r="D19" i="10"/>
  <c r="Y76" i="73"/>
  <c r="F76" i="73"/>
  <c r="T76" i="73"/>
  <c r="AD76" i="73"/>
  <c r="J76" i="73"/>
  <c r="O76" i="73"/>
  <c r="AI19" i="73"/>
  <c r="AJ19" i="73" s="1"/>
  <c r="K8" i="73"/>
  <c r="M8" i="73" s="1"/>
  <c r="AE8" i="73"/>
  <c r="P8" i="73"/>
  <c r="R8" i="73" s="1"/>
  <c r="Z8" i="73"/>
  <c r="AB8" i="73" s="1"/>
  <c r="G8" i="73"/>
  <c r="H8" i="73" s="1"/>
  <c r="U8" i="73"/>
  <c r="W8" i="73" s="1"/>
  <c r="U7" i="12"/>
  <c r="X7" i="12"/>
  <c r="Z7" i="12"/>
  <c r="AA7" i="12"/>
  <c r="W7" i="12"/>
  <c r="T76" i="12"/>
  <c r="AX9" i="12"/>
  <c r="L9" i="25"/>
  <c r="O9" i="25" s="1"/>
  <c r="P9" i="25" s="1"/>
  <c r="AG34" i="73"/>
  <c r="F19" i="71"/>
  <c r="Z25" i="12"/>
  <c r="AC25" i="12" s="1"/>
  <c r="AA25" i="12"/>
  <c r="X25" i="12"/>
  <c r="W25" i="12"/>
  <c r="AI26" i="73"/>
  <c r="AJ26" i="73" s="1"/>
  <c r="AG26" i="73"/>
  <c r="AK26" i="73" s="1"/>
  <c r="AL26" i="73" s="1"/>
  <c r="AL19" i="12"/>
  <c r="AM19" i="12" s="1"/>
  <c r="R76" i="15"/>
  <c r="R141" i="15" s="1"/>
  <c r="AV76" i="9"/>
  <c r="P77" i="27"/>
  <c r="R77" i="27"/>
  <c r="K9" i="73" l="1"/>
  <c r="M9" i="73" s="1"/>
  <c r="AI42" i="73"/>
  <c r="AJ42" i="73" s="1"/>
  <c r="AI70" i="73"/>
  <c r="AJ70" i="73" s="1"/>
  <c r="P9" i="73"/>
  <c r="R9" i="73" s="1"/>
  <c r="G9" i="73"/>
  <c r="H9" i="73" s="1"/>
  <c r="U9" i="73"/>
  <c r="W9" i="73" s="1"/>
  <c r="AG9" i="12"/>
  <c r="AP19" i="12"/>
  <c r="AQ19" i="12" s="1"/>
  <c r="D19" i="25" s="1"/>
  <c r="E19" i="25" s="1"/>
  <c r="F19" i="25" s="1"/>
  <c r="G19" i="25" s="1"/>
  <c r="AI75" i="12"/>
  <c r="AK42" i="73"/>
  <c r="AL42" i="73" s="1"/>
  <c r="AH9" i="12"/>
  <c r="AI9" i="12" s="1"/>
  <c r="AG8" i="12"/>
  <c r="Z9" i="73"/>
  <c r="AB9" i="73" s="1"/>
  <c r="AK19" i="73"/>
  <c r="AL19" i="73" s="1"/>
  <c r="AK70" i="73"/>
  <c r="AL70" i="73" s="1"/>
  <c r="AK34" i="73"/>
  <c r="AL34" i="73" s="1"/>
  <c r="AP75" i="12"/>
  <c r="C75" i="9" s="1"/>
  <c r="AF75" i="12"/>
  <c r="AI34" i="73"/>
  <c r="AJ34" i="73" s="1"/>
  <c r="AH8" i="12"/>
  <c r="AI8" i="12" s="1"/>
  <c r="U73" i="73"/>
  <c r="W73" i="73" s="1"/>
  <c r="G73" i="73"/>
  <c r="H73" i="73" s="1"/>
  <c r="Z73" i="73"/>
  <c r="AB73" i="73" s="1"/>
  <c r="P73" i="73"/>
  <c r="R73" i="73" s="1"/>
  <c r="K73" i="73"/>
  <c r="M73" i="73" s="1"/>
  <c r="AE73" i="73"/>
  <c r="AF73" i="12"/>
  <c r="F73" i="71" s="1"/>
  <c r="H73" i="71" s="1"/>
  <c r="AG73" i="12"/>
  <c r="AH73" i="12"/>
  <c r="L73" i="25"/>
  <c r="O73" i="25" s="1"/>
  <c r="P73" i="25" s="1"/>
  <c r="AX73" i="12"/>
  <c r="AH65" i="12"/>
  <c r="AP65" i="12" s="1"/>
  <c r="AX41" i="12"/>
  <c r="L41" i="25"/>
  <c r="O41" i="25" s="1"/>
  <c r="P41" i="25" s="1"/>
  <c r="AG61" i="12"/>
  <c r="AF61" i="12"/>
  <c r="AH61" i="12"/>
  <c r="AH43" i="12"/>
  <c r="AF43" i="12"/>
  <c r="AG43" i="12"/>
  <c r="AH13" i="12"/>
  <c r="AF13" i="12"/>
  <c r="AG13" i="12"/>
  <c r="U71" i="73"/>
  <c r="W71" i="73" s="1"/>
  <c r="K71" i="73"/>
  <c r="M71" i="73" s="1"/>
  <c r="P71" i="73"/>
  <c r="R71" i="73" s="1"/>
  <c r="Z71" i="73"/>
  <c r="AB71" i="73" s="1"/>
  <c r="AE71" i="73"/>
  <c r="G71" i="73"/>
  <c r="H71" i="73" s="1"/>
  <c r="G45" i="73"/>
  <c r="H45" i="73" s="1"/>
  <c r="Z45" i="73"/>
  <c r="AB45" i="73" s="1"/>
  <c r="K45" i="73"/>
  <c r="M45" i="73" s="1"/>
  <c r="AE45" i="73"/>
  <c r="U45" i="73"/>
  <c r="W45" i="73" s="1"/>
  <c r="P45" i="73"/>
  <c r="R45" i="73" s="1"/>
  <c r="Z47" i="73"/>
  <c r="AB47" i="73" s="1"/>
  <c r="G47" i="73"/>
  <c r="H47" i="73" s="1"/>
  <c r="P47" i="73"/>
  <c r="R47" i="73" s="1"/>
  <c r="K47" i="73"/>
  <c r="M47" i="73" s="1"/>
  <c r="AE47" i="73"/>
  <c r="U47" i="73"/>
  <c r="W47" i="73" s="1"/>
  <c r="AE17" i="73"/>
  <c r="G17" i="73"/>
  <c r="H17" i="73" s="1"/>
  <c r="U17" i="73"/>
  <c r="W17" i="73" s="1"/>
  <c r="P17" i="73"/>
  <c r="R17" i="73" s="1"/>
  <c r="K17" i="73"/>
  <c r="M17" i="73" s="1"/>
  <c r="Z17" i="73"/>
  <c r="AB17" i="73" s="1"/>
  <c r="K59" i="73"/>
  <c r="M59" i="73" s="1"/>
  <c r="P59" i="73"/>
  <c r="R59" i="73" s="1"/>
  <c r="Z59" i="73"/>
  <c r="AB59" i="73" s="1"/>
  <c r="U59" i="73"/>
  <c r="W59" i="73" s="1"/>
  <c r="AE59" i="73"/>
  <c r="G59" i="73"/>
  <c r="H59" i="73" s="1"/>
  <c r="AX62" i="12"/>
  <c r="L62" i="25"/>
  <c r="O62" i="25" s="1"/>
  <c r="P62" i="25" s="1"/>
  <c r="Z66" i="73"/>
  <c r="AB66" i="73" s="1"/>
  <c r="U66" i="73"/>
  <c r="W66" i="73" s="1"/>
  <c r="P66" i="73"/>
  <c r="R66" i="73" s="1"/>
  <c r="K66" i="73"/>
  <c r="M66" i="73" s="1"/>
  <c r="AE66" i="73"/>
  <c r="G66" i="73"/>
  <c r="H66" i="73" s="1"/>
  <c r="AG54" i="12"/>
  <c r="AF54" i="12"/>
  <c r="AH54" i="12"/>
  <c r="AX40" i="12"/>
  <c r="L40" i="25"/>
  <c r="O40" i="25" s="1"/>
  <c r="P40" i="25" s="1"/>
  <c r="U35" i="73"/>
  <c r="W35" i="73" s="1"/>
  <c r="P35" i="73"/>
  <c r="R35" i="73" s="1"/>
  <c r="Z35" i="73"/>
  <c r="AB35" i="73" s="1"/>
  <c r="K35" i="73"/>
  <c r="M35" i="73" s="1"/>
  <c r="AE35" i="73"/>
  <c r="G35" i="73"/>
  <c r="H35" i="73" s="1"/>
  <c r="L31" i="25"/>
  <c r="O31" i="25" s="1"/>
  <c r="P31" i="25" s="1"/>
  <c r="AX31" i="12"/>
  <c r="Z57" i="73"/>
  <c r="AB57" i="73" s="1"/>
  <c r="AE57" i="73"/>
  <c r="P57" i="73"/>
  <c r="R57" i="73" s="1"/>
  <c r="G57" i="73"/>
  <c r="H57" i="73" s="1"/>
  <c r="U57" i="73"/>
  <c r="W57" i="73" s="1"/>
  <c r="K57" i="73"/>
  <c r="M57" i="73" s="1"/>
  <c r="AF29" i="12"/>
  <c r="AG29" i="12"/>
  <c r="AH29" i="12"/>
  <c r="L74" i="25"/>
  <c r="O74" i="25" s="1"/>
  <c r="P74" i="25" s="1"/>
  <c r="AX74" i="12"/>
  <c r="AH27" i="12"/>
  <c r="AG27" i="12"/>
  <c r="AF27" i="12"/>
  <c r="AF58" i="12"/>
  <c r="AG58" i="12"/>
  <c r="AH58" i="12"/>
  <c r="AF39" i="12"/>
  <c r="AG39" i="12"/>
  <c r="AH39" i="12"/>
  <c r="AX59" i="12"/>
  <c r="L59" i="25"/>
  <c r="O59" i="25" s="1"/>
  <c r="P59" i="25" s="1"/>
  <c r="U62" i="73"/>
  <c r="W62" i="73" s="1"/>
  <c r="Z62" i="73"/>
  <c r="AB62" i="73" s="1"/>
  <c r="P62" i="73"/>
  <c r="R62" i="73" s="1"/>
  <c r="G62" i="73"/>
  <c r="H62" i="73" s="1"/>
  <c r="AE62" i="73"/>
  <c r="K62" i="73"/>
  <c r="M62" i="73" s="1"/>
  <c r="P41" i="73"/>
  <c r="R41" i="73" s="1"/>
  <c r="G41" i="73"/>
  <c r="H41" i="73" s="1"/>
  <c r="K41" i="73"/>
  <c r="M41" i="73" s="1"/>
  <c r="U41" i="73"/>
  <c r="W41" i="73" s="1"/>
  <c r="AE41" i="73"/>
  <c r="Z41" i="73"/>
  <c r="AB41" i="73" s="1"/>
  <c r="AG69" i="12"/>
  <c r="AF69" i="12"/>
  <c r="AH69" i="12"/>
  <c r="AX35" i="12"/>
  <c r="L35" i="25"/>
  <c r="O35" i="25" s="1"/>
  <c r="P35" i="25" s="1"/>
  <c r="G10" i="73"/>
  <c r="H10" i="73" s="1"/>
  <c r="K10" i="73"/>
  <c r="M10" i="73" s="1"/>
  <c r="AE10" i="73"/>
  <c r="Z10" i="73"/>
  <c r="AB10" i="73" s="1"/>
  <c r="U10" i="73"/>
  <c r="W10" i="73" s="1"/>
  <c r="P10" i="73"/>
  <c r="R10" i="73" s="1"/>
  <c r="Z27" i="73"/>
  <c r="AB27" i="73" s="1"/>
  <c r="AE27" i="73"/>
  <c r="P27" i="73"/>
  <c r="R27" i="73" s="1"/>
  <c r="K27" i="73"/>
  <c r="M27" i="73" s="1"/>
  <c r="G27" i="73"/>
  <c r="H27" i="73" s="1"/>
  <c r="U27" i="73"/>
  <c r="W27" i="73" s="1"/>
  <c r="Z48" i="73"/>
  <c r="AB48" i="73" s="1"/>
  <c r="K48" i="73"/>
  <c r="M48" i="73" s="1"/>
  <c r="U48" i="73"/>
  <c r="W48" i="73" s="1"/>
  <c r="G48" i="73"/>
  <c r="H48" i="73" s="1"/>
  <c r="AE48" i="73"/>
  <c r="P48" i="73"/>
  <c r="R48" i="73" s="1"/>
  <c r="AG14" i="12"/>
  <c r="AF14" i="12"/>
  <c r="AH14" i="12"/>
  <c r="P61" i="73"/>
  <c r="R61" i="73" s="1"/>
  <c r="G61" i="73"/>
  <c r="H61" i="73" s="1"/>
  <c r="F61" i="71" s="1"/>
  <c r="U61" i="73"/>
  <c r="W61" i="73" s="1"/>
  <c r="Z61" i="73"/>
  <c r="AB61" i="73" s="1"/>
  <c r="K61" i="73"/>
  <c r="M61" i="73" s="1"/>
  <c r="AE61" i="73"/>
  <c r="AE37" i="73"/>
  <c r="Z37" i="73"/>
  <c r="AB37" i="73" s="1"/>
  <c r="U37" i="73"/>
  <c r="W37" i="73" s="1"/>
  <c r="G37" i="73"/>
  <c r="H37" i="73" s="1"/>
  <c r="P37" i="73"/>
  <c r="R37" i="73" s="1"/>
  <c r="K37" i="73"/>
  <c r="M37" i="73" s="1"/>
  <c r="P13" i="73"/>
  <c r="R13" i="73" s="1"/>
  <c r="U13" i="73"/>
  <c r="W13" i="73" s="1"/>
  <c r="Z13" i="73"/>
  <c r="AB13" i="73" s="1"/>
  <c r="K13" i="73"/>
  <c r="M13" i="73" s="1"/>
  <c r="G13" i="73"/>
  <c r="H13" i="73" s="1"/>
  <c r="F13" i="71" s="1"/>
  <c r="H13" i="71" s="1"/>
  <c r="AE13" i="73"/>
  <c r="L21" i="25"/>
  <c r="O21" i="25" s="1"/>
  <c r="P21" i="25" s="1"/>
  <c r="AX21" i="12"/>
  <c r="AH11" i="12"/>
  <c r="AF11" i="12"/>
  <c r="AG11" i="12"/>
  <c r="AG48" i="12"/>
  <c r="AF48" i="12"/>
  <c r="AH48" i="12"/>
  <c r="AH41" i="12"/>
  <c r="AG41" i="12"/>
  <c r="AF41" i="12"/>
  <c r="AX61" i="12"/>
  <c r="L61" i="25"/>
  <c r="O61" i="25" s="1"/>
  <c r="P61" i="25" s="1"/>
  <c r="L43" i="25"/>
  <c r="O43" i="25" s="1"/>
  <c r="P43" i="25" s="1"/>
  <c r="AX43" i="12"/>
  <c r="L13" i="25"/>
  <c r="O13" i="25" s="1"/>
  <c r="P13" i="25" s="1"/>
  <c r="AX13" i="12"/>
  <c r="AF62" i="12"/>
  <c r="AH62" i="12"/>
  <c r="AG62" i="12"/>
  <c r="L54" i="25"/>
  <c r="O54" i="25" s="1"/>
  <c r="P54" i="25" s="1"/>
  <c r="AX54" i="12"/>
  <c r="AF40" i="12"/>
  <c r="AH40" i="12"/>
  <c r="AG40" i="12"/>
  <c r="AG31" i="12"/>
  <c r="AH31" i="12"/>
  <c r="AF31" i="12"/>
  <c r="L29" i="25"/>
  <c r="O29" i="25" s="1"/>
  <c r="P29" i="25" s="1"/>
  <c r="AX29" i="12"/>
  <c r="AG74" i="12"/>
  <c r="AH74" i="12"/>
  <c r="AF74" i="12"/>
  <c r="L27" i="25"/>
  <c r="O27" i="25" s="1"/>
  <c r="P27" i="25" s="1"/>
  <c r="AX27" i="12"/>
  <c r="AX58" i="12"/>
  <c r="L58" i="25"/>
  <c r="O58" i="25" s="1"/>
  <c r="P58" i="25" s="1"/>
  <c r="L39" i="25"/>
  <c r="O39" i="25" s="1"/>
  <c r="P39" i="25" s="1"/>
  <c r="AX39" i="12"/>
  <c r="AF59" i="12"/>
  <c r="AG59" i="12"/>
  <c r="AH59" i="12"/>
  <c r="AE46" i="73"/>
  <c r="U46" i="73"/>
  <c r="W46" i="73" s="1"/>
  <c r="P46" i="73"/>
  <c r="R46" i="73" s="1"/>
  <c r="Z46" i="73"/>
  <c r="AB46" i="73" s="1"/>
  <c r="K46" i="73"/>
  <c r="M46" i="73" s="1"/>
  <c r="G46" i="73"/>
  <c r="H46" i="73" s="1"/>
  <c r="L69" i="25"/>
  <c r="O69" i="25" s="1"/>
  <c r="P69" i="25" s="1"/>
  <c r="AX69" i="12"/>
  <c r="AG35" i="12"/>
  <c r="AF35" i="12"/>
  <c r="AH35" i="12"/>
  <c r="P39" i="73"/>
  <c r="R39" i="73" s="1"/>
  <c r="Z39" i="73"/>
  <c r="AB39" i="73" s="1"/>
  <c r="AE39" i="73"/>
  <c r="G39" i="73"/>
  <c r="H39" i="73" s="1"/>
  <c r="K39" i="73"/>
  <c r="M39" i="73" s="1"/>
  <c r="U39" i="73"/>
  <c r="W39" i="73" s="1"/>
  <c r="P72" i="73"/>
  <c r="R72" i="73" s="1"/>
  <c r="Z72" i="73"/>
  <c r="AB72" i="73" s="1"/>
  <c r="U72" i="73"/>
  <c r="W72" i="73" s="1"/>
  <c r="K72" i="73"/>
  <c r="M72" i="73" s="1"/>
  <c r="G72" i="73"/>
  <c r="H72" i="73" s="1"/>
  <c r="AE72" i="73"/>
  <c r="AX14" i="12"/>
  <c r="L14" i="25"/>
  <c r="O14" i="25" s="1"/>
  <c r="P14" i="25" s="1"/>
  <c r="AH21" i="12"/>
  <c r="AF21" i="12"/>
  <c r="AG21" i="12"/>
  <c r="L11" i="25"/>
  <c r="O11" i="25" s="1"/>
  <c r="P11" i="25" s="1"/>
  <c r="AX11" i="12"/>
  <c r="L48" i="25"/>
  <c r="O48" i="25" s="1"/>
  <c r="P48" i="25" s="1"/>
  <c r="AX48" i="12"/>
  <c r="AF46" i="12"/>
  <c r="AH46" i="12"/>
  <c r="AG46" i="12"/>
  <c r="P18" i="73"/>
  <c r="R18" i="73" s="1"/>
  <c r="K18" i="73"/>
  <c r="M18" i="73" s="1"/>
  <c r="AE18" i="73"/>
  <c r="G18" i="73"/>
  <c r="H18" i="73" s="1"/>
  <c r="U18" i="73"/>
  <c r="W18" i="73" s="1"/>
  <c r="Z18" i="73"/>
  <c r="AB18" i="73" s="1"/>
  <c r="L57" i="25"/>
  <c r="O57" i="25" s="1"/>
  <c r="P57" i="25" s="1"/>
  <c r="AX57" i="12"/>
  <c r="K49" i="73"/>
  <c r="M49" i="73" s="1"/>
  <c r="Z49" i="73"/>
  <c r="AB49" i="73" s="1"/>
  <c r="U49" i="73"/>
  <c r="W49" i="73" s="1"/>
  <c r="G49" i="73"/>
  <c r="H49" i="73" s="1"/>
  <c r="P49" i="73"/>
  <c r="R49" i="73" s="1"/>
  <c r="AE49" i="73"/>
  <c r="P58" i="73"/>
  <c r="R58" i="73" s="1"/>
  <c r="K58" i="73"/>
  <c r="M58" i="73" s="1"/>
  <c r="Z58" i="73"/>
  <c r="AB58" i="73" s="1"/>
  <c r="U58" i="73"/>
  <c r="W58" i="73" s="1"/>
  <c r="AE58" i="73"/>
  <c r="G58" i="73"/>
  <c r="H58" i="73" s="1"/>
  <c r="F58" i="71" s="1"/>
  <c r="AG23" i="12"/>
  <c r="AF23" i="12"/>
  <c r="AH23" i="12"/>
  <c r="U67" i="73"/>
  <c r="W67" i="73" s="1"/>
  <c r="AE67" i="73"/>
  <c r="K67" i="73"/>
  <c r="M67" i="73" s="1"/>
  <c r="Z67" i="73"/>
  <c r="AB67" i="73" s="1"/>
  <c r="G67" i="73"/>
  <c r="H67" i="73" s="1"/>
  <c r="P67" i="73"/>
  <c r="R67" i="73" s="1"/>
  <c r="P40" i="73"/>
  <c r="R40" i="73" s="1"/>
  <c r="U40" i="73"/>
  <c r="W40" i="73" s="1"/>
  <c r="K40" i="73"/>
  <c r="M40" i="73" s="1"/>
  <c r="Z40" i="73"/>
  <c r="AB40" i="73" s="1"/>
  <c r="AE40" i="73"/>
  <c r="G40" i="73"/>
  <c r="H40" i="73" s="1"/>
  <c r="F40" i="71" s="1"/>
  <c r="H40" i="71" s="1"/>
  <c r="AE43" i="73"/>
  <c r="U43" i="73"/>
  <c r="W43" i="73" s="1"/>
  <c r="P43" i="73"/>
  <c r="R43" i="73" s="1"/>
  <c r="Z43" i="73"/>
  <c r="AB43" i="73" s="1"/>
  <c r="K43" i="73"/>
  <c r="M43" i="73" s="1"/>
  <c r="G43" i="73"/>
  <c r="H43" i="73" s="1"/>
  <c r="F43" i="71" s="1"/>
  <c r="AX10" i="12"/>
  <c r="L10" i="25"/>
  <c r="O10" i="25" s="1"/>
  <c r="P10" i="25" s="1"/>
  <c r="P21" i="73"/>
  <c r="R21" i="73" s="1"/>
  <c r="K21" i="73"/>
  <c r="M21" i="73" s="1"/>
  <c r="G21" i="73"/>
  <c r="H21" i="73" s="1"/>
  <c r="U21" i="73"/>
  <c r="W21" i="73" s="1"/>
  <c r="Z21" i="73"/>
  <c r="AB21" i="73" s="1"/>
  <c r="AE21" i="73"/>
  <c r="AX45" i="12"/>
  <c r="L45" i="25"/>
  <c r="O45" i="25" s="1"/>
  <c r="P45" i="25" s="1"/>
  <c r="L49" i="25"/>
  <c r="O49" i="25" s="1"/>
  <c r="P49" i="25" s="1"/>
  <c r="AX49" i="12"/>
  <c r="AF17" i="12"/>
  <c r="AH17" i="12"/>
  <c r="AG17" i="12"/>
  <c r="AH33" i="12"/>
  <c r="AG33" i="12"/>
  <c r="AF33" i="12"/>
  <c r="AE44" i="73"/>
  <c r="Z44" i="73"/>
  <c r="AB44" i="73" s="1"/>
  <c r="K44" i="73"/>
  <c r="M44" i="73" s="1"/>
  <c r="P44" i="73"/>
  <c r="R44" i="73" s="1"/>
  <c r="U44" i="73"/>
  <c r="W44" i="73" s="1"/>
  <c r="G44" i="73"/>
  <c r="H44" i="73" s="1"/>
  <c r="L66" i="25"/>
  <c r="O66" i="25" s="1"/>
  <c r="P66" i="25" s="1"/>
  <c r="AX66" i="12"/>
  <c r="AX67" i="12"/>
  <c r="L67" i="25"/>
  <c r="O67" i="25" s="1"/>
  <c r="P67" i="25" s="1"/>
  <c r="AX18" i="12"/>
  <c r="L18" i="25"/>
  <c r="O18" i="25" s="1"/>
  <c r="P18" i="25" s="1"/>
  <c r="L37" i="25"/>
  <c r="O37" i="25" s="1"/>
  <c r="P37" i="25" s="1"/>
  <c r="AX37" i="12"/>
  <c r="AH47" i="12"/>
  <c r="AG47" i="12"/>
  <c r="AF47" i="12"/>
  <c r="AX72" i="12"/>
  <c r="L72" i="25"/>
  <c r="O72" i="25" s="1"/>
  <c r="P72" i="25" s="1"/>
  <c r="AX53" i="12"/>
  <c r="L53" i="25"/>
  <c r="O53" i="25" s="1"/>
  <c r="P53" i="25" s="1"/>
  <c r="P20" i="73"/>
  <c r="R20" i="73" s="1"/>
  <c r="U20" i="73"/>
  <c r="W20" i="73" s="1"/>
  <c r="K20" i="73"/>
  <c r="M20" i="73" s="1"/>
  <c r="AE20" i="73"/>
  <c r="G20" i="73"/>
  <c r="H20" i="73" s="1"/>
  <c r="Z20" i="73"/>
  <c r="AB20" i="73" s="1"/>
  <c r="AG64" i="12"/>
  <c r="AF64" i="12"/>
  <c r="AH64" i="12"/>
  <c r="L71" i="25"/>
  <c r="O71" i="25" s="1"/>
  <c r="P71" i="25" s="1"/>
  <c r="AX71" i="12"/>
  <c r="AH20" i="12"/>
  <c r="AF20" i="12"/>
  <c r="AG20" i="12"/>
  <c r="L46" i="25"/>
  <c r="O46" i="25" s="1"/>
  <c r="P46" i="25" s="1"/>
  <c r="AX46" i="12"/>
  <c r="P31" i="73"/>
  <c r="R31" i="73" s="1"/>
  <c r="AE31" i="73"/>
  <c r="K31" i="73"/>
  <c r="M31" i="73" s="1"/>
  <c r="Z31" i="73"/>
  <c r="AB31" i="73" s="1"/>
  <c r="G31" i="73"/>
  <c r="H31" i="73" s="1"/>
  <c r="U31" i="73"/>
  <c r="W31" i="73" s="1"/>
  <c r="AF57" i="12"/>
  <c r="AH57" i="12"/>
  <c r="AG57" i="12"/>
  <c r="Z29" i="73"/>
  <c r="AB29" i="73" s="1"/>
  <c r="AE29" i="73"/>
  <c r="G29" i="73"/>
  <c r="H29" i="73" s="1"/>
  <c r="F29" i="71" s="1"/>
  <c r="U29" i="73"/>
  <c r="W29" i="73" s="1"/>
  <c r="P29" i="73"/>
  <c r="R29" i="73" s="1"/>
  <c r="K29" i="73"/>
  <c r="M29" i="73" s="1"/>
  <c r="L23" i="25"/>
  <c r="O23" i="25" s="1"/>
  <c r="P23" i="25" s="1"/>
  <c r="AX23" i="12"/>
  <c r="Z53" i="73"/>
  <c r="AB53" i="73" s="1"/>
  <c r="K53" i="73"/>
  <c r="M53" i="73" s="1"/>
  <c r="G53" i="73"/>
  <c r="H53" i="73" s="1"/>
  <c r="AE53" i="73"/>
  <c r="U53" i="73"/>
  <c r="W53" i="73" s="1"/>
  <c r="P53" i="73"/>
  <c r="R53" i="73" s="1"/>
  <c r="U54" i="73"/>
  <c r="W54" i="73" s="1"/>
  <c r="Z54" i="73"/>
  <c r="AB54" i="73" s="1"/>
  <c r="K54" i="73"/>
  <c r="M54" i="73" s="1"/>
  <c r="AE54" i="73"/>
  <c r="G54" i="73"/>
  <c r="H54" i="73" s="1"/>
  <c r="F54" i="71" s="1"/>
  <c r="P54" i="73"/>
  <c r="R54" i="73" s="1"/>
  <c r="Z64" i="73"/>
  <c r="AB64" i="73" s="1"/>
  <c r="K64" i="73"/>
  <c r="M64" i="73" s="1"/>
  <c r="AE64" i="73"/>
  <c r="G64" i="73"/>
  <c r="H64" i="73" s="1"/>
  <c r="U64" i="73"/>
  <c r="W64" i="73" s="1"/>
  <c r="P64" i="73"/>
  <c r="R64" i="73" s="1"/>
  <c r="AF10" i="12"/>
  <c r="AG10" i="12"/>
  <c r="AH10" i="12"/>
  <c r="AF45" i="12"/>
  <c r="AG45" i="12"/>
  <c r="AH45" i="12"/>
  <c r="AH49" i="12"/>
  <c r="AF49" i="12"/>
  <c r="AG49" i="12"/>
  <c r="L17" i="25"/>
  <c r="O17" i="25" s="1"/>
  <c r="P17" i="25" s="1"/>
  <c r="AX17" i="12"/>
  <c r="AX33" i="12"/>
  <c r="L33" i="25"/>
  <c r="O33" i="25" s="1"/>
  <c r="P33" i="25" s="1"/>
  <c r="P14" i="73"/>
  <c r="R14" i="73" s="1"/>
  <c r="U14" i="73"/>
  <c r="W14" i="73" s="1"/>
  <c r="Z14" i="73"/>
  <c r="AB14" i="73" s="1"/>
  <c r="AE14" i="73"/>
  <c r="K14" i="73"/>
  <c r="M14" i="73" s="1"/>
  <c r="G14" i="73"/>
  <c r="H14" i="73" s="1"/>
  <c r="F14" i="71" s="1"/>
  <c r="AF66" i="12"/>
  <c r="AH66" i="12"/>
  <c r="AG66" i="12"/>
  <c r="AF67" i="12"/>
  <c r="AG67" i="12"/>
  <c r="AH67" i="12"/>
  <c r="AG18" i="12"/>
  <c r="AF18" i="12"/>
  <c r="AH18" i="12"/>
  <c r="AF37" i="12"/>
  <c r="AH37" i="12"/>
  <c r="AG37" i="12"/>
  <c r="P74" i="73"/>
  <c r="R74" i="73" s="1"/>
  <c r="U74" i="73"/>
  <c r="W74" i="73" s="1"/>
  <c r="AE74" i="73"/>
  <c r="G74" i="73"/>
  <c r="H74" i="73" s="1"/>
  <c r="F74" i="71" s="1"/>
  <c r="H74" i="71" s="1"/>
  <c r="Z74" i="73"/>
  <c r="AB74" i="73" s="1"/>
  <c r="K74" i="73"/>
  <c r="M74" i="73" s="1"/>
  <c r="AX47" i="12"/>
  <c r="L47" i="25"/>
  <c r="O47" i="25" s="1"/>
  <c r="P47" i="25" s="1"/>
  <c r="U11" i="73"/>
  <c r="W11" i="73" s="1"/>
  <c r="K11" i="73"/>
  <c r="M11" i="73" s="1"/>
  <c r="Z11" i="73"/>
  <c r="AB11" i="73" s="1"/>
  <c r="P11" i="73"/>
  <c r="R11" i="73" s="1"/>
  <c r="G11" i="73"/>
  <c r="H11" i="73" s="1"/>
  <c r="F11" i="71" s="1"/>
  <c r="H11" i="71" s="1"/>
  <c r="AE11" i="73"/>
  <c r="AG72" i="12"/>
  <c r="AH72" i="12"/>
  <c r="AF72" i="12"/>
  <c r="AF53" i="12"/>
  <c r="AH53" i="12"/>
  <c r="AG53" i="12"/>
  <c r="U69" i="73"/>
  <c r="W69" i="73" s="1"/>
  <c r="G69" i="73"/>
  <c r="H69" i="73" s="1"/>
  <c r="F69" i="71" s="1"/>
  <c r="AE69" i="73"/>
  <c r="K69" i="73"/>
  <c r="M69" i="73" s="1"/>
  <c r="Z69" i="73"/>
  <c r="AB69" i="73" s="1"/>
  <c r="P69" i="73"/>
  <c r="R69" i="73" s="1"/>
  <c r="L64" i="25"/>
  <c r="O64" i="25" s="1"/>
  <c r="P64" i="25" s="1"/>
  <c r="AX64" i="12"/>
  <c r="AF71" i="12"/>
  <c r="AH71" i="12"/>
  <c r="AG71" i="12"/>
  <c r="AE33" i="73"/>
  <c r="Z33" i="73"/>
  <c r="AB33" i="73" s="1"/>
  <c r="U33" i="73"/>
  <c r="W33" i="73" s="1"/>
  <c r="K33" i="73"/>
  <c r="M33" i="73" s="1"/>
  <c r="P33" i="73"/>
  <c r="R33" i="73" s="1"/>
  <c r="G33" i="73"/>
  <c r="H33" i="73" s="1"/>
  <c r="F33" i="71" s="1"/>
  <c r="H33" i="71" s="1"/>
  <c r="Z23" i="73"/>
  <c r="AB23" i="73" s="1"/>
  <c r="U23" i="73"/>
  <c r="W23" i="73" s="1"/>
  <c r="AE23" i="73"/>
  <c r="K23" i="73"/>
  <c r="M23" i="73" s="1"/>
  <c r="P23" i="73"/>
  <c r="R23" i="73" s="1"/>
  <c r="G23" i="73"/>
  <c r="H23" i="73" s="1"/>
  <c r="F23" i="71" s="1"/>
  <c r="L20" i="25"/>
  <c r="O20" i="25" s="1"/>
  <c r="P20" i="25" s="1"/>
  <c r="AX20" i="12"/>
  <c r="AX51" i="12"/>
  <c r="L51" i="25"/>
  <c r="O51" i="25" s="1"/>
  <c r="P51" i="25" s="1"/>
  <c r="P51" i="73"/>
  <c r="R51" i="73" s="1"/>
  <c r="K51" i="73"/>
  <c r="M51" i="73" s="1"/>
  <c r="AE51" i="73"/>
  <c r="Z51" i="73"/>
  <c r="AB51" i="73" s="1"/>
  <c r="G51" i="73"/>
  <c r="H51" i="73" s="1"/>
  <c r="U51" i="73"/>
  <c r="W51" i="73" s="1"/>
  <c r="AF51" i="12"/>
  <c r="AH51" i="12"/>
  <c r="AG51" i="12"/>
  <c r="D65" i="10"/>
  <c r="R65" i="25"/>
  <c r="S65" i="25" s="1"/>
  <c r="D65" i="11" s="1"/>
  <c r="AF44" i="12"/>
  <c r="AH44" i="12"/>
  <c r="AG44" i="12"/>
  <c r="AX44" i="12"/>
  <c r="L44" i="25"/>
  <c r="O44" i="25" s="1"/>
  <c r="P44" i="25" s="1"/>
  <c r="H14" i="71"/>
  <c r="AG65" i="12"/>
  <c r="Z75" i="73"/>
  <c r="AB75" i="73" s="1"/>
  <c r="P75" i="73"/>
  <c r="R75" i="73" s="1"/>
  <c r="K75" i="73"/>
  <c r="M75" i="73" s="1"/>
  <c r="U75" i="73"/>
  <c r="W75" i="73" s="1"/>
  <c r="AE75" i="73"/>
  <c r="G75" i="73"/>
  <c r="H75" i="73" s="1"/>
  <c r="AG70" i="12"/>
  <c r="AF70" i="12"/>
  <c r="F70" i="71" s="1"/>
  <c r="AH70" i="12"/>
  <c r="AH42" i="12"/>
  <c r="AF42" i="12"/>
  <c r="F42" i="71" s="1"/>
  <c r="AX70" i="12"/>
  <c r="L70" i="25"/>
  <c r="O70" i="25" s="1"/>
  <c r="P70" i="25" s="1"/>
  <c r="L42" i="25"/>
  <c r="O42" i="25" s="1"/>
  <c r="P42" i="25" s="1"/>
  <c r="AX42" i="12"/>
  <c r="AH55" i="12"/>
  <c r="AG55" i="12"/>
  <c r="AF55" i="12"/>
  <c r="L34" i="25"/>
  <c r="O34" i="25" s="1"/>
  <c r="P34" i="25" s="1"/>
  <c r="AX34" i="12"/>
  <c r="AG15" i="12"/>
  <c r="AH15" i="12"/>
  <c r="AF15" i="12"/>
  <c r="AG26" i="12"/>
  <c r="AF26" i="12"/>
  <c r="F26" i="71" s="1"/>
  <c r="AH26" i="12"/>
  <c r="L55" i="25"/>
  <c r="O55" i="25" s="1"/>
  <c r="P55" i="25" s="1"/>
  <c r="AX55" i="12"/>
  <c r="AF34" i="12"/>
  <c r="F34" i="71" s="1"/>
  <c r="AH34" i="12"/>
  <c r="AG34" i="12"/>
  <c r="L32" i="25"/>
  <c r="O32" i="25" s="1"/>
  <c r="P32" i="25" s="1"/>
  <c r="AX32" i="12"/>
  <c r="U32" i="73"/>
  <c r="W32" i="73" s="1"/>
  <c r="P32" i="73"/>
  <c r="R32" i="73" s="1"/>
  <c r="AE32" i="73"/>
  <c r="Z32" i="73"/>
  <c r="AB32" i="73" s="1"/>
  <c r="K32" i="73"/>
  <c r="M32" i="73" s="1"/>
  <c r="G32" i="73"/>
  <c r="H32" i="73" s="1"/>
  <c r="AX15" i="12"/>
  <c r="L15" i="25"/>
  <c r="O15" i="25" s="1"/>
  <c r="P15" i="25" s="1"/>
  <c r="AX26" i="12"/>
  <c r="L26" i="25"/>
  <c r="O26" i="25" s="1"/>
  <c r="P26" i="25" s="1"/>
  <c r="U55" i="73"/>
  <c r="W55" i="73" s="1"/>
  <c r="P55" i="73"/>
  <c r="R55" i="73" s="1"/>
  <c r="K55" i="73"/>
  <c r="M55" i="73" s="1"/>
  <c r="Z55" i="73"/>
  <c r="AB55" i="73" s="1"/>
  <c r="AE55" i="73"/>
  <c r="G55" i="73"/>
  <c r="H55" i="73" s="1"/>
  <c r="L22" i="25"/>
  <c r="O22" i="25" s="1"/>
  <c r="P22" i="25" s="1"/>
  <c r="AX22" i="12"/>
  <c r="AG22" i="73"/>
  <c r="AK22" i="73" s="1"/>
  <c r="AL22" i="73" s="1"/>
  <c r="AI22" i="73"/>
  <c r="AJ22" i="73" s="1"/>
  <c r="AH32" i="12"/>
  <c r="AF32" i="12"/>
  <c r="AG32" i="12"/>
  <c r="Z65" i="73"/>
  <c r="AB65" i="73" s="1"/>
  <c r="P65" i="73"/>
  <c r="R65" i="73" s="1"/>
  <c r="K65" i="73"/>
  <c r="M65" i="73" s="1"/>
  <c r="U65" i="73"/>
  <c r="W65" i="73" s="1"/>
  <c r="G65" i="73"/>
  <c r="H65" i="73" s="1"/>
  <c r="F65" i="71" s="1"/>
  <c r="H65" i="71" s="1"/>
  <c r="AE65" i="73"/>
  <c r="G15" i="73"/>
  <c r="H15" i="73" s="1"/>
  <c r="Z15" i="73"/>
  <c r="AB15" i="73" s="1"/>
  <c r="U15" i="73"/>
  <c r="W15" i="73" s="1"/>
  <c r="P15" i="73"/>
  <c r="R15" i="73" s="1"/>
  <c r="AE15" i="73"/>
  <c r="K15" i="73"/>
  <c r="M15" i="73" s="1"/>
  <c r="AG22" i="12"/>
  <c r="AF22" i="12"/>
  <c r="AH22" i="12"/>
  <c r="L36" i="25"/>
  <c r="O36" i="25" s="1"/>
  <c r="P36" i="25" s="1"/>
  <c r="AX36" i="12"/>
  <c r="AG56" i="12"/>
  <c r="AF56" i="12"/>
  <c r="AH56" i="12"/>
  <c r="AE60" i="73"/>
  <c r="P60" i="73"/>
  <c r="R60" i="73" s="1"/>
  <c r="G60" i="73"/>
  <c r="H60" i="73" s="1"/>
  <c r="K60" i="73"/>
  <c r="M60" i="73" s="1"/>
  <c r="U60" i="73"/>
  <c r="W60" i="73" s="1"/>
  <c r="Z60" i="73"/>
  <c r="AB60" i="73" s="1"/>
  <c r="Z28" i="73"/>
  <c r="AB28" i="73" s="1"/>
  <c r="AE28" i="73"/>
  <c r="U28" i="73"/>
  <c r="W28" i="73" s="1"/>
  <c r="P28" i="73"/>
  <c r="R28" i="73" s="1"/>
  <c r="G28" i="73"/>
  <c r="H28" i="73" s="1"/>
  <c r="K28" i="73"/>
  <c r="M28" i="73" s="1"/>
  <c r="K56" i="73"/>
  <c r="M56" i="73" s="1"/>
  <c r="AE56" i="73"/>
  <c r="P56" i="73"/>
  <c r="R56" i="73" s="1"/>
  <c r="Z56" i="73"/>
  <c r="AB56" i="73" s="1"/>
  <c r="U56" i="73"/>
  <c r="W56" i="73" s="1"/>
  <c r="G56" i="73"/>
  <c r="H56" i="73" s="1"/>
  <c r="AX68" i="12"/>
  <c r="L68" i="25"/>
  <c r="O68" i="25" s="1"/>
  <c r="P68" i="25" s="1"/>
  <c r="AG28" i="12"/>
  <c r="AF28" i="12"/>
  <c r="AH28" i="12"/>
  <c r="AG50" i="12"/>
  <c r="AF50" i="12"/>
  <c r="AH50" i="12"/>
  <c r="AF24" i="12"/>
  <c r="AG24" i="12"/>
  <c r="AH24" i="12"/>
  <c r="Z50" i="73"/>
  <c r="AB50" i="73" s="1"/>
  <c r="AE50" i="73"/>
  <c r="G50" i="73"/>
  <c r="H50" i="73" s="1"/>
  <c r="U50" i="73"/>
  <c r="W50" i="73" s="1"/>
  <c r="K50" i="73"/>
  <c r="M50" i="73" s="1"/>
  <c r="P50" i="73"/>
  <c r="R50" i="73" s="1"/>
  <c r="AE30" i="73"/>
  <c r="G30" i="73"/>
  <c r="H30" i="73" s="1"/>
  <c r="U30" i="73"/>
  <c r="W30" i="73" s="1"/>
  <c r="Z30" i="73"/>
  <c r="AB30" i="73" s="1"/>
  <c r="P30" i="73"/>
  <c r="R30" i="73" s="1"/>
  <c r="K30" i="73"/>
  <c r="M30" i="73" s="1"/>
  <c r="AF68" i="12"/>
  <c r="AH68" i="12"/>
  <c r="AG68" i="12"/>
  <c r="L52" i="25"/>
  <c r="O52" i="25" s="1"/>
  <c r="P52" i="25" s="1"/>
  <c r="AX52" i="12"/>
  <c r="AX60" i="12"/>
  <c r="L60" i="25"/>
  <c r="O60" i="25" s="1"/>
  <c r="P60" i="25" s="1"/>
  <c r="K24" i="73"/>
  <c r="M24" i="73" s="1"/>
  <c r="U24" i="73"/>
  <c r="W24" i="73" s="1"/>
  <c r="AE24" i="73"/>
  <c r="G24" i="73"/>
  <c r="H24" i="73" s="1"/>
  <c r="Z24" i="73"/>
  <c r="AB24" i="73" s="1"/>
  <c r="P24" i="73"/>
  <c r="R24" i="73" s="1"/>
  <c r="AE12" i="73"/>
  <c r="G12" i="73"/>
  <c r="H12" i="73" s="1"/>
  <c r="K12" i="73"/>
  <c r="M12" i="73" s="1"/>
  <c r="Z12" i="73"/>
  <c r="AB12" i="73" s="1"/>
  <c r="P12" i="73"/>
  <c r="R12" i="73" s="1"/>
  <c r="U12" i="73"/>
  <c r="W12" i="73" s="1"/>
  <c r="AF30" i="12"/>
  <c r="AG30" i="12"/>
  <c r="AH30" i="12"/>
  <c r="L16" i="25"/>
  <c r="O16" i="25" s="1"/>
  <c r="P16" i="25" s="1"/>
  <c r="AX16" i="12"/>
  <c r="AE52" i="73"/>
  <c r="G52" i="73"/>
  <c r="H52" i="73" s="1"/>
  <c r="K52" i="73"/>
  <c r="M52" i="73" s="1"/>
  <c r="U52" i="73"/>
  <c r="W52" i="73" s="1"/>
  <c r="Z52" i="73"/>
  <c r="AB52" i="73" s="1"/>
  <c r="P52" i="73"/>
  <c r="R52" i="73" s="1"/>
  <c r="P16" i="73"/>
  <c r="R16" i="73" s="1"/>
  <c r="AE16" i="73"/>
  <c r="G16" i="73"/>
  <c r="H16" i="73" s="1"/>
  <c r="U16" i="73"/>
  <c r="W16" i="73" s="1"/>
  <c r="Z16" i="73"/>
  <c r="AB16" i="73" s="1"/>
  <c r="K16" i="73"/>
  <c r="M16" i="73" s="1"/>
  <c r="AG52" i="12"/>
  <c r="AH52" i="12"/>
  <c r="AF52" i="12"/>
  <c r="AG60" i="12"/>
  <c r="AH60" i="12"/>
  <c r="AF60" i="12"/>
  <c r="AF12" i="12"/>
  <c r="AH12" i="12"/>
  <c r="AG12" i="12"/>
  <c r="AH36" i="12"/>
  <c r="AF36" i="12"/>
  <c r="AG36" i="12"/>
  <c r="AX56" i="12"/>
  <c r="L56" i="25"/>
  <c r="O56" i="25" s="1"/>
  <c r="P56" i="25" s="1"/>
  <c r="AE68" i="73"/>
  <c r="U68" i="73"/>
  <c r="W68" i="73" s="1"/>
  <c r="P68" i="73"/>
  <c r="R68" i="73" s="1"/>
  <c r="G68" i="73"/>
  <c r="H68" i="73" s="1"/>
  <c r="Z68" i="73"/>
  <c r="AB68" i="73" s="1"/>
  <c r="K68" i="73"/>
  <c r="M68" i="73" s="1"/>
  <c r="AX30" i="12"/>
  <c r="L30" i="25"/>
  <c r="O30" i="25" s="1"/>
  <c r="P30" i="25" s="1"/>
  <c r="AE36" i="73"/>
  <c r="K36" i="73"/>
  <c r="M36" i="73" s="1"/>
  <c r="Z36" i="73"/>
  <c r="AB36" i="73" s="1"/>
  <c r="G36" i="73"/>
  <c r="H36" i="73" s="1"/>
  <c r="P36" i="73"/>
  <c r="R36" i="73" s="1"/>
  <c r="U36" i="73"/>
  <c r="W36" i="73" s="1"/>
  <c r="AF16" i="12"/>
  <c r="AH16" i="12"/>
  <c r="AG16" i="12"/>
  <c r="L28" i="25"/>
  <c r="O28" i="25" s="1"/>
  <c r="P28" i="25" s="1"/>
  <c r="AX28" i="12"/>
  <c r="AX50" i="12"/>
  <c r="L50" i="25"/>
  <c r="O50" i="25" s="1"/>
  <c r="P50" i="25" s="1"/>
  <c r="AX24" i="12"/>
  <c r="L24" i="25"/>
  <c r="O24" i="25" s="1"/>
  <c r="P24" i="25" s="1"/>
  <c r="AX12" i="12"/>
  <c r="L12" i="25"/>
  <c r="O12" i="25" s="1"/>
  <c r="P12" i="25" s="1"/>
  <c r="P63" i="73"/>
  <c r="R63" i="73" s="1"/>
  <c r="G63" i="73"/>
  <c r="H63" i="73" s="1"/>
  <c r="AE63" i="73"/>
  <c r="U63" i="73"/>
  <c r="W63" i="73" s="1"/>
  <c r="K63" i="73"/>
  <c r="M63" i="73" s="1"/>
  <c r="Z63" i="73"/>
  <c r="AB63" i="73" s="1"/>
  <c r="AK76" i="12"/>
  <c r="AD63" i="12"/>
  <c r="AE63" i="12" s="1"/>
  <c r="AW63" i="12"/>
  <c r="AO76" i="12"/>
  <c r="AX38" i="12"/>
  <c r="L38" i="25"/>
  <c r="O38" i="25" s="1"/>
  <c r="P38" i="25" s="1"/>
  <c r="AF38" i="12"/>
  <c r="AH38" i="12"/>
  <c r="P38" i="73"/>
  <c r="R38" i="73" s="1"/>
  <c r="G38" i="73"/>
  <c r="H38" i="73" s="1"/>
  <c r="U38" i="73"/>
  <c r="W38" i="73" s="1"/>
  <c r="Z38" i="73"/>
  <c r="AB38" i="73" s="1"/>
  <c r="K38" i="73"/>
  <c r="M38" i="73" s="1"/>
  <c r="AE38" i="73"/>
  <c r="H61" i="71"/>
  <c r="AD25" i="12"/>
  <c r="AE25" i="12" s="1"/>
  <c r="AW25" i="12"/>
  <c r="R9" i="25"/>
  <c r="S9" i="25" s="1"/>
  <c r="D9" i="11" s="1"/>
  <c r="D9" i="10"/>
  <c r="X76" i="12"/>
  <c r="W76" i="12"/>
  <c r="H29" i="71"/>
  <c r="H69" i="71"/>
  <c r="Q75" i="71"/>
  <c r="F9" i="71"/>
  <c r="Q19" i="71"/>
  <c r="H58" i="71"/>
  <c r="H43" i="71"/>
  <c r="V7" i="12"/>
  <c r="C7" i="73"/>
  <c r="U76" i="12"/>
  <c r="AG8" i="73"/>
  <c r="AK8" i="73" s="1"/>
  <c r="AL8" i="73" s="1"/>
  <c r="AI8" i="73"/>
  <c r="AJ8" i="73" s="1"/>
  <c r="H23" i="71"/>
  <c r="AG9" i="73"/>
  <c r="H19" i="71"/>
  <c r="AA76" i="12"/>
  <c r="F8" i="71"/>
  <c r="AQ75" i="12"/>
  <c r="D75" i="25" s="1"/>
  <c r="E75" i="25" s="1"/>
  <c r="F75" i="25" s="1"/>
  <c r="G75" i="25" s="1"/>
  <c r="D8" i="10"/>
  <c r="R8" i="25"/>
  <c r="S8" i="25" s="1"/>
  <c r="D8" i="11" s="1"/>
  <c r="Z25" i="73"/>
  <c r="AB25" i="73" s="1"/>
  <c r="K25" i="73"/>
  <c r="M25" i="73" s="1"/>
  <c r="P25" i="73"/>
  <c r="R25" i="73" s="1"/>
  <c r="G25" i="73"/>
  <c r="H25" i="73" s="1"/>
  <c r="AE25" i="73"/>
  <c r="U25" i="73"/>
  <c r="W25" i="73" s="1"/>
  <c r="C19" i="9"/>
  <c r="H54" i="71"/>
  <c r="AC7" i="12"/>
  <c r="Z76" i="12"/>
  <c r="AP8" i="12"/>
  <c r="Q77" i="27"/>
  <c r="AK9" i="73" l="1"/>
  <c r="AL9" i="73" s="1"/>
  <c r="AI9" i="73"/>
  <c r="AJ9" i="73" s="1"/>
  <c r="AP9" i="12"/>
  <c r="AL9" i="12"/>
  <c r="AM9" i="12" s="1"/>
  <c r="Q9" i="71" s="1"/>
  <c r="AL8" i="12"/>
  <c r="AM8" i="12" s="1"/>
  <c r="AL65" i="12"/>
  <c r="AM65" i="12" s="1"/>
  <c r="Q65" i="71" s="1"/>
  <c r="D65" i="27" s="1"/>
  <c r="E65" i="27" s="1"/>
  <c r="H65" i="27" s="1"/>
  <c r="AI65" i="12"/>
  <c r="AI73" i="73"/>
  <c r="AJ73" i="73" s="1"/>
  <c r="AG73" i="73"/>
  <c r="AK73" i="73" s="1"/>
  <c r="AL73" i="73" s="1"/>
  <c r="F39" i="71"/>
  <c r="H39" i="71" s="1"/>
  <c r="AI73" i="12"/>
  <c r="AP73" i="12"/>
  <c r="AL73" i="12"/>
  <c r="AM73" i="12" s="1"/>
  <c r="Q73" i="71" s="1"/>
  <c r="D73" i="10"/>
  <c r="R73" i="25"/>
  <c r="S73" i="25" s="1"/>
  <c r="D73" i="11" s="1"/>
  <c r="H26" i="71"/>
  <c r="F24" i="71"/>
  <c r="F21" i="71"/>
  <c r="F64" i="71"/>
  <c r="AL71" i="12"/>
  <c r="AM71" i="12" s="1"/>
  <c r="Q71" i="71" s="1"/>
  <c r="AP71" i="12"/>
  <c r="AI71" i="12"/>
  <c r="AG11" i="73"/>
  <c r="AK11" i="73" s="1"/>
  <c r="AL11" i="73" s="1"/>
  <c r="AI11" i="73"/>
  <c r="AJ11" i="73" s="1"/>
  <c r="AP67" i="12"/>
  <c r="AI67" i="12"/>
  <c r="AL67" i="12"/>
  <c r="AM67" i="12" s="1"/>
  <c r="Q67" i="71" s="1"/>
  <c r="AI66" i="12"/>
  <c r="AL66" i="12"/>
  <c r="AM66" i="12" s="1"/>
  <c r="Q66" i="71" s="1"/>
  <c r="D66" i="28" s="1"/>
  <c r="E66" i="28" s="1"/>
  <c r="H66" i="28" s="1"/>
  <c r="AP66" i="12"/>
  <c r="AG14" i="73"/>
  <c r="AK14" i="73" s="1"/>
  <c r="AL14" i="73" s="1"/>
  <c r="AI14" i="73"/>
  <c r="AJ14" i="73" s="1"/>
  <c r="R33" i="25"/>
  <c r="S33" i="25" s="1"/>
  <c r="D33" i="11" s="1"/>
  <c r="D33" i="10"/>
  <c r="AG64" i="73"/>
  <c r="AK64" i="73" s="1"/>
  <c r="AL64" i="73" s="1"/>
  <c r="AI64" i="73"/>
  <c r="AJ64" i="73" s="1"/>
  <c r="F53" i="71"/>
  <c r="R23" i="25"/>
  <c r="S23" i="25" s="1"/>
  <c r="D23" i="11" s="1"/>
  <c r="D23" i="10"/>
  <c r="AP57" i="12"/>
  <c r="AL57" i="12"/>
  <c r="AM57" i="12" s="1"/>
  <c r="Q57" i="71" s="1"/>
  <c r="AI57" i="12"/>
  <c r="R18" i="25"/>
  <c r="S18" i="25" s="1"/>
  <c r="D18" i="11" s="1"/>
  <c r="D18" i="10"/>
  <c r="AI17" i="12"/>
  <c r="AL17" i="12"/>
  <c r="AM17" i="12" s="1"/>
  <c r="Q17" i="71" s="1"/>
  <c r="AP17" i="12"/>
  <c r="R45" i="25"/>
  <c r="S45" i="25" s="1"/>
  <c r="D45" i="11" s="1"/>
  <c r="D45" i="10"/>
  <c r="D10" i="10"/>
  <c r="R10" i="25"/>
  <c r="S10" i="25" s="1"/>
  <c r="D10" i="11" s="1"/>
  <c r="AP23" i="12"/>
  <c r="AI23" i="12"/>
  <c r="AL23" i="12"/>
  <c r="AM23" i="12" s="1"/>
  <c r="AI58" i="73"/>
  <c r="AJ58" i="73" s="1"/>
  <c r="AG58" i="73"/>
  <c r="AK58" i="73" s="1"/>
  <c r="AL58" i="73" s="1"/>
  <c r="R57" i="25"/>
  <c r="S57" i="25" s="1"/>
  <c r="D57" i="11" s="1"/>
  <c r="D57" i="10"/>
  <c r="AG18" i="73"/>
  <c r="AK18" i="73" s="1"/>
  <c r="AL18" i="73" s="1"/>
  <c r="AI18" i="73"/>
  <c r="AJ18" i="73" s="1"/>
  <c r="AP46" i="12"/>
  <c r="AL46" i="12"/>
  <c r="AM46" i="12" s="1"/>
  <c r="Q46" i="71" s="1"/>
  <c r="AI46" i="12"/>
  <c r="AP59" i="12"/>
  <c r="AI59" i="12"/>
  <c r="AL59" i="12"/>
  <c r="AM59" i="12" s="1"/>
  <c r="Q59" i="71" s="1"/>
  <c r="D39" i="10"/>
  <c r="R39" i="25"/>
  <c r="S39" i="25" s="1"/>
  <c r="D39" i="11" s="1"/>
  <c r="D27" i="10"/>
  <c r="R27" i="25"/>
  <c r="S27" i="25" s="1"/>
  <c r="D27" i="11" s="1"/>
  <c r="R43" i="25"/>
  <c r="S43" i="25" s="1"/>
  <c r="D43" i="11" s="1"/>
  <c r="D43" i="10"/>
  <c r="AL11" i="12"/>
  <c r="AM11" i="12" s="1"/>
  <c r="Q11" i="71" s="1"/>
  <c r="AP11" i="12"/>
  <c r="AI11" i="12"/>
  <c r="AI69" i="12"/>
  <c r="AL69" i="12"/>
  <c r="AM69" i="12" s="1"/>
  <c r="Q69" i="71" s="1"/>
  <c r="D69" i="28" s="1"/>
  <c r="E69" i="28" s="1"/>
  <c r="H69" i="28" s="1"/>
  <c r="AP69" i="12"/>
  <c r="AG41" i="73"/>
  <c r="AK41" i="73" s="1"/>
  <c r="AL41" i="73" s="1"/>
  <c r="AI41" i="73"/>
  <c r="AJ41" i="73" s="1"/>
  <c r="AI58" i="12"/>
  <c r="AL58" i="12"/>
  <c r="AM58" i="12" s="1"/>
  <c r="Q58" i="71" s="1"/>
  <c r="AP58" i="12"/>
  <c r="AP29" i="12"/>
  <c r="AL29" i="12"/>
  <c r="AM29" i="12" s="1"/>
  <c r="Q29" i="71" s="1"/>
  <c r="D29" i="27" s="1"/>
  <c r="E29" i="27" s="1"/>
  <c r="H29" i="27" s="1"/>
  <c r="AI29" i="12"/>
  <c r="AG35" i="73"/>
  <c r="AK35" i="73" s="1"/>
  <c r="AL35" i="73" s="1"/>
  <c r="AI35" i="73"/>
  <c r="AJ35" i="73" s="1"/>
  <c r="R62" i="25"/>
  <c r="S62" i="25" s="1"/>
  <c r="D62" i="11" s="1"/>
  <c r="D62" i="10"/>
  <c r="F17" i="71"/>
  <c r="AP18" i="12"/>
  <c r="AL18" i="12"/>
  <c r="AM18" i="12" s="1"/>
  <c r="Q18" i="71" s="1"/>
  <c r="D18" i="28" s="1"/>
  <c r="E18" i="28" s="1"/>
  <c r="H18" i="28" s="1"/>
  <c r="AI18" i="12"/>
  <c r="AG54" i="73"/>
  <c r="AK54" i="73" s="1"/>
  <c r="AL54" i="73" s="1"/>
  <c r="AI54" i="73"/>
  <c r="AJ54" i="73" s="1"/>
  <c r="AI29" i="73"/>
  <c r="AJ29" i="73" s="1"/>
  <c r="AG29" i="73"/>
  <c r="AK29" i="73" s="1"/>
  <c r="AL29" i="73" s="1"/>
  <c r="R46" i="25"/>
  <c r="S46" i="25" s="1"/>
  <c r="D46" i="11" s="1"/>
  <c r="D46" i="10"/>
  <c r="R71" i="25"/>
  <c r="S71" i="25" s="1"/>
  <c r="D71" i="11" s="1"/>
  <c r="D71" i="10"/>
  <c r="R72" i="25"/>
  <c r="S72" i="25" s="1"/>
  <c r="D72" i="11" s="1"/>
  <c r="D72" i="10"/>
  <c r="AP47" i="12"/>
  <c r="AI47" i="12"/>
  <c r="AL47" i="12"/>
  <c r="AM47" i="12" s="1"/>
  <c r="Q47" i="71" s="1"/>
  <c r="D47" i="27" s="1"/>
  <c r="E47" i="27" s="1"/>
  <c r="H47" i="27" s="1"/>
  <c r="R66" i="25"/>
  <c r="S66" i="25" s="1"/>
  <c r="D66" i="11" s="1"/>
  <c r="D66" i="10"/>
  <c r="AI40" i="73"/>
  <c r="AJ40" i="73" s="1"/>
  <c r="AG40" i="73"/>
  <c r="AK40" i="73" s="1"/>
  <c r="AL40" i="73" s="1"/>
  <c r="AG49" i="73"/>
  <c r="AK49" i="73" s="1"/>
  <c r="AL49" i="73" s="1"/>
  <c r="AI49" i="73"/>
  <c r="AJ49" i="73" s="1"/>
  <c r="D48" i="10"/>
  <c r="R48" i="25"/>
  <c r="S48" i="25" s="1"/>
  <c r="D48" i="11" s="1"/>
  <c r="AI72" i="73"/>
  <c r="AJ72" i="73" s="1"/>
  <c r="AG72" i="73"/>
  <c r="AK72" i="73" s="1"/>
  <c r="AL72" i="73" s="1"/>
  <c r="AI35" i="12"/>
  <c r="AL35" i="12"/>
  <c r="AM35" i="12" s="1"/>
  <c r="Q35" i="71" s="1"/>
  <c r="AP35" i="12"/>
  <c r="D69" i="10"/>
  <c r="R69" i="25"/>
  <c r="S69" i="25" s="1"/>
  <c r="D69" i="11" s="1"/>
  <c r="D58" i="10"/>
  <c r="R58" i="25"/>
  <c r="S58" i="25" s="1"/>
  <c r="D58" i="11" s="1"/>
  <c r="D29" i="10"/>
  <c r="R29" i="25"/>
  <c r="S29" i="25" s="1"/>
  <c r="D29" i="11" s="1"/>
  <c r="R54" i="25"/>
  <c r="S54" i="25" s="1"/>
  <c r="D54" i="11" s="1"/>
  <c r="D54" i="10"/>
  <c r="D61" i="10"/>
  <c r="R61" i="25"/>
  <c r="S61" i="25" s="1"/>
  <c r="D61" i="11" s="1"/>
  <c r="AI41" i="12"/>
  <c r="AP41" i="12"/>
  <c r="AL41" i="12"/>
  <c r="AM41" i="12" s="1"/>
  <c r="Q41" i="71" s="1"/>
  <c r="AL14" i="12"/>
  <c r="AM14" i="12" s="1"/>
  <c r="Q14" i="71" s="1"/>
  <c r="D14" i="28" s="1"/>
  <c r="E14" i="28" s="1"/>
  <c r="H14" i="28" s="1"/>
  <c r="AI14" i="12"/>
  <c r="AP14" i="12"/>
  <c r="AG48" i="73"/>
  <c r="AK48" i="73" s="1"/>
  <c r="AL48" i="73" s="1"/>
  <c r="AI48" i="73"/>
  <c r="AJ48" i="73" s="1"/>
  <c r="F10" i="71"/>
  <c r="AP39" i="12"/>
  <c r="AI39" i="12"/>
  <c r="AL39" i="12"/>
  <c r="AM39" i="12" s="1"/>
  <c r="Q39" i="71" s="1"/>
  <c r="D39" i="28" s="1"/>
  <c r="E39" i="28" s="1"/>
  <c r="H39" i="28" s="1"/>
  <c r="AI27" i="12"/>
  <c r="AP27" i="12"/>
  <c r="AL27" i="12"/>
  <c r="AM27" i="12" s="1"/>
  <c r="Q27" i="71" s="1"/>
  <c r="D27" i="27" s="1"/>
  <c r="E27" i="27" s="1"/>
  <c r="H27" i="27" s="1"/>
  <c r="F57" i="71"/>
  <c r="D40" i="10"/>
  <c r="R40" i="25"/>
  <c r="S40" i="25" s="1"/>
  <c r="D40" i="11" s="1"/>
  <c r="AG17" i="73"/>
  <c r="AK17" i="73" s="1"/>
  <c r="AL17" i="73" s="1"/>
  <c r="AI17" i="73"/>
  <c r="AJ17" i="73" s="1"/>
  <c r="F45" i="71"/>
  <c r="AI43" i="12"/>
  <c r="AP43" i="12"/>
  <c r="AL43" i="12"/>
  <c r="AM43" i="12" s="1"/>
  <c r="Q43" i="71" s="1"/>
  <c r="D41" i="10"/>
  <c r="R41" i="25"/>
  <c r="S41" i="25" s="1"/>
  <c r="D41" i="11" s="1"/>
  <c r="D20" i="10"/>
  <c r="R20" i="25"/>
  <c r="S20" i="25" s="1"/>
  <c r="D20" i="11" s="1"/>
  <c r="AI23" i="73"/>
  <c r="AJ23" i="73" s="1"/>
  <c r="AG23" i="73"/>
  <c r="AK23" i="73" s="1"/>
  <c r="AL23" i="73" s="1"/>
  <c r="AI33" i="73"/>
  <c r="AJ33" i="73" s="1"/>
  <c r="AG33" i="73"/>
  <c r="AK33" i="73" s="1"/>
  <c r="AL33" i="73" s="1"/>
  <c r="AL72" i="12"/>
  <c r="AM72" i="12" s="1"/>
  <c r="Q72" i="71" s="1"/>
  <c r="D72" i="27" s="1"/>
  <c r="E72" i="27" s="1"/>
  <c r="H72" i="27" s="1"/>
  <c r="AI72" i="12"/>
  <c r="AP72" i="12"/>
  <c r="R47" i="25"/>
  <c r="S47" i="25" s="1"/>
  <c r="D47" i="11" s="1"/>
  <c r="D47" i="10"/>
  <c r="AI49" i="12"/>
  <c r="AP49" i="12"/>
  <c r="AL49" i="12"/>
  <c r="AM49" i="12" s="1"/>
  <c r="Q49" i="71" s="1"/>
  <c r="AL10" i="12"/>
  <c r="AM10" i="12" s="1"/>
  <c r="Q10" i="71" s="1"/>
  <c r="AP10" i="12"/>
  <c r="AI10" i="12"/>
  <c r="AI31" i="73"/>
  <c r="AJ31" i="73" s="1"/>
  <c r="AG31" i="73"/>
  <c r="AK31" i="73" s="1"/>
  <c r="AL31" i="73" s="1"/>
  <c r="AI64" i="12"/>
  <c r="AL64" i="12"/>
  <c r="AM64" i="12" s="1"/>
  <c r="Q64" i="71" s="1"/>
  <c r="D64" i="28" s="1"/>
  <c r="E64" i="28" s="1"/>
  <c r="H64" i="28" s="1"/>
  <c r="AP64" i="12"/>
  <c r="F20" i="71"/>
  <c r="R67" i="25"/>
  <c r="S67" i="25" s="1"/>
  <c r="D67" i="11" s="1"/>
  <c r="D67" i="10"/>
  <c r="F44" i="71"/>
  <c r="AP33" i="12"/>
  <c r="AI33" i="12"/>
  <c r="AL33" i="12"/>
  <c r="AM33" i="12" s="1"/>
  <c r="Q33" i="71" s="1"/>
  <c r="D33" i="27" s="1"/>
  <c r="E33" i="27" s="1"/>
  <c r="H33" i="27" s="1"/>
  <c r="AI21" i="73"/>
  <c r="AJ21" i="73" s="1"/>
  <c r="AG21" i="73"/>
  <c r="AK21" i="73" s="1"/>
  <c r="AL21" i="73" s="1"/>
  <c r="AI67" i="73"/>
  <c r="AJ67" i="73" s="1"/>
  <c r="AG67" i="73"/>
  <c r="AK67" i="73" s="1"/>
  <c r="AL67" i="73" s="1"/>
  <c r="AP21" i="12"/>
  <c r="AI21" i="12"/>
  <c r="AL21" i="12"/>
  <c r="AM21" i="12" s="1"/>
  <c r="Q21" i="71" s="1"/>
  <c r="F72" i="71"/>
  <c r="AI39" i="73"/>
  <c r="AJ39" i="73" s="1"/>
  <c r="AG39" i="73"/>
  <c r="AK39" i="73" s="1"/>
  <c r="AL39" i="73" s="1"/>
  <c r="F46" i="71"/>
  <c r="AL74" i="12"/>
  <c r="AM74" i="12" s="1"/>
  <c r="Q74" i="71" s="1"/>
  <c r="D74" i="28" s="1"/>
  <c r="E74" i="28" s="1"/>
  <c r="H74" i="28" s="1"/>
  <c r="AP74" i="12"/>
  <c r="AI74" i="12"/>
  <c r="AL40" i="12"/>
  <c r="AM40" i="12" s="1"/>
  <c r="Q40" i="71" s="1"/>
  <c r="AP40" i="12"/>
  <c r="AI40" i="12"/>
  <c r="D13" i="10"/>
  <c r="R13" i="25"/>
  <c r="S13" i="25" s="1"/>
  <c r="D13" i="11" s="1"/>
  <c r="R21" i="25"/>
  <c r="S21" i="25" s="1"/>
  <c r="D21" i="11" s="1"/>
  <c r="D21" i="10"/>
  <c r="AG37" i="73"/>
  <c r="AK37" i="73" s="1"/>
  <c r="AL37" i="73" s="1"/>
  <c r="AI37" i="73"/>
  <c r="AJ37" i="73" s="1"/>
  <c r="F48" i="71"/>
  <c r="AG27" i="73"/>
  <c r="AK27" i="73" s="1"/>
  <c r="AL27" i="73" s="1"/>
  <c r="AI27" i="73"/>
  <c r="AJ27" i="73" s="1"/>
  <c r="R35" i="25"/>
  <c r="S35" i="25" s="1"/>
  <c r="D35" i="11" s="1"/>
  <c r="D35" i="10"/>
  <c r="AG62" i="73"/>
  <c r="AK62" i="73" s="1"/>
  <c r="AL62" i="73" s="1"/>
  <c r="AI62" i="73"/>
  <c r="AJ62" i="73" s="1"/>
  <c r="D31" i="10"/>
  <c r="R31" i="25"/>
  <c r="S31" i="25" s="1"/>
  <c r="D31" i="11" s="1"/>
  <c r="F66" i="71"/>
  <c r="F59" i="71"/>
  <c r="F47" i="71"/>
  <c r="AI45" i="73"/>
  <c r="AJ45" i="73" s="1"/>
  <c r="AG45" i="73"/>
  <c r="AK45" i="73" s="1"/>
  <c r="AL45" i="73" s="1"/>
  <c r="F71" i="71"/>
  <c r="AP13" i="12"/>
  <c r="AI13" i="12"/>
  <c r="AL13" i="12"/>
  <c r="AM13" i="12" s="1"/>
  <c r="Q13" i="71" s="1"/>
  <c r="AP61" i="12"/>
  <c r="AI61" i="12"/>
  <c r="AL61" i="12"/>
  <c r="AM61" i="12" s="1"/>
  <c r="Q61" i="71" s="1"/>
  <c r="D61" i="26" s="1"/>
  <c r="E61" i="26" s="1"/>
  <c r="H61" i="26" s="1"/>
  <c r="D64" i="10"/>
  <c r="R64" i="25"/>
  <c r="S64" i="25" s="1"/>
  <c r="D64" i="11" s="1"/>
  <c r="AI69" i="73"/>
  <c r="AJ69" i="73" s="1"/>
  <c r="AG69" i="73"/>
  <c r="AK69" i="73" s="1"/>
  <c r="AL69" i="73" s="1"/>
  <c r="AP53" i="12"/>
  <c r="AL53" i="12"/>
  <c r="AM53" i="12" s="1"/>
  <c r="Q53" i="71" s="1"/>
  <c r="AI53" i="12"/>
  <c r="AI74" i="73"/>
  <c r="AJ74" i="73" s="1"/>
  <c r="AG74" i="73"/>
  <c r="AK74" i="73" s="1"/>
  <c r="AL74" i="73" s="1"/>
  <c r="AI37" i="12"/>
  <c r="AL37" i="12"/>
  <c r="AM37" i="12" s="1"/>
  <c r="Q37" i="71" s="1"/>
  <c r="D37" i="28" s="1"/>
  <c r="E37" i="28" s="1"/>
  <c r="H37" i="28" s="1"/>
  <c r="AP37" i="12"/>
  <c r="D17" i="10"/>
  <c r="R17" i="25"/>
  <c r="S17" i="25" s="1"/>
  <c r="D17" i="11" s="1"/>
  <c r="AI45" i="12"/>
  <c r="AL45" i="12"/>
  <c r="AM45" i="12" s="1"/>
  <c r="Q45" i="71" s="1"/>
  <c r="D45" i="27" s="1"/>
  <c r="E45" i="27" s="1"/>
  <c r="H45" i="27" s="1"/>
  <c r="AP45" i="12"/>
  <c r="AI53" i="73"/>
  <c r="AJ53" i="73" s="1"/>
  <c r="AG53" i="73"/>
  <c r="AK53" i="73" s="1"/>
  <c r="AL53" i="73" s="1"/>
  <c r="F31" i="71"/>
  <c r="AL20" i="12"/>
  <c r="AM20" i="12" s="1"/>
  <c r="Q20" i="71" s="1"/>
  <c r="AP20" i="12"/>
  <c r="AI20" i="12"/>
  <c r="AI20" i="73"/>
  <c r="AJ20" i="73" s="1"/>
  <c r="AG20" i="73"/>
  <c r="AK20" i="73" s="1"/>
  <c r="AL20" i="73" s="1"/>
  <c r="R53" i="25"/>
  <c r="S53" i="25" s="1"/>
  <c r="D53" i="11" s="1"/>
  <c r="D53" i="10"/>
  <c r="D37" i="10"/>
  <c r="R37" i="25"/>
  <c r="S37" i="25" s="1"/>
  <c r="D37" i="11" s="1"/>
  <c r="AI44" i="73"/>
  <c r="AJ44" i="73" s="1"/>
  <c r="AG44" i="73"/>
  <c r="AK44" i="73" s="1"/>
  <c r="AL44" i="73" s="1"/>
  <c r="R49" i="25"/>
  <c r="S49" i="25" s="1"/>
  <c r="D49" i="11" s="1"/>
  <c r="D49" i="10"/>
  <c r="AI43" i="73"/>
  <c r="AJ43" i="73" s="1"/>
  <c r="AG43" i="73"/>
  <c r="AK43" i="73" s="1"/>
  <c r="AL43" i="73" s="1"/>
  <c r="F67" i="71"/>
  <c r="F49" i="71"/>
  <c r="F18" i="71"/>
  <c r="R11" i="25"/>
  <c r="S11" i="25" s="1"/>
  <c r="D11" i="11" s="1"/>
  <c r="D11" i="10"/>
  <c r="R14" i="25"/>
  <c r="S14" i="25" s="1"/>
  <c r="D14" i="11" s="1"/>
  <c r="D14" i="10"/>
  <c r="AI46" i="73"/>
  <c r="AJ46" i="73" s="1"/>
  <c r="AG46" i="73"/>
  <c r="AK46" i="73" s="1"/>
  <c r="AL46" i="73" s="1"/>
  <c r="AL31" i="12"/>
  <c r="AM31" i="12" s="1"/>
  <c r="Q31" i="71" s="1"/>
  <c r="AP31" i="12"/>
  <c r="AI31" i="12"/>
  <c r="AL62" i="12"/>
  <c r="AM62" i="12" s="1"/>
  <c r="Q62" i="71" s="1"/>
  <c r="AI62" i="12"/>
  <c r="AP62" i="12"/>
  <c r="AP48" i="12"/>
  <c r="AL48" i="12"/>
  <c r="AM48" i="12" s="1"/>
  <c r="Q48" i="71" s="1"/>
  <c r="AI48" i="12"/>
  <c r="AG13" i="73"/>
  <c r="AK13" i="73" s="1"/>
  <c r="AL13" i="73" s="1"/>
  <c r="AI13" i="73"/>
  <c r="AJ13" i="73" s="1"/>
  <c r="F37" i="71"/>
  <c r="AI61" i="73"/>
  <c r="AJ61" i="73" s="1"/>
  <c r="AG61" i="73"/>
  <c r="AK61" i="73" s="1"/>
  <c r="AL61" i="73" s="1"/>
  <c r="F27" i="71"/>
  <c r="AG10" i="73"/>
  <c r="AK10" i="73" s="1"/>
  <c r="AL10" i="73" s="1"/>
  <c r="AI10" i="73"/>
  <c r="AJ10" i="73" s="1"/>
  <c r="F41" i="71"/>
  <c r="F62" i="71"/>
  <c r="R59" i="25"/>
  <c r="S59" i="25" s="1"/>
  <c r="D59" i="11" s="1"/>
  <c r="D59" i="10"/>
  <c r="D74" i="10"/>
  <c r="R74" i="25"/>
  <c r="S74" i="25" s="1"/>
  <c r="D74" i="11" s="1"/>
  <c r="AG57" i="73"/>
  <c r="AK57" i="73" s="1"/>
  <c r="AL57" i="73" s="1"/>
  <c r="AI57" i="73"/>
  <c r="AJ57" i="73" s="1"/>
  <c r="F35" i="71"/>
  <c r="AP54" i="12"/>
  <c r="AI54" i="12"/>
  <c r="AL54" i="12"/>
  <c r="AM54" i="12" s="1"/>
  <c r="Q54" i="71" s="1"/>
  <c r="D54" i="27" s="1"/>
  <c r="E54" i="27" s="1"/>
  <c r="H54" i="27" s="1"/>
  <c r="AI66" i="73"/>
  <c r="AJ66" i="73" s="1"/>
  <c r="AG66" i="73"/>
  <c r="AK66" i="73" s="1"/>
  <c r="AL66" i="73" s="1"/>
  <c r="AI59" i="73"/>
  <c r="AJ59" i="73" s="1"/>
  <c r="AG59" i="73"/>
  <c r="AK59" i="73" s="1"/>
  <c r="AL59" i="73" s="1"/>
  <c r="AI47" i="73"/>
  <c r="AJ47" i="73" s="1"/>
  <c r="AG47" i="73"/>
  <c r="AK47" i="73" s="1"/>
  <c r="AL47" i="73" s="1"/>
  <c r="AI71" i="73"/>
  <c r="AJ71" i="73" s="1"/>
  <c r="AG71" i="73"/>
  <c r="AK71" i="73" s="1"/>
  <c r="AL71" i="73" s="1"/>
  <c r="AP51" i="12"/>
  <c r="AI51" i="12"/>
  <c r="AL51" i="12"/>
  <c r="AM51" i="12" s="1"/>
  <c r="Q51" i="71" s="1"/>
  <c r="D51" i="26" s="1"/>
  <c r="E51" i="26" s="1"/>
  <c r="H51" i="26" s="1"/>
  <c r="F51" i="71"/>
  <c r="D51" i="10"/>
  <c r="R51" i="25"/>
  <c r="S51" i="25" s="1"/>
  <c r="D51" i="11" s="1"/>
  <c r="AG51" i="73"/>
  <c r="AK51" i="73" s="1"/>
  <c r="AL51" i="73" s="1"/>
  <c r="AI51" i="73"/>
  <c r="AJ51" i="73" s="1"/>
  <c r="F15" i="71"/>
  <c r="D44" i="10"/>
  <c r="R44" i="25"/>
  <c r="S44" i="25" s="1"/>
  <c r="D44" i="11" s="1"/>
  <c r="AP44" i="12"/>
  <c r="AL44" i="12"/>
  <c r="AM44" i="12" s="1"/>
  <c r="Q44" i="71" s="1"/>
  <c r="D44" i="26" s="1"/>
  <c r="E44" i="26" s="1"/>
  <c r="H44" i="26" s="1"/>
  <c r="AI44" i="12"/>
  <c r="H42" i="71"/>
  <c r="F36" i="71"/>
  <c r="H70" i="71"/>
  <c r="AG75" i="73"/>
  <c r="AK75" i="73" s="1"/>
  <c r="AL75" i="73" s="1"/>
  <c r="AI75" i="73"/>
  <c r="AJ75" i="73" s="1"/>
  <c r="F56" i="71"/>
  <c r="F55" i="71"/>
  <c r="F75" i="71"/>
  <c r="F68" i="71"/>
  <c r="D42" i="10"/>
  <c r="R42" i="25"/>
  <c r="S42" i="25" s="1"/>
  <c r="D42" i="11" s="1"/>
  <c r="AP42" i="12"/>
  <c r="AI42" i="12"/>
  <c r="AL42" i="12"/>
  <c r="AM42" i="12" s="1"/>
  <c r="Q42" i="71" s="1"/>
  <c r="AQ65" i="12"/>
  <c r="D65" i="25" s="1"/>
  <c r="E65" i="25" s="1"/>
  <c r="F65" i="25" s="1"/>
  <c r="G65" i="25" s="1"/>
  <c r="C65" i="9"/>
  <c r="R70" i="25"/>
  <c r="S70" i="25" s="1"/>
  <c r="D70" i="11" s="1"/>
  <c r="D70" i="10"/>
  <c r="AL70" i="12"/>
  <c r="AM70" i="12" s="1"/>
  <c r="Q70" i="71" s="1"/>
  <c r="D70" i="27" s="1"/>
  <c r="E70" i="27" s="1"/>
  <c r="H70" i="27" s="1"/>
  <c r="AP70" i="12"/>
  <c r="AI70" i="12"/>
  <c r="H34" i="71"/>
  <c r="AP22" i="12"/>
  <c r="AI22" i="12"/>
  <c r="AL22" i="12"/>
  <c r="AM22" i="12" s="1"/>
  <c r="Q22" i="71" s="1"/>
  <c r="D22" i="28" s="1"/>
  <c r="E22" i="28" s="1"/>
  <c r="H22" i="28" s="1"/>
  <c r="R22" i="25"/>
  <c r="S22" i="25" s="1"/>
  <c r="D22" i="11" s="1"/>
  <c r="D22" i="10"/>
  <c r="AP34" i="12"/>
  <c r="AL34" i="12"/>
  <c r="AM34" i="12" s="1"/>
  <c r="Q34" i="71" s="1"/>
  <c r="D34" i="27" s="1"/>
  <c r="E34" i="27" s="1"/>
  <c r="H34" i="27" s="1"/>
  <c r="AI34" i="12"/>
  <c r="AI32" i="12"/>
  <c r="AP32" i="12"/>
  <c r="AL32" i="12"/>
  <c r="AM32" i="12" s="1"/>
  <c r="Q32" i="71" s="1"/>
  <c r="D32" i="27" s="1"/>
  <c r="E32" i="27" s="1"/>
  <c r="H32" i="27" s="1"/>
  <c r="D15" i="10"/>
  <c r="R15" i="25"/>
  <c r="S15" i="25" s="1"/>
  <c r="D15" i="11" s="1"/>
  <c r="AG15" i="73"/>
  <c r="AK15" i="73" s="1"/>
  <c r="AL15" i="73" s="1"/>
  <c r="AI15" i="73"/>
  <c r="AJ15" i="73" s="1"/>
  <c r="AG55" i="73"/>
  <c r="AK55" i="73" s="1"/>
  <c r="AL55" i="73" s="1"/>
  <c r="AI55" i="73"/>
  <c r="AJ55" i="73" s="1"/>
  <c r="AI32" i="73"/>
  <c r="AJ32" i="73" s="1"/>
  <c r="AG32" i="73"/>
  <c r="AK32" i="73" s="1"/>
  <c r="AL32" i="73" s="1"/>
  <c r="D32" i="10"/>
  <c r="R32" i="25"/>
  <c r="S32" i="25" s="1"/>
  <c r="D32" i="11" s="1"/>
  <c r="F22" i="71"/>
  <c r="AL26" i="12"/>
  <c r="AM26" i="12" s="1"/>
  <c r="Q26" i="71" s="1"/>
  <c r="D26" i="28" s="1"/>
  <c r="E26" i="28" s="1"/>
  <c r="H26" i="28" s="1"/>
  <c r="AP26" i="12"/>
  <c r="AI26" i="12"/>
  <c r="AP15" i="12"/>
  <c r="AL15" i="12"/>
  <c r="AM15" i="12" s="1"/>
  <c r="AI15" i="12"/>
  <c r="AI55" i="12"/>
  <c r="AP55" i="12"/>
  <c r="AL55" i="12"/>
  <c r="AM55" i="12" s="1"/>
  <c r="Q55" i="71" s="1"/>
  <c r="D55" i="27" s="1"/>
  <c r="E55" i="27" s="1"/>
  <c r="H55" i="27" s="1"/>
  <c r="AI65" i="73"/>
  <c r="AJ65" i="73" s="1"/>
  <c r="AG65" i="73"/>
  <c r="AK65" i="73" s="1"/>
  <c r="AL65" i="73" s="1"/>
  <c r="D26" i="10"/>
  <c r="R26" i="25"/>
  <c r="S26" i="25" s="1"/>
  <c r="D26" i="11" s="1"/>
  <c r="F32" i="71"/>
  <c r="D55" i="10"/>
  <c r="R55" i="25"/>
  <c r="S55" i="25" s="1"/>
  <c r="D55" i="11" s="1"/>
  <c r="R34" i="25"/>
  <c r="S34" i="25" s="1"/>
  <c r="D34" i="11" s="1"/>
  <c r="D34" i="10"/>
  <c r="F38" i="71"/>
  <c r="AI16" i="12"/>
  <c r="AP16" i="12"/>
  <c r="AL16" i="12"/>
  <c r="AM16" i="12" s="1"/>
  <c r="Q16" i="71" s="1"/>
  <c r="R30" i="25"/>
  <c r="S30" i="25" s="1"/>
  <c r="D30" i="11" s="1"/>
  <c r="D30" i="10"/>
  <c r="R56" i="25"/>
  <c r="S56" i="25" s="1"/>
  <c r="D56" i="11" s="1"/>
  <c r="D56" i="10"/>
  <c r="AP36" i="12"/>
  <c r="AL36" i="12"/>
  <c r="AM36" i="12" s="1"/>
  <c r="Q36" i="71" s="1"/>
  <c r="AI36" i="12"/>
  <c r="AP60" i="12"/>
  <c r="AI60" i="12"/>
  <c r="AL60" i="12"/>
  <c r="AM60" i="12" s="1"/>
  <c r="Q60" i="71" s="1"/>
  <c r="D60" i="27" s="1"/>
  <c r="E60" i="27" s="1"/>
  <c r="H60" i="27" s="1"/>
  <c r="D60" i="10"/>
  <c r="R60" i="25"/>
  <c r="S60" i="25" s="1"/>
  <c r="D60" i="11" s="1"/>
  <c r="AP68" i="12"/>
  <c r="AI68" i="12"/>
  <c r="AL68" i="12"/>
  <c r="AM68" i="12" s="1"/>
  <c r="Q68" i="71" s="1"/>
  <c r="AI24" i="12"/>
  <c r="AP24" i="12"/>
  <c r="AL24" i="12"/>
  <c r="AM24" i="12" s="1"/>
  <c r="Q24" i="71" s="1"/>
  <c r="D24" i="27" s="1"/>
  <c r="E24" i="27" s="1"/>
  <c r="H24" i="27" s="1"/>
  <c r="AI56" i="73"/>
  <c r="AJ56" i="73" s="1"/>
  <c r="AG56" i="73"/>
  <c r="AK56" i="73" s="1"/>
  <c r="AL56" i="73" s="1"/>
  <c r="AG28" i="73"/>
  <c r="AK28" i="73" s="1"/>
  <c r="AL28" i="73" s="1"/>
  <c r="AI28" i="73"/>
  <c r="AJ28" i="73" s="1"/>
  <c r="D24" i="10"/>
  <c r="R24" i="25"/>
  <c r="S24" i="25" s="1"/>
  <c r="D24" i="11" s="1"/>
  <c r="AG68" i="73"/>
  <c r="AK68" i="73" s="1"/>
  <c r="AL68" i="73" s="1"/>
  <c r="AI68" i="73"/>
  <c r="AJ68" i="73" s="1"/>
  <c r="F52" i="71"/>
  <c r="F50" i="71"/>
  <c r="F28" i="71"/>
  <c r="F60" i="71"/>
  <c r="D28" i="10"/>
  <c r="R28" i="25"/>
  <c r="S28" i="25" s="1"/>
  <c r="D28" i="11" s="1"/>
  <c r="F16" i="71"/>
  <c r="AG52" i="73"/>
  <c r="AK52" i="73" s="1"/>
  <c r="AL52" i="73" s="1"/>
  <c r="AI52" i="73"/>
  <c r="AJ52" i="73" s="1"/>
  <c r="D16" i="10"/>
  <c r="R16" i="25"/>
  <c r="S16" i="25" s="1"/>
  <c r="D16" i="11" s="1"/>
  <c r="F12" i="71"/>
  <c r="F30" i="71"/>
  <c r="AG50" i="73"/>
  <c r="AK50" i="73" s="1"/>
  <c r="AL50" i="73" s="1"/>
  <c r="AI50" i="73"/>
  <c r="AJ50" i="73" s="1"/>
  <c r="AP28" i="12"/>
  <c r="AI28" i="12"/>
  <c r="AL28" i="12"/>
  <c r="AM28" i="12" s="1"/>
  <c r="Q28" i="71" s="1"/>
  <c r="D28" i="26" s="1"/>
  <c r="E28" i="26" s="1"/>
  <c r="H28" i="26" s="1"/>
  <c r="R68" i="25"/>
  <c r="S68" i="25" s="1"/>
  <c r="D68" i="11" s="1"/>
  <c r="D68" i="10"/>
  <c r="AP56" i="12"/>
  <c r="AI56" i="12"/>
  <c r="AL56" i="12"/>
  <c r="AM56" i="12" s="1"/>
  <c r="Q56" i="71" s="1"/>
  <c r="D36" i="10"/>
  <c r="R36" i="25"/>
  <c r="S36" i="25" s="1"/>
  <c r="D36" i="11" s="1"/>
  <c r="D12" i="10"/>
  <c r="R12" i="25"/>
  <c r="S12" i="25" s="1"/>
  <c r="D12" i="11" s="1"/>
  <c r="D50" i="10"/>
  <c r="R50" i="25"/>
  <c r="S50" i="25" s="1"/>
  <c r="D50" i="11" s="1"/>
  <c r="AG36" i="73"/>
  <c r="AK36" i="73" s="1"/>
  <c r="AL36" i="73" s="1"/>
  <c r="AI36" i="73"/>
  <c r="AJ36" i="73" s="1"/>
  <c r="AP12" i="12"/>
  <c r="AI12" i="12"/>
  <c r="AL12" i="12"/>
  <c r="AM12" i="12" s="1"/>
  <c r="Q12" i="71" s="1"/>
  <c r="D12" i="26" s="1"/>
  <c r="E12" i="26" s="1"/>
  <c r="H12" i="26" s="1"/>
  <c r="AP52" i="12"/>
  <c r="AL52" i="12"/>
  <c r="AM52" i="12" s="1"/>
  <c r="Q52" i="71" s="1"/>
  <c r="D52" i="27" s="1"/>
  <c r="E52" i="27" s="1"/>
  <c r="H52" i="27" s="1"/>
  <c r="AI52" i="12"/>
  <c r="AI16" i="73"/>
  <c r="AJ16" i="73" s="1"/>
  <c r="AG16" i="73"/>
  <c r="AK16" i="73" s="1"/>
  <c r="AL16" i="73" s="1"/>
  <c r="AL30" i="12"/>
  <c r="AM30" i="12" s="1"/>
  <c r="Q30" i="71" s="1"/>
  <c r="D30" i="28" s="1"/>
  <c r="E30" i="28" s="1"/>
  <c r="H30" i="28" s="1"/>
  <c r="AP30" i="12"/>
  <c r="AI30" i="12"/>
  <c r="AG12" i="73"/>
  <c r="AK12" i="73" s="1"/>
  <c r="AL12" i="73" s="1"/>
  <c r="AI12" i="73"/>
  <c r="AJ12" i="73" s="1"/>
  <c r="AI24" i="73"/>
  <c r="AJ24" i="73" s="1"/>
  <c r="AG24" i="73"/>
  <c r="AK24" i="73" s="1"/>
  <c r="AL24" i="73" s="1"/>
  <c r="D52" i="10"/>
  <c r="R52" i="25"/>
  <c r="S52" i="25" s="1"/>
  <c r="D52" i="11" s="1"/>
  <c r="AG30" i="73"/>
  <c r="AK30" i="73" s="1"/>
  <c r="AL30" i="73" s="1"/>
  <c r="AI30" i="73"/>
  <c r="AJ30" i="73" s="1"/>
  <c r="AI50" i="12"/>
  <c r="AP50" i="12"/>
  <c r="AL50" i="12"/>
  <c r="AM50" i="12" s="1"/>
  <c r="Q50" i="71" s="1"/>
  <c r="D50" i="28" s="1"/>
  <c r="E50" i="28" s="1"/>
  <c r="H50" i="28" s="1"/>
  <c r="AI60" i="73"/>
  <c r="AJ60" i="73" s="1"/>
  <c r="AG60" i="73"/>
  <c r="AK60" i="73" s="1"/>
  <c r="AL60" i="73" s="1"/>
  <c r="AF63" i="12"/>
  <c r="AH63" i="12"/>
  <c r="AG63" i="12"/>
  <c r="AX63" i="12"/>
  <c r="L63" i="25"/>
  <c r="O63" i="25" s="1"/>
  <c r="P63" i="25" s="1"/>
  <c r="AI63" i="73"/>
  <c r="AJ63" i="73" s="1"/>
  <c r="AG63" i="73"/>
  <c r="AK63" i="73" s="1"/>
  <c r="AL63" i="73" s="1"/>
  <c r="AG38" i="73"/>
  <c r="AK38" i="73" s="1"/>
  <c r="AL38" i="73" s="1"/>
  <c r="AI38" i="73"/>
  <c r="AJ38" i="73" s="1"/>
  <c r="AP38" i="12"/>
  <c r="AL38" i="12"/>
  <c r="AM38" i="12" s="1"/>
  <c r="Q38" i="71" s="1"/>
  <c r="D38" i="28" s="1"/>
  <c r="E38" i="28" s="1"/>
  <c r="H38" i="28" s="1"/>
  <c r="AI38" i="12"/>
  <c r="R38" i="25"/>
  <c r="S38" i="25" s="1"/>
  <c r="D38" i="11" s="1"/>
  <c r="D38" i="10"/>
  <c r="AF25" i="12"/>
  <c r="AH25" i="12"/>
  <c r="AG25" i="12"/>
  <c r="C8" i="9"/>
  <c r="AQ8" i="12"/>
  <c r="D8" i="25" s="1"/>
  <c r="E8" i="25" s="1"/>
  <c r="F8" i="25" s="1"/>
  <c r="G8" i="25" s="1"/>
  <c r="AD7" i="12"/>
  <c r="AD76" i="12" s="1"/>
  <c r="AW7" i="12"/>
  <c r="AC76" i="12"/>
  <c r="D17" i="27"/>
  <c r="E17" i="27" s="1"/>
  <c r="H17" i="27" s="1"/>
  <c r="D17" i="28"/>
  <c r="E17" i="28" s="1"/>
  <c r="H17" i="28" s="1"/>
  <c r="D17" i="26"/>
  <c r="E17" i="26" s="1"/>
  <c r="H17" i="26" s="1"/>
  <c r="D13" i="27"/>
  <c r="E13" i="27" s="1"/>
  <c r="H13" i="27" s="1"/>
  <c r="D13" i="28"/>
  <c r="E13" i="28" s="1"/>
  <c r="H13" i="28" s="1"/>
  <c r="D13" i="26"/>
  <c r="E13" i="26" s="1"/>
  <c r="H13" i="26" s="1"/>
  <c r="D54" i="26"/>
  <c r="E54" i="26" s="1"/>
  <c r="H54" i="26" s="1"/>
  <c r="D67" i="26"/>
  <c r="E67" i="26" s="1"/>
  <c r="H67" i="26" s="1"/>
  <c r="D35" i="27"/>
  <c r="E35" i="27" s="1"/>
  <c r="H35" i="27" s="1"/>
  <c r="D35" i="28"/>
  <c r="E35" i="28" s="1"/>
  <c r="H35" i="28" s="1"/>
  <c r="D35" i="26"/>
  <c r="E35" i="26" s="1"/>
  <c r="H35" i="26" s="1"/>
  <c r="P7" i="73"/>
  <c r="G7" i="73"/>
  <c r="AE7" i="73"/>
  <c r="Z7" i="73"/>
  <c r="U7" i="73"/>
  <c r="K7" i="73"/>
  <c r="C76" i="73"/>
  <c r="H9" i="71"/>
  <c r="D14" i="27"/>
  <c r="E14" i="27" s="1"/>
  <c r="H14" i="27" s="1"/>
  <c r="AG25" i="73"/>
  <c r="AK25" i="73" s="1"/>
  <c r="AL25" i="73" s="1"/>
  <c r="AI25" i="73"/>
  <c r="AJ25" i="73" s="1"/>
  <c r="D72" i="26"/>
  <c r="E72" i="26" s="1"/>
  <c r="H72" i="26" s="1"/>
  <c r="H8" i="71"/>
  <c r="D19" i="27"/>
  <c r="E19" i="27" s="1"/>
  <c r="H19" i="27" s="1"/>
  <c r="D19" i="28"/>
  <c r="E19" i="28" s="1"/>
  <c r="H19" i="28" s="1"/>
  <c r="D19" i="26"/>
  <c r="E19" i="26" s="1"/>
  <c r="H19" i="26" s="1"/>
  <c r="D75" i="27"/>
  <c r="E75" i="27" s="1"/>
  <c r="H75" i="27" s="1"/>
  <c r="D75" i="28"/>
  <c r="E75" i="28" s="1"/>
  <c r="H75" i="28" s="1"/>
  <c r="D75" i="26"/>
  <c r="E75" i="26" s="1"/>
  <c r="H75" i="26" s="1"/>
  <c r="D47" i="26"/>
  <c r="E47" i="26" s="1"/>
  <c r="H47" i="26" s="1"/>
  <c r="AX25" i="12"/>
  <c r="L25" i="25"/>
  <c r="O25" i="25" s="1"/>
  <c r="P25" i="25" s="1"/>
  <c r="D31" i="27"/>
  <c r="E31" i="27" s="1"/>
  <c r="H31" i="27" s="1"/>
  <c r="D31" i="28"/>
  <c r="E31" i="28" s="1"/>
  <c r="H31" i="28" s="1"/>
  <c r="D31" i="26"/>
  <c r="E31" i="26" s="1"/>
  <c r="H31" i="26" s="1"/>
  <c r="K19" i="25"/>
  <c r="I19" i="25"/>
  <c r="J19" i="25" s="1"/>
  <c r="F25" i="71"/>
  <c r="D43" i="26"/>
  <c r="E43" i="26" s="1"/>
  <c r="H43" i="26" s="1"/>
  <c r="Q8" i="71"/>
  <c r="AQ9" i="12"/>
  <c r="D9" i="25" s="1"/>
  <c r="E9" i="25" s="1"/>
  <c r="F9" i="25" s="1"/>
  <c r="G9" i="25" s="1"/>
  <c r="C9" i="9"/>
  <c r="K75" i="25"/>
  <c r="I75" i="25"/>
  <c r="J75" i="25" s="1"/>
  <c r="V76" i="12"/>
  <c r="D39" i="27"/>
  <c r="E39" i="27" s="1"/>
  <c r="H39" i="27" s="1"/>
  <c r="D59" i="27"/>
  <c r="E59" i="27" s="1"/>
  <c r="H59" i="27" s="1"/>
  <c r="D59" i="28"/>
  <c r="E59" i="28" s="1"/>
  <c r="H59" i="28" s="1"/>
  <c r="D59" i="26"/>
  <c r="E59" i="26" s="1"/>
  <c r="H59" i="26" s="1"/>
  <c r="D58" i="27"/>
  <c r="E58" i="27" s="1"/>
  <c r="H58" i="27" s="1"/>
  <c r="D58" i="28"/>
  <c r="E58" i="28" s="1"/>
  <c r="H58" i="28" s="1"/>
  <c r="D58" i="26"/>
  <c r="E58" i="26" s="1"/>
  <c r="H58" i="26" s="1"/>
  <c r="D37" i="27" l="1"/>
  <c r="E37" i="27" s="1"/>
  <c r="H37" i="27" s="1"/>
  <c r="D28" i="28"/>
  <c r="E28" i="28" s="1"/>
  <c r="H28" i="28" s="1"/>
  <c r="D65" i="26"/>
  <c r="E65" i="26" s="1"/>
  <c r="H65" i="26" s="1"/>
  <c r="D65" i="28"/>
  <c r="E65" i="28" s="1"/>
  <c r="H65" i="28" s="1"/>
  <c r="D60" i="26"/>
  <c r="E60" i="26" s="1"/>
  <c r="H60" i="26" s="1"/>
  <c r="D30" i="27"/>
  <c r="E30" i="27" s="1"/>
  <c r="H30" i="27" s="1"/>
  <c r="D12" i="28"/>
  <c r="E12" i="28" s="1"/>
  <c r="H12" i="28" s="1"/>
  <c r="D51" i="28"/>
  <c r="E51" i="28" s="1"/>
  <c r="H51" i="28" s="1"/>
  <c r="D70" i="28"/>
  <c r="E70" i="28" s="1"/>
  <c r="H70" i="28" s="1"/>
  <c r="D69" i="27"/>
  <c r="E69" i="27" s="1"/>
  <c r="H69" i="27" s="1"/>
  <c r="D74" i="27"/>
  <c r="E74" i="27" s="1"/>
  <c r="H74" i="27" s="1"/>
  <c r="D66" i="27"/>
  <c r="E66" i="27" s="1"/>
  <c r="H66" i="27" s="1"/>
  <c r="D64" i="27"/>
  <c r="E64" i="27" s="1"/>
  <c r="H64" i="27" s="1"/>
  <c r="D51" i="27"/>
  <c r="E51" i="27" s="1"/>
  <c r="H51" i="27" s="1"/>
  <c r="D29" i="26"/>
  <c r="E29" i="26" s="1"/>
  <c r="H29" i="26" s="1"/>
  <c r="D69" i="26"/>
  <c r="E69" i="26" s="1"/>
  <c r="H69" i="26" s="1"/>
  <c r="D29" i="28"/>
  <c r="E29" i="28" s="1"/>
  <c r="H29" i="28" s="1"/>
  <c r="D61" i="28"/>
  <c r="E61" i="28" s="1"/>
  <c r="H61" i="28" s="1"/>
  <c r="D70" i="26"/>
  <c r="E70" i="26" s="1"/>
  <c r="H70" i="26" s="1"/>
  <c r="D44" i="28"/>
  <c r="E44" i="28" s="1"/>
  <c r="H44" i="28" s="1"/>
  <c r="D33" i="26"/>
  <c r="E33" i="26" s="1"/>
  <c r="H33" i="26" s="1"/>
  <c r="D47" i="28"/>
  <c r="E47" i="28" s="1"/>
  <c r="H47" i="28" s="1"/>
  <c r="AG73" i="9"/>
  <c r="J73" i="9"/>
  <c r="D45" i="26"/>
  <c r="E45" i="26" s="1"/>
  <c r="H45" i="26" s="1"/>
  <c r="D33" i="28"/>
  <c r="E33" i="28" s="1"/>
  <c r="H33" i="28" s="1"/>
  <c r="M73" i="9"/>
  <c r="W61" i="9"/>
  <c r="D45" i="28"/>
  <c r="E45" i="28" s="1"/>
  <c r="H45" i="28" s="1"/>
  <c r="K69" i="9"/>
  <c r="D66" i="26"/>
  <c r="E66" i="26" s="1"/>
  <c r="H66" i="26" s="1"/>
  <c r="D64" i="26"/>
  <c r="E64" i="26" s="1"/>
  <c r="H64" i="26" s="1"/>
  <c r="E69" i="9"/>
  <c r="AC33" i="9"/>
  <c r="AF74" i="9"/>
  <c r="O73" i="9"/>
  <c r="AD23" i="9"/>
  <c r="AB29" i="9"/>
  <c r="N54" i="9"/>
  <c r="U58" i="9"/>
  <c r="S13" i="9"/>
  <c r="Y13" i="9"/>
  <c r="AF33" i="9"/>
  <c r="H61" i="9"/>
  <c r="Y11" i="9"/>
  <c r="D12" i="27"/>
  <c r="E12" i="27" s="1"/>
  <c r="H12" i="27" s="1"/>
  <c r="D60" i="28"/>
  <c r="E60" i="28" s="1"/>
  <c r="H60" i="28" s="1"/>
  <c r="D73" i="27"/>
  <c r="E73" i="27" s="1"/>
  <c r="H73" i="27" s="1"/>
  <c r="D73" i="28"/>
  <c r="E73" i="28" s="1"/>
  <c r="H73" i="28" s="1"/>
  <c r="D73" i="26"/>
  <c r="E73" i="26" s="1"/>
  <c r="H73" i="26" s="1"/>
  <c r="AQ73" i="12"/>
  <c r="D73" i="25" s="1"/>
  <c r="E73" i="25" s="1"/>
  <c r="F73" i="25" s="1"/>
  <c r="G73" i="25" s="1"/>
  <c r="C73" i="9"/>
  <c r="AB69" i="9"/>
  <c r="W58" i="9"/>
  <c r="D44" i="27"/>
  <c r="E44" i="27" s="1"/>
  <c r="H44" i="27" s="1"/>
  <c r="AG65" i="9"/>
  <c r="D22" i="27"/>
  <c r="E22" i="27" s="1"/>
  <c r="H22" i="27" s="1"/>
  <c r="AG74" i="9"/>
  <c r="Z70" i="9"/>
  <c r="U29" i="9"/>
  <c r="D72" i="28"/>
  <c r="E72" i="28" s="1"/>
  <c r="H72" i="28" s="1"/>
  <c r="AD61" i="9"/>
  <c r="O11" i="9"/>
  <c r="G23" i="9"/>
  <c r="E23" i="9"/>
  <c r="D61" i="27"/>
  <c r="E61" i="27" s="1"/>
  <c r="H61" i="27" s="1"/>
  <c r="I69" i="9"/>
  <c r="D39" i="26"/>
  <c r="E39" i="26" s="1"/>
  <c r="H39" i="26" s="1"/>
  <c r="S61" i="9"/>
  <c r="D14" i="26"/>
  <c r="E14" i="26" s="1"/>
  <c r="H14" i="26" s="1"/>
  <c r="D74" i="26"/>
  <c r="E74" i="26" s="1"/>
  <c r="H74" i="26" s="1"/>
  <c r="H11" i="9"/>
  <c r="AE11" i="9"/>
  <c r="V33" i="9"/>
  <c r="U61" i="9"/>
  <c r="D50" i="27"/>
  <c r="E50" i="27" s="1"/>
  <c r="H50" i="27" s="1"/>
  <c r="AD33" i="9"/>
  <c r="AC65" i="9"/>
  <c r="X74" i="9"/>
  <c r="W74" i="9"/>
  <c r="P70" i="9"/>
  <c r="H43" i="9"/>
  <c r="D26" i="27"/>
  <c r="E26" i="27" s="1"/>
  <c r="H26" i="27" s="1"/>
  <c r="N40" i="9"/>
  <c r="X23" i="9"/>
  <c r="H24" i="71"/>
  <c r="Q65" i="9"/>
  <c r="AA70" i="9"/>
  <c r="Q70" i="9"/>
  <c r="S39" i="9"/>
  <c r="D54" i="28"/>
  <c r="E54" i="28" s="1"/>
  <c r="H54" i="28" s="1"/>
  <c r="AE58" i="9"/>
  <c r="AC70" i="9"/>
  <c r="G70" i="9"/>
  <c r="AE70" i="9"/>
  <c r="H70" i="9"/>
  <c r="U39" i="9"/>
  <c r="AI43" i="9"/>
  <c r="I65" i="9"/>
  <c r="AG70" i="9"/>
  <c r="X70" i="9"/>
  <c r="Z39" i="9"/>
  <c r="N13" i="9"/>
  <c r="AH43" i="9"/>
  <c r="V40" i="9"/>
  <c r="D38" i="27"/>
  <c r="E38" i="27" s="1"/>
  <c r="H38" i="27" s="1"/>
  <c r="D40" i="28"/>
  <c r="E40" i="28" s="1"/>
  <c r="H40" i="28" s="1"/>
  <c r="D40" i="26"/>
  <c r="E40" i="26" s="1"/>
  <c r="H40" i="26" s="1"/>
  <c r="D21" i="27"/>
  <c r="E21" i="27" s="1"/>
  <c r="H21" i="27" s="1"/>
  <c r="D21" i="28"/>
  <c r="E21" i="28" s="1"/>
  <c r="H21" i="28" s="1"/>
  <c r="D21" i="26"/>
  <c r="E21" i="26" s="1"/>
  <c r="H21" i="26" s="1"/>
  <c r="D10" i="27"/>
  <c r="E10" i="27" s="1"/>
  <c r="H10" i="27" s="1"/>
  <c r="D10" i="28"/>
  <c r="E10" i="28" s="1"/>
  <c r="H10" i="28" s="1"/>
  <c r="D10" i="26"/>
  <c r="E10" i="26" s="1"/>
  <c r="H10" i="26" s="1"/>
  <c r="D43" i="27"/>
  <c r="E43" i="27" s="1"/>
  <c r="H43" i="27" s="1"/>
  <c r="D43" i="28"/>
  <c r="E43" i="28" s="1"/>
  <c r="H43" i="28" s="1"/>
  <c r="D27" i="28"/>
  <c r="E27" i="28" s="1"/>
  <c r="H27" i="28" s="1"/>
  <c r="D27" i="26"/>
  <c r="E27" i="26" s="1"/>
  <c r="H27" i="26" s="1"/>
  <c r="D41" i="27"/>
  <c r="E41" i="27" s="1"/>
  <c r="H41" i="27" s="1"/>
  <c r="D41" i="28"/>
  <c r="E41" i="28" s="1"/>
  <c r="H41" i="28" s="1"/>
  <c r="D41" i="26"/>
  <c r="E41" i="26" s="1"/>
  <c r="H41" i="26" s="1"/>
  <c r="D18" i="26"/>
  <c r="E18" i="26" s="1"/>
  <c r="H18" i="26" s="1"/>
  <c r="D18" i="27"/>
  <c r="E18" i="27" s="1"/>
  <c r="H18" i="27" s="1"/>
  <c r="D67" i="27"/>
  <c r="E67" i="27" s="1"/>
  <c r="H67" i="27" s="1"/>
  <c r="D67" i="28"/>
  <c r="E67" i="28" s="1"/>
  <c r="H67" i="28" s="1"/>
  <c r="D53" i="27"/>
  <c r="E53" i="27" s="1"/>
  <c r="H53" i="27" s="1"/>
  <c r="D53" i="28"/>
  <c r="E53" i="28" s="1"/>
  <c r="H53" i="28" s="1"/>
  <c r="D40" i="27"/>
  <c r="E40" i="27" s="1"/>
  <c r="H40" i="27" s="1"/>
  <c r="U33" i="9"/>
  <c r="S54" i="9"/>
  <c r="R54" i="9"/>
  <c r="Y33" i="9"/>
  <c r="D53" i="26"/>
  <c r="E53" i="26" s="1"/>
  <c r="H53" i="26" s="1"/>
  <c r="AA29" i="9"/>
  <c r="V43" i="9"/>
  <c r="AE40" i="9"/>
  <c r="D32" i="28"/>
  <c r="E32" i="28" s="1"/>
  <c r="H32" i="28" s="1"/>
  <c r="D32" i="26"/>
  <c r="E32" i="26" s="1"/>
  <c r="H32" i="26" s="1"/>
  <c r="D42" i="27"/>
  <c r="E42" i="27" s="1"/>
  <c r="H42" i="27" s="1"/>
  <c r="D42" i="26"/>
  <c r="E42" i="26" s="1"/>
  <c r="H42" i="26" s="1"/>
  <c r="AF58" i="9"/>
  <c r="AC29" i="9"/>
  <c r="P13" i="9"/>
  <c r="AB13" i="9"/>
  <c r="R43" i="9"/>
  <c r="AA40" i="9"/>
  <c r="J11" i="9"/>
  <c r="AG11" i="9"/>
  <c r="D24" i="28"/>
  <c r="E24" i="28" s="1"/>
  <c r="H24" i="28" s="1"/>
  <c r="D24" i="26"/>
  <c r="E24" i="26" s="1"/>
  <c r="H24" i="26" s="1"/>
  <c r="AG61" i="9"/>
  <c r="AE61" i="9"/>
  <c r="Z61" i="9"/>
  <c r="Y40" i="9"/>
  <c r="E11" i="9"/>
  <c r="U11" i="9"/>
  <c r="Z11" i="9"/>
  <c r="R11" i="9"/>
  <c r="AE23" i="9"/>
  <c r="K23" i="9"/>
  <c r="L54" i="9"/>
  <c r="AC54" i="9"/>
  <c r="V58" i="9"/>
  <c r="K58" i="9"/>
  <c r="X58" i="9"/>
  <c r="N58" i="9"/>
  <c r="Z58" i="9"/>
  <c r="Q33" i="9"/>
  <c r="R33" i="9"/>
  <c r="X65" i="9"/>
  <c r="V74" i="9"/>
  <c r="K74" i="9"/>
  <c r="T74" i="9"/>
  <c r="AG29" i="9"/>
  <c r="O29" i="9"/>
  <c r="V29" i="9"/>
  <c r="P39" i="9"/>
  <c r="K39" i="9"/>
  <c r="X39" i="9"/>
  <c r="G13" i="9"/>
  <c r="AC13" i="9"/>
  <c r="AE13" i="9"/>
  <c r="AD13" i="9"/>
  <c r="AA43" i="9"/>
  <c r="K43" i="9"/>
  <c r="M43" i="9"/>
  <c r="J43" i="9"/>
  <c r="AA61" i="9"/>
  <c r="Q61" i="9"/>
  <c r="T40" i="9"/>
  <c r="S23" i="9"/>
  <c r="O23" i="9"/>
  <c r="X54" i="9"/>
  <c r="AC58" i="9"/>
  <c r="G58" i="9"/>
  <c r="J58" i="9"/>
  <c r="N33" i="9"/>
  <c r="AF65" i="9"/>
  <c r="P65" i="9"/>
  <c r="N65" i="9"/>
  <c r="N74" i="9"/>
  <c r="L74" i="9"/>
  <c r="G29" i="9"/>
  <c r="M29" i="9"/>
  <c r="Q29" i="9"/>
  <c r="L29" i="9"/>
  <c r="M13" i="9"/>
  <c r="X13" i="9"/>
  <c r="I43" i="9"/>
  <c r="AC61" i="9"/>
  <c r="L61" i="9"/>
  <c r="X61" i="9"/>
  <c r="M11" i="9"/>
  <c r="X11" i="9"/>
  <c r="T54" i="9"/>
  <c r="I54" i="9"/>
  <c r="O33" i="9"/>
  <c r="W65" i="9"/>
  <c r="D55" i="26"/>
  <c r="E55" i="26" s="1"/>
  <c r="H55" i="26" s="1"/>
  <c r="D42" i="28"/>
  <c r="E42" i="28" s="1"/>
  <c r="H42" i="28" s="1"/>
  <c r="J13" i="9"/>
  <c r="L13" i="9"/>
  <c r="R13" i="9"/>
  <c r="Y43" i="9"/>
  <c r="Q43" i="9"/>
  <c r="I40" i="9"/>
  <c r="L11" i="9"/>
  <c r="AD54" i="9"/>
  <c r="H58" i="9"/>
  <c r="E58" i="9"/>
  <c r="M65" i="9"/>
  <c r="D22" i="26"/>
  <c r="E22" i="26" s="1"/>
  <c r="H22" i="26" s="1"/>
  <c r="D55" i="28"/>
  <c r="E55" i="28" s="1"/>
  <c r="H55" i="28" s="1"/>
  <c r="D34" i="26"/>
  <c r="E34" i="26" s="1"/>
  <c r="H34" i="26" s="1"/>
  <c r="Z29" i="9"/>
  <c r="D26" i="26"/>
  <c r="E26" i="26" s="1"/>
  <c r="H26" i="26" s="1"/>
  <c r="D37" i="26"/>
  <c r="E37" i="26" s="1"/>
  <c r="H37" i="26" s="1"/>
  <c r="X40" i="9"/>
  <c r="AB40" i="9"/>
  <c r="N23" i="9"/>
  <c r="G54" i="9"/>
  <c r="T58" i="9"/>
  <c r="AG33" i="9"/>
  <c r="L65" i="9"/>
  <c r="E65" i="9"/>
  <c r="K29" i="9"/>
  <c r="AB39" i="9"/>
  <c r="U13" i="9"/>
  <c r="H40" i="9"/>
  <c r="G40" i="9"/>
  <c r="I11" i="9"/>
  <c r="W11" i="9"/>
  <c r="M23" i="9"/>
  <c r="U54" i="9"/>
  <c r="AE54" i="9"/>
  <c r="H64" i="71"/>
  <c r="H21" i="71"/>
  <c r="Z14" i="9"/>
  <c r="N14" i="9"/>
  <c r="R14" i="9"/>
  <c r="P14" i="9"/>
  <c r="X14" i="9"/>
  <c r="AE14" i="9"/>
  <c r="D52" i="26"/>
  <c r="E52" i="26" s="1"/>
  <c r="H52" i="26" s="1"/>
  <c r="H14" i="9"/>
  <c r="AC14" i="9"/>
  <c r="I14" i="9"/>
  <c r="AD14" i="9"/>
  <c r="J14" i="9"/>
  <c r="D30" i="26"/>
  <c r="E30" i="26" s="1"/>
  <c r="H30" i="26" s="1"/>
  <c r="D52" i="28"/>
  <c r="E52" i="28" s="1"/>
  <c r="H52" i="28" s="1"/>
  <c r="L14" i="9"/>
  <c r="T14" i="9"/>
  <c r="Q14" i="9"/>
  <c r="AB14" i="9"/>
  <c r="V14" i="9"/>
  <c r="AG14" i="9"/>
  <c r="K14" i="9"/>
  <c r="AA14" i="9"/>
  <c r="O14" i="9"/>
  <c r="M14" i="9"/>
  <c r="G14" i="9"/>
  <c r="U14" i="9"/>
  <c r="Y14" i="9"/>
  <c r="W14" i="9"/>
  <c r="AF14" i="9"/>
  <c r="H62" i="71"/>
  <c r="AQ62" i="12"/>
  <c r="D62" i="25" s="1"/>
  <c r="E62" i="25" s="1"/>
  <c r="F62" i="25" s="1"/>
  <c r="G62" i="25" s="1"/>
  <c r="C62" i="9"/>
  <c r="C31" i="9"/>
  <c r="AQ31" i="12"/>
  <c r="D31" i="25" s="1"/>
  <c r="E31" i="25" s="1"/>
  <c r="F31" i="25" s="1"/>
  <c r="G31" i="25" s="1"/>
  <c r="H67" i="71"/>
  <c r="AQ53" i="12"/>
  <c r="D53" i="25" s="1"/>
  <c r="E53" i="25" s="1"/>
  <c r="F53" i="25" s="1"/>
  <c r="G53" i="25" s="1"/>
  <c r="C53" i="9"/>
  <c r="H47" i="71"/>
  <c r="C74" i="9"/>
  <c r="AQ74" i="12"/>
  <c r="D74" i="25" s="1"/>
  <c r="E74" i="25" s="1"/>
  <c r="F74" i="25" s="1"/>
  <c r="G74" i="25" s="1"/>
  <c r="D49" i="27"/>
  <c r="E49" i="27" s="1"/>
  <c r="H49" i="27" s="1"/>
  <c r="D49" i="28"/>
  <c r="E49" i="28" s="1"/>
  <c r="H49" i="28" s="1"/>
  <c r="D49" i="26"/>
  <c r="E49" i="26" s="1"/>
  <c r="H49" i="26" s="1"/>
  <c r="C41" i="9"/>
  <c r="AQ41" i="12"/>
  <c r="D41" i="25" s="1"/>
  <c r="E41" i="25" s="1"/>
  <c r="F41" i="25" s="1"/>
  <c r="G41" i="25" s="1"/>
  <c r="C58" i="9"/>
  <c r="AQ58" i="12"/>
  <c r="D58" i="25" s="1"/>
  <c r="E58" i="25" s="1"/>
  <c r="F58" i="25" s="1"/>
  <c r="G58" i="25" s="1"/>
  <c r="D11" i="26"/>
  <c r="E11" i="26" s="1"/>
  <c r="H11" i="26" s="1"/>
  <c r="D11" i="27"/>
  <c r="E11" i="27" s="1"/>
  <c r="H11" i="27" s="1"/>
  <c r="D11" i="28"/>
  <c r="E11" i="28" s="1"/>
  <c r="H11" i="28" s="1"/>
  <c r="D71" i="27"/>
  <c r="E71" i="27" s="1"/>
  <c r="H71" i="27" s="1"/>
  <c r="D71" i="28"/>
  <c r="E71" i="28" s="1"/>
  <c r="H71" i="28" s="1"/>
  <c r="D71" i="26"/>
  <c r="E71" i="26" s="1"/>
  <c r="H71" i="26" s="1"/>
  <c r="H41" i="71"/>
  <c r="H27" i="71"/>
  <c r="D48" i="27"/>
  <c r="E48" i="27" s="1"/>
  <c r="H48" i="27" s="1"/>
  <c r="D48" i="28"/>
  <c r="E48" i="28" s="1"/>
  <c r="H48" i="28" s="1"/>
  <c r="D48" i="26"/>
  <c r="E48" i="26" s="1"/>
  <c r="H48" i="26" s="1"/>
  <c r="AQ20" i="12"/>
  <c r="D20" i="25" s="1"/>
  <c r="E20" i="25" s="1"/>
  <c r="F20" i="25" s="1"/>
  <c r="G20" i="25" s="1"/>
  <c r="C20" i="9"/>
  <c r="H31" i="71"/>
  <c r="H71" i="71"/>
  <c r="AQ40" i="12"/>
  <c r="D40" i="25" s="1"/>
  <c r="E40" i="25" s="1"/>
  <c r="F40" i="25" s="1"/>
  <c r="G40" i="25" s="1"/>
  <c r="C40" i="9"/>
  <c r="H46" i="71"/>
  <c r="C21" i="9"/>
  <c r="AQ21" i="12"/>
  <c r="D21" i="25" s="1"/>
  <c r="E21" i="25" s="1"/>
  <c r="F21" i="25" s="1"/>
  <c r="G21" i="25" s="1"/>
  <c r="H44" i="71"/>
  <c r="AQ49" i="12"/>
  <c r="D49" i="25" s="1"/>
  <c r="E49" i="25" s="1"/>
  <c r="F49" i="25" s="1"/>
  <c r="G49" i="25" s="1"/>
  <c r="C49" i="9"/>
  <c r="AQ43" i="12"/>
  <c r="D43" i="25" s="1"/>
  <c r="E43" i="25" s="1"/>
  <c r="F43" i="25" s="1"/>
  <c r="G43" i="25" s="1"/>
  <c r="C43" i="9"/>
  <c r="H45" i="71"/>
  <c r="H57" i="71"/>
  <c r="AQ35" i="12"/>
  <c r="D35" i="25" s="1"/>
  <c r="E35" i="25" s="1"/>
  <c r="F35" i="25" s="1"/>
  <c r="G35" i="25" s="1"/>
  <c r="C35" i="9"/>
  <c r="C18" i="9"/>
  <c r="AQ18" i="12"/>
  <c r="D18" i="25" s="1"/>
  <c r="E18" i="25" s="1"/>
  <c r="F18" i="25" s="1"/>
  <c r="G18" i="25" s="1"/>
  <c r="AQ69" i="12"/>
  <c r="D69" i="25" s="1"/>
  <c r="E69" i="25" s="1"/>
  <c r="F69" i="25" s="1"/>
  <c r="G69" i="25" s="1"/>
  <c r="C69" i="9"/>
  <c r="D46" i="26"/>
  <c r="E46" i="26" s="1"/>
  <c r="H46" i="26" s="1"/>
  <c r="D46" i="27"/>
  <c r="E46" i="27" s="1"/>
  <c r="H46" i="27" s="1"/>
  <c r="D46" i="28"/>
  <c r="E46" i="28" s="1"/>
  <c r="H46" i="28" s="1"/>
  <c r="C23" i="9"/>
  <c r="AQ23" i="12"/>
  <c r="D23" i="25" s="1"/>
  <c r="E23" i="25" s="1"/>
  <c r="F23" i="25" s="1"/>
  <c r="G23" i="25" s="1"/>
  <c r="D57" i="26"/>
  <c r="E57" i="26" s="1"/>
  <c r="H57" i="26" s="1"/>
  <c r="D57" i="27"/>
  <c r="E57" i="27" s="1"/>
  <c r="H57" i="27" s="1"/>
  <c r="D57" i="28"/>
  <c r="E57" i="28" s="1"/>
  <c r="H57" i="28" s="1"/>
  <c r="H35" i="71"/>
  <c r="C48" i="9"/>
  <c r="AQ48" i="12"/>
  <c r="D48" i="25" s="1"/>
  <c r="E48" i="25" s="1"/>
  <c r="F48" i="25" s="1"/>
  <c r="G48" i="25" s="1"/>
  <c r="D62" i="28"/>
  <c r="E62" i="28" s="1"/>
  <c r="H62" i="28" s="1"/>
  <c r="D62" i="26"/>
  <c r="E62" i="26" s="1"/>
  <c r="H62" i="26" s="1"/>
  <c r="D62" i="27"/>
  <c r="E62" i="27" s="1"/>
  <c r="H62" i="27" s="1"/>
  <c r="H18" i="71"/>
  <c r="D20" i="28"/>
  <c r="E20" i="28" s="1"/>
  <c r="H20" i="28" s="1"/>
  <c r="D20" i="26"/>
  <c r="E20" i="26" s="1"/>
  <c r="H20" i="26" s="1"/>
  <c r="D20" i="27"/>
  <c r="E20" i="27" s="1"/>
  <c r="H20" i="27" s="1"/>
  <c r="C13" i="9"/>
  <c r="AQ13" i="12"/>
  <c r="D13" i="25" s="1"/>
  <c r="E13" i="25" s="1"/>
  <c r="F13" i="25" s="1"/>
  <c r="G13" i="25" s="1"/>
  <c r="H66" i="71"/>
  <c r="H72" i="71"/>
  <c r="AQ33" i="12"/>
  <c r="D33" i="25" s="1"/>
  <c r="E33" i="25" s="1"/>
  <c r="F33" i="25" s="1"/>
  <c r="G33" i="25" s="1"/>
  <c r="C33" i="9"/>
  <c r="H20" i="71"/>
  <c r="C10" i="9"/>
  <c r="AQ10" i="12"/>
  <c r="D10" i="25" s="1"/>
  <c r="E10" i="25" s="1"/>
  <c r="F10" i="25" s="1"/>
  <c r="G10" i="25" s="1"/>
  <c r="H10" i="71"/>
  <c r="C47" i="9"/>
  <c r="AQ47" i="12"/>
  <c r="D47" i="25" s="1"/>
  <c r="E47" i="25" s="1"/>
  <c r="F47" i="25" s="1"/>
  <c r="G47" i="25" s="1"/>
  <c r="H17" i="71"/>
  <c r="AQ46" i="12"/>
  <c r="D46" i="25" s="1"/>
  <c r="E46" i="25" s="1"/>
  <c r="F46" i="25" s="1"/>
  <c r="G46" i="25" s="1"/>
  <c r="C46" i="9"/>
  <c r="C57" i="9"/>
  <c r="AQ57" i="12"/>
  <c r="D57" i="25" s="1"/>
  <c r="E57" i="25" s="1"/>
  <c r="F57" i="25" s="1"/>
  <c r="G57" i="25" s="1"/>
  <c r="AQ66" i="12"/>
  <c r="D66" i="25" s="1"/>
  <c r="E66" i="25" s="1"/>
  <c r="F66" i="25" s="1"/>
  <c r="G66" i="25" s="1"/>
  <c r="C66" i="9"/>
  <c r="C54" i="9"/>
  <c r="AQ54" i="12"/>
  <c r="D54" i="25" s="1"/>
  <c r="E54" i="25" s="1"/>
  <c r="F54" i="25" s="1"/>
  <c r="G54" i="25" s="1"/>
  <c r="H37" i="71"/>
  <c r="H49" i="71"/>
  <c r="C45" i="9"/>
  <c r="AQ45" i="12"/>
  <c r="D45" i="25" s="1"/>
  <c r="E45" i="25" s="1"/>
  <c r="F45" i="25" s="1"/>
  <c r="G45" i="25" s="1"/>
  <c r="AQ37" i="12"/>
  <c r="D37" i="25" s="1"/>
  <c r="E37" i="25" s="1"/>
  <c r="F37" i="25" s="1"/>
  <c r="G37" i="25" s="1"/>
  <c r="C37" i="9"/>
  <c r="C61" i="9"/>
  <c r="AQ61" i="12"/>
  <c r="D61" i="25" s="1"/>
  <c r="E61" i="25" s="1"/>
  <c r="F61" i="25" s="1"/>
  <c r="G61" i="25" s="1"/>
  <c r="H59" i="71"/>
  <c r="H48" i="71"/>
  <c r="C64" i="9"/>
  <c r="AQ64" i="12"/>
  <c r="D64" i="25" s="1"/>
  <c r="E64" i="25" s="1"/>
  <c r="F64" i="25" s="1"/>
  <c r="G64" i="25" s="1"/>
  <c r="AQ72" i="12"/>
  <c r="D72" i="25" s="1"/>
  <c r="E72" i="25" s="1"/>
  <c r="F72" i="25" s="1"/>
  <c r="G72" i="25" s="1"/>
  <c r="C72" i="9"/>
  <c r="AQ27" i="12"/>
  <c r="D27" i="25" s="1"/>
  <c r="E27" i="25" s="1"/>
  <c r="F27" i="25" s="1"/>
  <c r="G27" i="25" s="1"/>
  <c r="C27" i="9"/>
  <c r="AQ39" i="12"/>
  <c r="D39" i="25" s="1"/>
  <c r="E39" i="25" s="1"/>
  <c r="F39" i="25" s="1"/>
  <c r="G39" i="25" s="1"/>
  <c r="C39" i="9"/>
  <c r="C14" i="9"/>
  <c r="AQ14" i="12"/>
  <c r="D14" i="25" s="1"/>
  <c r="E14" i="25" s="1"/>
  <c r="F14" i="25" s="1"/>
  <c r="G14" i="25" s="1"/>
  <c r="C29" i="9"/>
  <c r="AQ29" i="12"/>
  <c r="D29" i="25" s="1"/>
  <c r="E29" i="25" s="1"/>
  <c r="F29" i="25" s="1"/>
  <c r="G29" i="25" s="1"/>
  <c r="AQ11" i="12"/>
  <c r="D11" i="25" s="1"/>
  <c r="E11" i="25" s="1"/>
  <c r="F11" i="25" s="1"/>
  <c r="G11" i="25" s="1"/>
  <c r="C11" i="9"/>
  <c r="AQ59" i="12"/>
  <c r="D59" i="25" s="1"/>
  <c r="E59" i="25" s="1"/>
  <c r="F59" i="25" s="1"/>
  <c r="G59" i="25" s="1"/>
  <c r="C59" i="9"/>
  <c r="Q23" i="71"/>
  <c r="E13" i="29"/>
  <c r="E14" i="29"/>
  <c r="E12" i="29"/>
  <c r="E15" i="29"/>
  <c r="E11" i="29"/>
  <c r="E16" i="29"/>
  <c r="E8" i="29"/>
  <c r="AQ17" i="12"/>
  <c r="D17" i="25" s="1"/>
  <c r="E17" i="25" s="1"/>
  <c r="F17" i="25" s="1"/>
  <c r="G17" i="25" s="1"/>
  <c r="C17" i="9"/>
  <c r="H53" i="71"/>
  <c r="AQ67" i="12"/>
  <c r="D67" i="25" s="1"/>
  <c r="E67" i="25" s="1"/>
  <c r="F67" i="25" s="1"/>
  <c r="G67" i="25" s="1"/>
  <c r="C67" i="9"/>
  <c r="AQ71" i="12"/>
  <c r="D71" i="25" s="1"/>
  <c r="E71" i="25" s="1"/>
  <c r="F71" i="25" s="1"/>
  <c r="G71" i="25" s="1"/>
  <c r="C71" i="9"/>
  <c r="H51" i="71"/>
  <c r="AQ51" i="12"/>
  <c r="D51" i="25" s="1"/>
  <c r="E51" i="25" s="1"/>
  <c r="F51" i="25" s="1"/>
  <c r="G51" i="25" s="1"/>
  <c r="C51" i="9"/>
  <c r="H15" i="71"/>
  <c r="C44" i="9"/>
  <c r="AQ44" i="12"/>
  <c r="D44" i="25" s="1"/>
  <c r="E44" i="25" s="1"/>
  <c r="F44" i="25" s="1"/>
  <c r="G44" i="25" s="1"/>
  <c r="V65" i="9"/>
  <c r="D34" i="28"/>
  <c r="E34" i="28" s="1"/>
  <c r="H34" i="28" s="1"/>
  <c r="Z65" i="9"/>
  <c r="AA65" i="9"/>
  <c r="H36" i="71"/>
  <c r="H75" i="71"/>
  <c r="H55" i="71"/>
  <c r="H56" i="71"/>
  <c r="AQ70" i="12"/>
  <c r="D70" i="25" s="1"/>
  <c r="E70" i="25" s="1"/>
  <c r="F70" i="25" s="1"/>
  <c r="G70" i="25" s="1"/>
  <c r="C70" i="9"/>
  <c r="K65" i="25"/>
  <c r="I65" i="25"/>
  <c r="J65" i="25" s="1"/>
  <c r="C42" i="9"/>
  <c r="AQ42" i="12"/>
  <c r="D42" i="25" s="1"/>
  <c r="E42" i="25" s="1"/>
  <c r="F42" i="25" s="1"/>
  <c r="G42" i="25" s="1"/>
  <c r="H68" i="71"/>
  <c r="C26" i="9"/>
  <c r="AQ26" i="12"/>
  <c r="D26" i="25" s="1"/>
  <c r="E26" i="25" s="1"/>
  <c r="F26" i="25" s="1"/>
  <c r="G26" i="25" s="1"/>
  <c r="H22" i="71"/>
  <c r="C34" i="9"/>
  <c r="AQ34" i="12"/>
  <c r="D34" i="25" s="1"/>
  <c r="E34" i="25" s="1"/>
  <c r="F34" i="25" s="1"/>
  <c r="G34" i="25" s="1"/>
  <c r="C22" i="9"/>
  <c r="AQ22" i="12"/>
  <c r="D22" i="25" s="1"/>
  <c r="E22" i="25" s="1"/>
  <c r="F22" i="25" s="1"/>
  <c r="G22" i="25" s="1"/>
  <c r="Q15" i="71"/>
  <c r="E7" i="29"/>
  <c r="H32" i="71"/>
  <c r="AQ55" i="12"/>
  <c r="D55" i="25" s="1"/>
  <c r="E55" i="25" s="1"/>
  <c r="F55" i="25" s="1"/>
  <c r="G55" i="25" s="1"/>
  <c r="C55" i="9"/>
  <c r="AQ15" i="12"/>
  <c r="D15" i="25" s="1"/>
  <c r="E15" i="25" s="1"/>
  <c r="F15" i="25" s="1"/>
  <c r="G15" i="25" s="1"/>
  <c r="C15" i="9"/>
  <c r="C32" i="9"/>
  <c r="AQ32" i="12"/>
  <c r="D32" i="25" s="1"/>
  <c r="E32" i="25" s="1"/>
  <c r="F32" i="25" s="1"/>
  <c r="G32" i="25" s="1"/>
  <c r="AQ30" i="12"/>
  <c r="D30" i="25" s="1"/>
  <c r="E30" i="25" s="1"/>
  <c r="F30" i="25" s="1"/>
  <c r="G30" i="25" s="1"/>
  <c r="C30" i="9"/>
  <c r="H12" i="71"/>
  <c r="D68" i="28"/>
  <c r="E68" i="28" s="1"/>
  <c r="H68" i="28" s="1"/>
  <c r="D68" i="26"/>
  <c r="E68" i="26" s="1"/>
  <c r="H68" i="26" s="1"/>
  <c r="D68" i="27"/>
  <c r="E68" i="27" s="1"/>
  <c r="H68" i="27" s="1"/>
  <c r="AQ36" i="12"/>
  <c r="D36" i="25" s="1"/>
  <c r="E36" i="25" s="1"/>
  <c r="F36" i="25" s="1"/>
  <c r="G36" i="25" s="1"/>
  <c r="C36" i="9"/>
  <c r="D16" i="27"/>
  <c r="E16" i="27" s="1"/>
  <c r="H16" i="27" s="1"/>
  <c r="D16" i="28"/>
  <c r="E16" i="28" s="1"/>
  <c r="H16" i="28" s="1"/>
  <c r="D16" i="26"/>
  <c r="E16" i="26" s="1"/>
  <c r="H16" i="26" s="1"/>
  <c r="D28" i="27"/>
  <c r="E28" i="27" s="1"/>
  <c r="H28" i="27" s="1"/>
  <c r="AQ50" i="12"/>
  <c r="D50" i="25" s="1"/>
  <c r="E50" i="25" s="1"/>
  <c r="F50" i="25" s="1"/>
  <c r="G50" i="25" s="1"/>
  <c r="C50" i="9"/>
  <c r="C12" i="9"/>
  <c r="AQ12" i="12"/>
  <c r="D12" i="25" s="1"/>
  <c r="E12" i="25" s="1"/>
  <c r="F12" i="25" s="1"/>
  <c r="G12" i="25" s="1"/>
  <c r="AQ56" i="12"/>
  <c r="D56" i="25" s="1"/>
  <c r="E56" i="25" s="1"/>
  <c r="F56" i="25" s="1"/>
  <c r="G56" i="25" s="1"/>
  <c r="C56" i="9"/>
  <c r="H16" i="71"/>
  <c r="AQ60" i="12"/>
  <c r="D60" i="25" s="1"/>
  <c r="E60" i="25" s="1"/>
  <c r="F60" i="25" s="1"/>
  <c r="G60" i="25" s="1"/>
  <c r="C60" i="9"/>
  <c r="C16" i="9"/>
  <c r="AQ16" i="12"/>
  <c r="D16" i="25" s="1"/>
  <c r="E16" i="25" s="1"/>
  <c r="F16" i="25" s="1"/>
  <c r="G16" i="25" s="1"/>
  <c r="D50" i="26"/>
  <c r="E50" i="26" s="1"/>
  <c r="H50" i="26" s="1"/>
  <c r="AQ52" i="12"/>
  <c r="D52" i="25" s="1"/>
  <c r="E52" i="25" s="1"/>
  <c r="F52" i="25" s="1"/>
  <c r="G52" i="25" s="1"/>
  <c r="C52" i="9"/>
  <c r="C28" i="9"/>
  <c r="AQ28" i="12"/>
  <c r="D28" i="25" s="1"/>
  <c r="E28" i="25" s="1"/>
  <c r="F28" i="25" s="1"/>
  <c r="G28" i="25" s="1"/>
  <c r="H60" i="71"/>
  <c r="H28" i="71"/>
  <c r="H50" i="71"/>
  <c r="AQ24" i="12"/>
  <c r="D24" i="25" s="1"/>
  <c r="E24" i="25" s="1"/>
  <c r="F24" i="25" s="1"/>
  <c r="G24" i="25" s="1"/>
  <c r="C24" i="9"/>
  <c r="AQ68" i="12"/>
  <c r="D68" i="25" s="1"/>
  <c r="E68" i="25" s="1"/>
  <c r="F68" i="25" s="1"/>
  <c r="G68" i="25" s="1"/>
  <c r="C68" i="9"/>
  <c r="D56" i="28"/>
  <c r="E56" i="28" s="1"/>
  <c r="H56" i="28" s="1"/>
  <c r="D56" i="26"/>
  <c r="E56" i="26" s="1"/>
  <c r="H56" i="26" s="1"/>
  <c r="D56" i="27"/>
  <c r="E56" i="27" s="1"/>
  <c r="H56" i="27" s="1"/>
  <c r="H30" i="71"/>
  <c r="H52" i="71"/>
  <c r="D36" i="28"/>
  <c r="E36" i="28" s="1"/>
  <c r="H36" i="28" s="1"/>
  <c r="D36" i="26"/>
  <c r="E36" i="26" s="1"/>
  <c r="H36" i="26" s="1"/>
  <c r="D36" i="27"/>
  <c r="E36" i="27" s="1"/>
  <c r="H36" i="27" s="1"/>
  <c r="H38" i="71"/>
  <c r="D38" i="26"/>
  <c r="E38" i="26" s="1"/>
  <c r="H38" i="26" s="1"/>
  <c r="F63" i="71"/>
  <c r="AH74" i="9"/>
  <c r="AP63" i="12"/>
  <c r="AI63" i="12"/>
  <c r="AL63" i="12"/>
  <c r="AM63" i="12" s="1"/>
  <c r="Q63" i="71" s="1"/>
  <c r="D63" i="10"/>
  <c r="R63" i="25"/>
  <c r="S63" i="25" s="1"/>
  <c r="D63" i="11" s="1"/>
  <c r="AH69" i="9"/>
  <c r="AI39" i="9"/>
  <c r="AQ38" i="12"/>
  <c r="D38" i="25" s="1"/>
  <c r="E38" i="25" s="1"/>
  <c r="F38" i="25" s="1"/>
  <c r="G38" i="25" s="1"/>
  <c r="C38" i="9"/>
  <c r="AH19" i="9"/>
  <c r="AH39" i="9"/>
  <c r="AE7" i="12"/>
  <c r="AG7" i="12" s="1"/>
  <c r="AI74" i="9"/>
  <c r="AI26" i="9"/>
  <c r="R69" i="9"/>
  <c r="X69" i="9"/>
  <c r="Q69" i="9"/>
  <c r="AE26" i="9"/>
  <c r="AB33" i="9"/>
  <c r="AB65" i="9"/>
  <c r="O69" i="9"/>
  <c r="V69" i="9"/>
  <c r="H69" i="9"/>
  <c r="W69" i="9"/>
  <c r="AI69" i="9"/>
  <c r="AA69" i="9"/>
  <c r="AA58" i="9"/>
  <c r="S58" i="9"/>
  <c r="O58" i="9"/>
  <c r="I58" i="9"/>
  <c r="Q26" i="9"/>
  <c r="X26" i="9"/>
  <c r="AB26" i="9"/>
  <c r="L26" i="9"/>
  <c r="V26" i="9"/>
  <c r="AC26" i="9"/>
  <c r="O26" i="9"/>
  <c r="J26" i="9"/>
  <c r="W33" i="9"/>
  <c r="AH33" i="9"/>
  <c r="H33" i="9"/>
  <c r="S33" i="9"/>
  <c r="I33" i="9"/>
  <c r="I9" i="25"/>
  <c r="J9" i="25" s="1"/>
  <c r="K9" i="25"/>
  <c r="T65" i="9"/>
  <c r="O65" i="9"/>
  <c r="K65" i="9"/>
  <c r="S74" i="9"/>
  <c r="Q74" i="9"/>
  <c r="AC74" i="9"/>
  <c r="I34" i="9"/>
  <c r="U34" i="9"/>
  <c r="W34" i="9"/>
  <c r="AH34" i="9"/>
  <c r="P34" i="9"/>
  <c r="L34" i="9"/>
  <c r="H34" i="9"/>
  <c r="AE34" i="9"/>
  <c r="AD70" i="9"/>
  <c r="Y70" i="9"/>
  <c r="AF70" i="9"/>
  <c r="I70" i="9"/>
  <c r="H25" i="71"/>
  <c r="E29" i="9"/>
  <c r="T29" i="9"/>
  <c r="M39" i="9"/>
  <c r="V39" i="9"/>
  <c r="AF39" i="9"/>
  <c r="Q39" i="9"/>
  <c r="AI13" i="9"/>
  <c r="AC43" i="9"/>
  <c r="AF43" i="9"/>
  <c r="O43" i="9"/>
  <c r="Z43" i="9"/>
  <c r="N73" i="9"/>
  <c r="S73" i="9"/>
  <c r="AD73" i="9"/>
  <c r="AH73" i="9"/>
  <c r="R73" i="9"/>
  <c r="AF73" i="9"/>
  <c r="I73" i="9"/>
  <c r="V61" i="9"/>
  <c r="AH61" i="9"/>
  <c r="N61" i="9"/>
  <c r="J61" i="9"/>
  <c r="T61" i="9"/>
  <c r="Y61" i="9"/>
  <c r="AG40" i="9"/>
  <c r="J40" i="9"/>
  <c r="Q40" i="9"/>
  <c r="U40" i="9"/>
  <c r="M7" i="73"/>
  <c r="K76" i="73"/>
  <c r="H7" i="73"/>
  <c r="G76" i="73"/>
  <c r="AC11" i="9"/>
  <c r="AI11" i="9"/>
  <c r="G11" i="9"/>
  <c r="AH23" i="9"/>
  <c r="H23" i="9"/>
  <c r="AG23" i="9"/>
  <c r="Y23" i="9"/>
  <c r="W23" i="9"/>
  <c r="X19" i="9"/>
  <c r="Q19" i="9"/>
  <c r="AC19" i="9"/>
  <c r="AA19" i="9"/>
  <c r="Y19" i="9"/>
  <c r="AF19" i="9"/>
  <c r="P19" i="9"/>
  <c r="L19" i="9"/>
  <c r="U42" i="9"/>
  <c r="V42" i="9"/>
  <c r="P42" i="9"/>
  <c r="E42" i="9"/>
  <c r="AF42" i="9"/>
  <c r="AD42" i="9"/>
  <c r="S42" i="9"/>
  <c r="Z42" i="9"/>
  <c r="G42" i="9"/>
  <c r="K54" i="9"/>
  <c r="AB54" i="9"/>
  <c r="O54" i="9"/>
  <c r="V54" i="9"/>
  <c r="L69" i="9"/>
  <c r="AD58" i="9"/>
  <c r="Z26" i="9"/>
  <c r="G33" i="9"/>
  <c r="AA33" i="9"/>
  <c r="H65" i="9"/>
  <c r="J69" i="9"/>
  <c r="T69" i="9"/>
  <c r="S69" i="9"/>
  <c r="Y69" i="9"/>
  <c r="U69" i="9"/>
  <c r="AD69" i="9"/>
  <c r="AG69" i="9"/>
  <c r="AB58" i="9"/>
  <c r="Q58" i="9"/>
  <c r="Y58" i="9"/>
  <c r="L58" i="9"/>
  <c r="K26" i="9"/>
  <c r="H26" i="9"/>
  <c r="AG26" i="9"/>
  <c r="I26" i="9"/>
  <c r="R26" i="9"/>
  <c r="AD26" i="9"/>
  <c r="AA26" i="9"/>
  <c r="E26" i="9"/>
  <c r="X33" i="9"/>
  <c r="P33" i="9"/>
  <c r="Z33" i="9"/>
  <c r="AE33" i="9"/>
  <c r="T33" i="9"/>
  <c r="J33" i="9"/>
  <c r="G65" i="9"/>
  <c r="S65" i="9"/>
  <c r="R65" i="9"/>
  <c r="D8" i="27"/>
  <c r="E8" i="27" s="1"/>
  <c r="H8" i="27" s="1"/>
  <c r="D8" i="28"/>
  <c r="E8" i="28" s="1"/>
  <c r="H8" i="28" s="1"/>
  <c r="D8" i="26"/>
  <c r="E8" i="26" s="1"/>
  <c r="H8" i="26" s="1"/>
  <c r="Z74" i="9"/>
  <c r="R74" i="9"/>
  <c r="AB74" i="9"/>
  <c r="G74" i="9"/>
  <c r="AA74" i="9"/>
  <c r="E74" i="9"/>
  <c r="U74" i="9"/>
  <c r="X34" i="9"/>
  <c r="N34" i="9"/>
  <c r="T34" i="9"/>
  <c r="AF34" i="9"/>
  <c r="V34" i="9"/>
  <c r="AG34" i="9"/>
  <c r="Z34" i="9"/>
  <c r="Q34" i="9"/>
  <c r="M34" i="9"/>
  <c r="R70" i="9"/>
  <c r="V70" i="9"/>
  <c r="K70" i="9"/>
  <c r="T70" i="9"/>
  <c r="D9" i="27"/>
  <c r="E9" i="27" s="1"/>
  <c r="H9" i="27" s="1"/>
  <c r="D9" i="28"/>
  <c r="E9" i="28" s="1"/>
  <c r="H9" i="28" s="1"/>
  <c r="D9" i="26"/>
  <c r="E9" i="26" s="1"/>
  <c r="H9" i="26" s="1"/>
  <c r="R29" i="9"/>
  <c r="N29" i="9"/>
  <c r="W29" i="9"/>
  <c r="S29" i="9"/>
  <c r="I29" i="9"/>
  <c r="P29" i="9"/>
  <c r="AF29" i="9"/>
  <c r="T39" i="9"/>
  <c r="N39" i="9"/>
  <c r="O39" i="9"/>
  <c r="W39" i="9"/>
  <c r="L39" i="9"/>
  <c r="AC39" i="9"/>
  <c r="AA39" i="9"/>
  <c r="T13" i="9"/>
  <c r="I13" i="9"/>
  <c r="AG13" i="9"/>
  <c r="H13" i="9"/>
  <c r="T43" i="9"/>
  <c r="P43" i="9"/>
  <c r="AE43" i="9"/>
  <c r="G43" i="9"/>
  <c r="E43" i="9"/>
  <c r="AE73" i="9"/>
  <c r="Y73" i="9"/>
  <c r="AC73" i="9"/>
  <c r="L73" i="9"/>
  <c r="V73" i="9"/>
  <c r="U73" i="9"/>
  <c r="I61" i="9"/>
  <c r="E61" i="9"/>
  <c r="G61" i="9"/>
  <c r="K61" i="9"/>
  <c r="P40" i="9"/>
  <c r="O40" i="9"/>
  <c r="W40" i="9"/>
  <c r="E40" i="9"/>
  <c r="M40" i="9"/>
  <c r="W7" i="73"/>
  <c r="U76" i="73"/>
  <c r="R7" i="73"/>
  <c r="P76" i="73"/>
  <c r="T11" i="9"/>
  <c r="AH11" i="9"/>
  <c r="AA11" i="9"/>
  <c r="Q11" i="9"/>
  <c r="T23" i="9"/>
  <c r="Z23" i="9"/>
  <c r="U23" i="9"/>
  <c r="L23" i="9"/>
  <c r="J23" i="9"/>
  <c r="AF23" i="9"/>
  <c r="Q23" i="9"/>
  <c r="S19" i="9"/>
  <c r="AE19" i="9"/>
  <c r="AB19" i="9"/>
  <c r="U19" i="9"/>
  <c r="AD19" i="9"/>
  <c r="N19" i="9"/>
  <c r="H19" i="9"/>
  <c r="J42" i="9"/>
  <c r="X42" i="9"/>
  <c r="N42" i="9"/>
  <c r="AE42" i="9"/>
  <c r="Y42" i="9"/>
  <c r="Q42" i="9"/>
  <c r="AH42" i="9"/>
  <c r="M54" i="9"/>
  <c r="Y54" i="9"/>
  <c r="Z54" i="9"/>
  <c r="AG54" i="9"/>
  <c r="I8" i="25"/>
  <c r="J8" i="25" s="1"/>
  <c r="K8" i="25"/>
  <c r="R58" i="9"/>
  <c r="Y26" i="9"/>
  <c r="N26" i="9"/>
  <c r="AD65" i="9"/>
  <c r="M74" i="9"/>
  <c r="AD74" i="9"/>
  <c r="J74" i="9"/>
  <c r="AE74" i="9"/>
  <c r="AA34" i="9"/>
  <c r="G34" i="9"/>
  <c r="K34" i="9"/>
  <c r="AB34" i="9"/>
  <c r="J34" i="9"/>
  <c r="U70" i="9"/>
  <c r="S70" i="9"/>
  <c r="N70" i="9"/>
  <c r="M70" i="9"/>
  <c r="AE29" i="9"/>
  <c r="Y29" i="9"/>
  <c r="J29" i="9"/>
  <c r="E39" i="9"/>
  <c r="Y39" i="9"/>
  <c r="G39" i="9"/>
  <c r="R39" i="9"/>
  <c r="AD39" i="9"/>
  <c r="Q13" i="9"/>
  <c r="E13" i="9"/>
  <c r="K13" i="9"/>
  <c r="U43" i="9"/>
  <c r="AB43" i="9"/>
  <c r="AG43" i="9"/>
  <c r="Q73" i="9"/>
  <c r="G73" i="9"/>
  <c r="W73" i="9"/>
  <c r="AB73" i="9"/>
  <c r="K73" i="9"/>
  <c r="Z73" i="9"/>
  <c r="T73" i="9"/>
  <c r="AF61" i="9"/>
  <c r="AB61" i="9"/>
  <c r="R40" i="9"/>
  <c r="K40" i="9"/>
  <c r="AC40" i="9"/>
  <c r="L40" i="9"/>
  <c r="Z40" i="9"/>
  <c r="AF40" i="9"/>
  <c r="S40" i="9"/>
  <c r="AB7" i="73"/>
  <c r="Z76" i="73"/>
  <c r="AD11" i="9"/>
  <c r="V11" i="9"/>
  <c r="S11" i="9"/>
  <c r="N11" i="9"/>
  <c r="AC23" i="9"/>
  <c r="R23" i="9"/>
  <c r="P23" i="9"/>
  <c r="I19" i="9"/>
  <c r="R19" i="9"/>
  <c r="W19" i="9"/>
  <c r="V19" i="9"/>
  <c r="Z19" i="9"/>
  <c r="O42" i="9"/>
  <c r="K42" i="9"/>
  <c r="I42" i="9"/>
  <c r="L42" i="9"/>
  <c r="AA42" i="9"/>
  <c r="H42" i="9"/>
  <c r="P54" i="9"/>
  <c r="E54" i="9"/>
  <c r="AA54" i="9"/>
  <c r="AX7" i="12"/>
  <c r="L7" i="25"/>
  <c r="AW76" i="12"/>
  <c r="AE69" i="9"/>
  <c r="M69" i="9"/>
  <c r="G26" i="9"/>
  <c r="AF26" i="9"/>
  <c r="AC69" i="9"/>
  <c r="N69" i="9"/>
  <c r="P69" i="9"/>
  <c r="G69" i="9"/>
  <c r="Z69" i="9"/>
  <c r="AF69" i="9"/>
  <c r="M58" i="9"/>
  <c r="AG58" i="9"/>
  <c r="P58" i="9"/>
  <c r="AH26" i="9"/>
  <c r="W26" i="9"/>
  <c r="P26" i="9"/>
  <c r="U26" i="9"/>
  <c r="S26" i="9"/>
  <c r="M26" i="9"/>
  <c r="T26" i="9"/>
  <c r="K33" i="9"/>
  <c r="M33" i="9"/>
  <c r="L33" i="9"/>
  <c r="E33" i="9"/>
  <c r="Y65" i="9"/>
  <c r="J65" i="9"/>
  <c r="U65" i="9"/>
  <c r="AE65" i="9"/>
  <c r="O74" i="9"/>
  <c r="H74" i="9"/>
  <c r="P74" i="9"/>
  <c r="I74" i="9"/>
  <c r="Y74" i="9"/>
  <c r="Y34" i="9"/>
  <c r="AC34" i="9"/>
  <c r="S34" i="9"/>
  <c r="O34" i="9"/>
  <c r="E34" i="9"/>
  <c r="AD34" i="9"/>
  <c r="R34" i="9"/>
  <c r="L70" i="9"/>
  <c r="J70" i="9"/>
  <c r="E70" i="9"/>
  <c r="W70" i="9"/>
  <c r="O70" i="9"/>
  <c r="AB70" i="9"/>
  <c r="F14" i="9"/>
  <c r="D25" i="10"/>
  <c r="R25" i="25"/>
  <c r="S25" i="25" s="1"/>
  <c r="D25" i="11" s="1"/>
  <c r="H29" i="9"/>
  <c r="AD29" i="9"/>
  <c r="X29" i="9"/>
  <c r="I39" i="9"/>
  <c r="AG39" i="9"/>
  <c r="H39" i="9"/>
  <c r="AE39" i="9"/>
  <c r="J39" i="9"/>
  <c r="AF13" i="9"/>
  <c r="Z13" i="9"/>
  <c r="V13" i="9"/>
  <c r="O13" i="9"/>
  <c r="AA13" i="9"/>
  <c r="W13" i="9"/>
  <c r="X43" i="9"/>
  <c r="W43" i="9"/>
  <c r="L43" i="9"/>
  <c r="AD43" i="9"/>
  <c r="N43" i="9"/>
  <c r="S43" i="9"/>
  <c r="P73" i="9"/>
  <c r="AA73" i="9"/>
  <c r="X73" i="9"/>
  <c r="E73" i="9"/>
  <c r="H73" i="9"/>
  <c r="AI61" i="9"/>
  <c r="R61" i="9"/>
  <c r="O61" i="9"/>
  <c r="P61" i="9"/>
  <c r="M61" i="9"/>
  <c r="AD40" i="9"/>
  <c r="AI7" i="73"/>
  <c r="AG7" i="73"/>
  <c r="AE76" i="73"/>
  <c r="K11" i="9"/>
  <c r="AF11" i="9"/>
  <c r="AB11" i="9"/>
  <c r="P11" i="9"/>
  <c r="I23" i="9"/>
  <c r="V23" i="9"/>
  <c r="AA23" i="9"/>
  <c r="AB23" i="9"/>
  <c r="AG19" i="9"/>
  <c r="K19" i="9"/>
  <c r="T19" i="9"/>
  <c r="J19" i="9"/>
  <c r="E19" i="9"/>
  <c r="G19" i="9"/>
  <c r="M19" i="9"/>
  <c r="O19" i="9"/>
  <c r="T42" i="9"/>
  <c r="AG42" i="9"/>
  <c r="W42" i="9"/>
  <c r="AC42" i="9"/>
  <c r="M42" i="9"/>
  <c r="AB42" i="9"/>
  <c r="R42" i="9"/>
  <c r="W54" i="9"/>
  <c r="H54" i="9"/>
  <c r="AF54" i="9"/>
  <c r="J54" i="9"/>
  <c r="Q54" i="9"/>
  <c r="AP25" i="12"/>
  <c r="AL25" i="12"/>
  <c r="AM25" i="12" s="1"/>
  <c r="AI25" i="12"/>
  <c r="AH70" i="9" l="1"/>
  <c r="AE76" i="12"/>
  <c r="AG76" i="12" s="1"/>
  <c r="AI58" i="9"/>
  <c r="AI40" i="9"/>
  <c r="AH29" i="9"/>
  <c r="AH13" i="9"/>
  <c r="AH65" i="9"/>
  <c r="AI70" i="9"/>
  <c r="AH54" i="9"/>
  <c r="AH40" i="9"/>
  <c r="I73" i="25"/>
  <c r="J73" i="25" s="1"/>
  <c r="K73" i="25"/>
  <c r="K24" i="9"/>
  <c r="J24" i="9"/>
  <c r="M24" i="9"/>
  <c r="AE24" i="9"/>
  <c r="N24" i="9"/>
  <c r="E24" i="9"/>
  <c r="S24" i="9"/>
  <c r="AG24" i="9"/>
  <c r="O24" i="9"/>
  <c r="I24" i="9"/>
  <c r="AD24" i="9"/>
  <c r="AA24" i="9"/>
  <c r="L24" i="9"/>
  <c r="U24" i="9"/>
  <c r="G24" i="9"/>
  <c r="H24" i="9"/>
  <c r="R24" i="9"/>
  <c r="P24" i="9"/>
  <c r="W24" i="9"/>
  <c r="Y24" i="9"/>
  <c r="AC24" i="9"/>
  <c r="T24" i="9"/>
  <c r="AB24" i="9"/>
  <c r="AF24" i="9"/>
  <c r="Q24" i="9"/>
  <c r="X24" i="9"/>
  <c r="V24" i="9"/>
  <c r="Z24" i="9"/>
  <c r="AF7" i="12"/>
  <c r="AH7" i="12"/>
  <c r="AH76" i="12" s="1"/>
  <c r="K21" i="9"/>
  <c r="N21" i="9"/>
  <c r="Q21" i="9"/>
  <c r="J21" i="9"/>
  <c r="P21" i="9"/>
  <c r="G21" i="9"/>
  <c r="U21" i="9"/>
  <c r="X21" i="9"/>
  <c r="E21" i="9"/>
  <c r="AF21" i="9"/>
  <c r="AC21" i="9"/>
  <c r="AA21" i="9"/>
  <c r="V21" i="9"/>
  <c r="AG21" i="9"/>
  <c r="H21" i="9"/>
  <c r="L21" i="9"/>
  <c r="S21" i="9"/>
  <c r="T21" i="9"/>
  <c r="I21" i="9"/>
  <c r="W21" i="9"/>
  <c r="AB21" i="9"/>
  <c r="Y21" i="9"/>
  <c r="R21" i="9"/>
  <c r="O21" i="9"/>
  <c r="AE21" i="9"/>
  <c r="Z21" i="9"/>
  <c r="M21" i="9"/>
  <c r="AD21" i="9"/>
  <c r="Q64" i="9"/>
  <c r="AA64" i="9"/>
  <c r="E64" i="9"/>
  <c r="AF64" i="9"/>
  <c r="U64" i="9"/>
  <c r="O64" i="9"/>
  <c r="L64" i="9"/>
  <c r="K64" i="9"/>
  <c r="S64" i="9"/>
  <c r="V64" i="9"/>
  <c r="N64" i="9"/>
  <c r="AG64" i="9"/>
  <c r="P64" i="9"/>
  <c r="R64" i="9"/>
  <c r="AB64" i="9"/>
  <c r="AD64" i="9"/>
  <c r="AE64" i="9"/>
  <c r="G64" i="9"/>
  <c r="Z64" i="9"/>
  <c r="T64" i="9"/>
  <c r="J64" i="9"/>
  <c r="M64" i="9"/>
  <c r="X64" i="9"/>
  <c r="Y64" i="9"/>
  <c r="AC64" i="9"/>
  <c r="W64" i="9"/>
  <c r="I64" i="9"/>
  <c r="H64" i="9"/>
  <c r="E14" i="9"/>
  <c r="S14" i="9"/>
  <c r="F11" i="29"/>
  <c r="F13" i="29"/>
  <c r="I59" i="25"/>
  <c r="J59" i="25" s="1"/>
  <c r="K59" i="25"/>
  <c r="I29" i="25"/>
  <c r="J29" i="25" s="1"/>
  <c r="K29" i="25"/>
  <c r="K14" i="25"/>
  <c r="I14" i="25"/>
  <c r="J14" i="25" s="1"/>
  <c r="I37" i="25"/>
  <c r="J37" i="25" s="1"/>
  <c r="K37" i="25"/>
  <c r="K57" i="25"/>
  <c r="I57" i="25"/>
  <c r="J57" i="25" s="1"/>
  <c r="K13" i="25"/>
  <c r="I13" i="25"/>
  <c r="J13" i="25" s="1"/>
  <c r="I23" i="25"/>
  <c r="J23" i="25" s="1"/>
  <c r="K23" i="25"/>
  <c r="I69" i="25"/>
  <c r="J69" i="25" s="1"/>
  <c r="K69" i="25"/>
  <c r="K43" i="25"/>
  <c r="I43" i="25"/>
  <c r="J43" i="25" s="1"/>
  <c r="K20" i="25"/>
  <c r="I20" i="25"/>
  <c r="J20" i="25" s="1"/>
  <c r="I41" i="25"/>
  <c r="J41" i="25" s="1"/>
  <c r="K41" i="25"/>
  <c r="I74" i="25"/>
  <c r="J74" i="25" s="1"/>
  <c r="K74" i="25"/>
  <c r="I53" i="25"/>
  <c r="J53" i="25" s="1"/>
  <c r="K53" i="25"/>
  <c r="F15" i="29"/>
  <c r="D23" i="27"/>
  <c r="E23" i="27" s="1"/>
  <c r="H23" i="27" s="1"/>
  <c r="D23" i="28"/>
  <c r="E23" i="28" s="1"/>
  <c r="H23" i="28" s="1"/>
  <c r="D23" i="26"/>
  <c r="E23" i="26" s="1"/>
  <c r="H23" i="26" s="1"/>
  <c r="AI14" i="9"/>
  <c r="I35" i="25"/>
  <c r="J35" i="25" s="1"/>
  <c r="K35" i="25"/>
  <c r="K21" i="25"/>
  <c r="I21" i="25"/>
  <c r="J21" i="25" s="1"/>
  <c r="K40" i="25"/>
  <c r="I40" i="25"/>
  <c r="J40" i="25" s="1"/>
  <c r="I71" i="25"/>
  <c r="J71" i="25" s="1"/>
  <c r="K71" i="25"/>
  <c r="K67" i="25"/>
  <c r="I67" i="25"/>
  <c r="J67" i="25" s="1"/>
  <c r="K17" i="25"/>
  <c r="I17" i="25"/>
  <c r="J17" i="25" s="1"/>
  <c r="F8" i="29"/>
  <c r="F12" i="29"/>
  <c r="K27" i="25"/>
  <c r="I27" i="25"/>
  <c r="J27" i="25" s="1"/>
  <c r="K64" i="25"/>
  <c r="I64" i="25"/>
  <c r="J64" i="25" s="1"/>
  <c r="I45" i="25"/>
  <c r="J45" i="25" s="1"/>
  <c r="K45" i="25"/>
  <c r="K66" i="25"/>
  <c r="I66" i="25"/>
  <c r="J66" i="25" s="1"/>
  <c r="K10" i="25"/>
  <c r="I10" i="25"/>
  <c r="J10" i="25" s="1"/>
  <c r="K33" i="25"/>
  <c r="I33" i="25"/>
  <c r="J33" i="25" s="1"/>
  <c r="K48" i="25"/>
  <c r="I48" i="25"/>
  <c r="J48" i="25" s="1"/>
  <c r="K31" i="25"/>
  <c r="I31" i="25"/>
  <c r="J31" i="25" s="1"/>
  <c r="F16" i="29"/>
  <c r="J16" i="29" s="1"/>
  <c r="F14" i="29"/>
  <c r="K11" i="25"/>
  <c r="I11" i="25"/>
  <c r="J11" i="25" s="1"/>
  <c r="I39" i="25"/>
  <c r="J39" i="25" s="1"/>
  <c r="K39" i="25"/>
  <c r="I72" i="25"/>
  <c r="J72" i="25" s="1"/>
  <c r="K72" i="25"/>
  <c r="I61" i="25"/>
  <c r="J61" i="25" s="1"/>
  <c r="K61" i="25"/>
  <c r="K54" i="25"/>
  <c r="I54" i="25"/>
  <c r="J54" i="25" s="1"/>
  <c r="K46" i="25"/>
  <c r="I46" i="25"/>
  <c r="J46" i="25" s="1"/>
  <c r="K47" i="25"/>
  <c r="I47" i="25"/>
  <c r="J47" i="25" s="1"/>
  <c r="I18" i="25"/>
  <c r="J18" i="25" s="1"/>
  <c r="K18" i="25"/>
  <c r="I49" i="25"/>
  <c r="J49" i="25" s="1"/>
  <c r="K49" i="25"/>
  <c r="I58" i="25"/>
  <c r="J58" i="25" s="1"/>
  <c r="K58" i="25"/>
  <c r="K62" i="25"/>
  <c r="I62" i="25"/>
  <c r="J62" i="25" s="1"/>
  <c r="I51" i="25"/>
  <c r="J51" i="25" s="1"/>
  <c r="K51" i="25"/>
  <c r="I44" i="25"/>
  <c r="J44" i="25" s="1"/>
  <c r="K44" i="25"/>
  <c r="I42" i="25"/>
  <c r="J42" i="25" s="1"/>
  <c r="K42" i="25"/>
  <c r="I70" i="25"/>
  <c r="J70" i="25" s="1"/>
  <c r="K70" i="25"/>
  <c r="K15" i="25"/>
  <c r="I15" i="25"/>
  <c r="J15" i="25" s="1"/>
  <c r="K22" i="25"/>
  <c r="I22" i="25"/>
  <c r="J22" i="25" s="1"/>
  <c r="I34" i="25"/>
  <c r="J34" i="25" s="1"/>
  <c r="K34" i="25"/>
  <c r="H63" i="71"/>
  <c r="F7" i="29"/>
  <c r="D15" i="28"/>
  <c r="E15" i="28" s="1"/>
  <c r="H15" i="28" s="1"/>
  <c r="D15" i="26"/>
  <c r="E15" i="26" s="1"/>
  <c r="H15" i="26" s="1"/>
  <c r="D15" i="27"/>
  <c r="E15" i="27" s="1"/>
  <c r="H15" i="27" s="1"/>
  <c r="K32" i="25"/>
  <c r="I32" i="25"/>
  <c r="J32" i="25" s="1"/>
  <c r="I55" i="25"/>
  <c r="J55" i="25" s="1"/>
  <c r="K55" i="25"/>
  <c r="I26" i="25"/>
  <c r="J26" i="25" s="1"/>
  <c r="K26" i="25"/>
  <c r="I16" i="25"/>
  <c r="J16" i="25" s="1"/>
  <c r="K16" i="25"/>
  <c r="K56" i="25"/>
  <c r="I56" i="25"/>
  <c r="J56" i="25" s="1"/>
  <c r="I30" i="25"/>
  <c r="J30" i="25" s="1"/>
  <c r="K30" i="25"/>
  <c r="I52" i="25"/>
  <c r="J52" i="25" s="1"/>
  <c r="K52" i="25"/>
  <c r="I60" i="25"/>
  <c r="J60" i="25" s="1"/>
  <c r="K60" i="25"/>
  <c r="I12" i="25"/>
  <c r="J12" i="25" s="1"/>
  <c r="K12" i="25"/>
  <c r="I36" i="25"/>
  <c r="J36" i="25" s="1"/>
  <c r="K36" i="25"/>
  <c r="K28" i="25"/>
  <c r="I28" i="25"/>
  <c r="J28" i="25" s="1"/>
  <c r="I50" i="25"/>
  <c r="J50" i="25" s="1"/>
  <c r="K50" i="25"/>
  <c r="K68" i="25"/>
  <c r="I68" i="25"/>
  <c r="J68" i="25" s="1"/>
  <c r="I24" i="25"/>
  <c r="J24" i="25" s="1"/>
  <c r="K24" i="25"/>
  <c r="AI23" i="9"/>
  <c r="AI29" i="9"/>
  <c r="D63" i="27"/>
  <c r="E63" i="27" s="1"/>
  <c r="H63" i="27" s="1"/>
  <c r="D63" i="28"/>
  <c r="E63" i="28" s="1"/>
  <c r="H63" i="28" s="1"/>
  <c r="D63" i="26"/>
  <c r="E63" i="26" s="1"/>
  <c r="H63" i="26" s="1"/>
  <c r="AQ63" i="12"/>
  <c r="D63" i="25" s="1"/>
  <c r="E63" i="25" s="1"/>
  <c r="F63" i="25" s="1"/>
  <c r="G63" i="25" s="1"/>
  <c r="C63" i="9"/>
  <c r="I38" i="25"/>
  <c r="J38" i="25" s="1"/>
  <c r="K38" i="25"/>
  <c r="AI33" i="9"/>
  <c r="C25" i="9"/>
  <c r="AQ25" i="12"/>
  <c r="D25" i="25" s="1"/>
  <c r="E25" i="25" s="1"/>
  <c r="F25" i="25" s="1"/>
  <c r="G25" i="25" s="1"/>
  <c r="AI76" i="73"/>
  <c r="AJ7" i="73"/>
  <c r="AJ76" i="73" s="1"/>
  <c r="F40" i="9"/>
  <c r="F73" i="9"/>
  <c r="AH8" i="9"/>
  <c r="S8" i="9"/>
  <c r="AD8" i="9"/>
  <c r="AI8" i="9"/>
  <c r="G8" i="9"/>
  <c r="I8" i="9"/>
  <c r="M8" i="9"/>
  <c r="L8" i="9"/>
  <c r="F33" i="9"/>
  <c r="O7" i="25"/>
  <c r="P7" i="25" s="1"/>
  <c r="L76" i="25"/>
  <c r="AF76" i="12"/>
  <c r="F11" i="9"/>
  <c r="AJ11" i="9" s="1"/>
  <c r="F19" i="9"/>
  <c r="F78" i="73"/>
  <c r="H76" i="73"/>
  <c r="H9" i="9"/>
  <c r="T9" i="9"/>
  <c r="Y9" i="9"/>
  <c r="W9" i="9"/>
  <c r="I9" i="9"/>
  <c r="AB9" i="9"/>
  <c r="F13" i="9"/>
  <c r="AJ13" i="9" s="1"/>
  <c r="F58" i="9"/>
  <c r="H8" i="9"/>
  <c r="K8" i="9"/>
  <c r="E8" i="9"/>
  <c r="U8" i="9"/>
  <c r="AA8" i="9"/>
  <c r="O8" i="9"/>
  <c r="R8" i="9"/>
  <c r="AG8" i="9"/>
  <c r="Z8" i="9"/>
  <c r="F34" i="9"/>
  <c r="F26" i="9"/>
  <c r="AK26" i="9" s="1"/>
  <c r="AY7" i="12"/>
  <c r="AY33" i="12"/>
  <c r="AY71" i="12"/>
  <c r="AY14" i="12"/>
  <c r="AY32" i="12"/>
  <c r="AY62" i="12"/>
  <c r="AY56" i="12"/>
  <c r="AY16" i="12"/>
  <c r="AY23" i="12"/>
  <c r="AY61" i="12"/>
  <c r="AY18" i="12"/>
  <c r="AY57" i="12"/>
  <c r="AY41" i="12"/>
  <c r="AY34" i="12"/>
  <c r="AY39" i="12"/>
  <c r="AY52" i="12"/>
  <c r="AY20" i="12"/>
  <c r="AY54" i="12"/>
  <c r="AY47" i="12"/>
  <c r="AY42" i="12"/>
  <c r="AY30" i="12"/>
  <c r="AY22" i="12"/>
  <c r="AY15" i="12"/>
  <c r="AY31" i="12"/>
  <c r="AY50" i="12"/>
  <c r="AY36" i="12"/>
  <c r="AY10" i="12"/>
  <c r="AY66" i="12"/>
  <c r="AY51" i="12"/>
  <c r="AY46" i="12"/>
  <c r="AY44" i="12"/>
  <c r="AY75" i="12"/>
  <c r="AY13" i="12"/>
  <c r="AY49" i="12"/>
  <c r="AY43" i="12"/>
  <c r="AY28" i="12"/>
  <c r="AY59" i="12"/>
  <c r="AY35" i="12"/>
  <c r="AY48" i="12"/>
  <c r="AY24" i="12"/>
  <c r="AY65" i="12"/>
  <c r="AY17" i="12"/>
  <c r="AY53" i="12"/>
  <c r="AY11" i="12"/>
  <c r="AY29" i="12"/>
  <c r="AY45" i="12"/>
  <c r="AY67" i="12"/>
  <c r="AY73" i="12"/>
  <c r="AY27" i="12"/>
  <c r="AY40" i="12"/>
  <c r="AY63" i="12"/>
  <c r="AY69" i="12"/>
  <c r="AY38" i="12"/>
  <c r="AY58" i="12"/>
  <c r="AY19" i="12"/>
  <c r="AY55" i="12"/>
  <c r="AY64" i="12"/>
  <c r="AY21" i="12"/>
  <c r="AY70" i="12"/>
  <c r="AY68" i="12"/>
  <c r="AY12" i="12"/>
  <c r="AY60" i="12"/>
  <c r="AY72" i="12"/>
  <c r="AY74" i="12"/>
  <c r="AY37" i="12"/>
  <c r="AY26" i="12"/>
  <c r="AY9" i="12"/>
  <c r="AY8" i="12"/>
  <c r="F42" i="9"/>
  <c r="AI42" i="9"/>
  <c r="AI19" i="9"/>
  <c r="AI34" i="9"/>
  <c r="F23" i="9"/>
  <c r="O78" i="73"/>
  <c r="R76" i="73"/>
  <c r="F65" i="9"/>
  <c r="F54" i="9"/>
  <c r="AK7" i="73"/>
  <c r="F7" i="71"/>
  <c r="AG9" i="9"/>
  <c r="AD9" i="9"/>
  <c r="N9" i="9"/>
  <c r="AH9" i="9"/>
  <c r="U9" i="9"/>
  <c r="G9" i="9"/>
  <c r="AC9" i="9"/>
  <c r="AD78" i="73"/>
  <c r="AG76" i="73"/>
  <c r="P8" i="9"/>
  <c r="Y8" i="9"/>
  <c r="AC8" i="9"/>
  <c r="V8" i="9"/>
  <c r="Q8" i="9"/>
  <c r="W8" i="9"/>
  <c r="F29" i="9"/>
  <c r="M28" i="30"/>
  <c r="M12" i="30"/>
  <c r="M13" i="30"/>
  <c r="M19" i="30"/>
  <c r="M26" i="30"/>
  <c r="M39" i="30"/>
  <c r="M8" i="30"/>
  <c r="M14" i="30"/>
  <c r="M30" i="30"/>
  <c r="M33" i="30"/>
  <c r="M37" i="30"/>
  <c r="M18" i="30"/>
  <c r="M23" i="30"/>
  <c r="M35" i="30"/>
  <c r="M25" i="30"/>
  <c r="M22" i="30"/>
  <c r="M15" i="30"/>
  <c r="M9" i="30"/>
  <c r="M32" i="30"/>
  <c r="M21" i="30"/>
  <c r="M17" i="30"/>
  <c r="M24" i="30"/>
  <c r="M16" i="30"/>
  <c r="M29" i="30"/>
  <c r="M36" i="30"/>
  <c r="M34" i="30"/>
  <c r="M31" i="30"/>
  <c r="M10" i="30"/>
  <c r="M11" i="30"/>
  <c r="M38" i="30"/>
  <c r="M27" i="30"/>
  <c r="M20" i="30"/>
  <c r="AJ26" i="9"/>
  <c r="F69" i="9"/>
  <c r="AK69" i="9" s="1"/>
  <c r="J78" i="73"/>
  <c r="M76" i="73"/>
  <c r="S9" i="9"/>
  <c r="K9" i="9"/>
  <c r="P9" i="9"/>
  <c r="M9" i="9"/>
  <c r="X9" i="9"/>
  <c r="Z9" i="9"/>
  <c r="L9" i="9"/>
  <c r="AY25" i="12"/>
  <c r="Q25" i="71"/>
  <c r="AI54" i="9"/>
  <c r="F61" i="9"/>
  <c r="AK61" i="9" s="1"/>
  <c r="X8" i="9"/>
  <c r="N8" i="9"/>
  <c r="T8" i="9"/>
  <c r="AE8" i="9"/>
  <c r="J8" i="9"/>
  <c r="AB8" i="9"/>
  <c r="AF8" i="9"/>
  <c r="F70" i="9"/>
  <c r="AX76" i="12"/>
  <c r="Y78" i="73"/>
  <c r="AB76" i="73"/>
  <c r="AI73" i="9"/>
  <c r="AJ73" i="9" s="1"/>
  <c r="F39" i="9"/>
  <c r="AK39" i="9" s="1"/>
  <c r="AH58" i="9"/>
  <c r="AL7" i="12"/>
  <c r="T78" i="73"/>
  <c r="W76" i="73"/>
  <c r="AF9" i="9"/>
  <c r="R9" i="9"/>
  <c r="O9" i="9"/>
  <c r="V9" i="9"/>
  <c r="Q9" i="9"/>
  <c r="J9" i="9"/>
  <c r="AA9" i="9"/>
  <c r="E9" i="9"/>
  <c r="AE9" i="9"/>
  <c r="F43" i="9"/>
  <c r="AJ43" i="9" s="1"/>
  <c r="F74" i="9"/>
  <c r="AJ74" i="9" s="1"/>
  <c r="AI65" i="9"/>
  <c r="AJ40" i="9" l="1"/>
  <c r="AK70" i="9"/>
  <c r="AK40" i="9"/>
  <c r="AK42" i="9"/>
  <c r="AL42" i="9" s="1"/>
  <c r="AP7" i="12"/>
  <c r="C7" i="9" s="1"/>
  <c r="AI7" i="12"/>
  <c r="AH14" i="9"/>
  <c r="AJ14" i="9" s="1"/>
  <c r="AJ33" i="9"/>
  <c r="AH24" i="9"/>
  <c r="AH64" i="9"/>
  <c r="AA63" i="9"/>
  <c r="L63" i="9"/>
  <c r="AK29" i="9"/>
  <c r="AL29" i="9" s="1"/>
  <c r="AK33" i="9"/>
  <c r="P63" i="9"/>
  <c r="AJ34" i="9"/>
  <c r="AK34" i="9"/>
  <c r="AL34" i="9" s="1"/>
  <c r="AH28" i="9"/>
  <c r="J71" i="9"/>
  <c r="T71" i="9"/>
  <c r="R71" i="9"/>
  <c r="Y71" i="9"/>
  <c r="G71" i="9"/>
  <c r="AC71" i="9"/>
  <c r="AE71" i="9"/>
  <c r="S45" i="9"/>
  <c r="AF45" i="9"/>
  <c r="E45" i="9"/>
  <c r="N45" i="9"/>
  <c r="AB45" i="9"/>
  <c r="Y45" i="9"/>
  <c r="U45" i="9"/>
  <c r="J45" i="9"/>
  <c r="K57" i="9"/>
  <c r="AC57" i="9"/>
  <c r="S57" i="9"/>
  <c r="I57" i="9"/>
  <c r="H57" i="9"/>
  <c r="J57" i="9"/>
  <c r="M57" i="9"/>
  <c r="V57" i="9"/>
  <c r="N57" i="9"/>
  <c r="N72" i="9"/>
  <c r="W72" i="9"/>
  <c r="AA72" i="9"/>
  <c r="Q72" i="9"/>
  <c r="L72" i="9"/>
  <c r="P72" i="9"/>
  <c r="P17" i="9"/>
  <c r="Y17" i="9"/>
  <c r="U17" i="9"/>
  <c r="AA17" i="9"/>
  <c r="AD17" i="9"/>
  <c r="G17" i="9"/>
  <c r="W17" i="9"/>
  <c r="AB17" i="9"/>
  <c r="P59" i="9"/>
  <c r="R59" i="9"/>
  <c r="H59" i="9"/>
  <c r="M59" i="9"/>
  <c r="U59" i="9"/>
  <c r="V59" i="9"/>
  <c r="G59" i="9"/>
  <c r="Z48" i="9"/>
  <c r="Q48" i="9"/>
  <c r="S48" i="9"/>
  <c r="AG48" i="9"/>
  <c r="V48" i="9"/>
  <c r="H48" i="9"/>
  <c r="J14" i="29"/>
  <c r="AB53" i="9"/>
  <c r="P53" i="9"/>
  <c r="AA53" i="9"/>
  <c r="J53" i="9"/>
  <c r="R53" i="9"/>
  <c r="K53" i="9"/>
  <c r="AC62" i="9"/>
  <c r="U62" i="9"/>
  <c r="W62" i="9"/>
  <c r="V62" i="9"/>
  <c r="K62" i="9"/>
  <c r="I62" i="9"/>
  <c r="X62" i="9"/>
  <c r="M62" i="9"/>
  <c r="V27" i="9"/>
  <c r="T27" i="9"/>
  <c r="I27" i="9"/>
  <c r="AE27" i="9"/>
  <c r="N27" i="9"/>
  <c r="M35" i="9"/>
  <c r="AA35" i="9"/>
  <c r="AD35" i="9"/>
  <c r="Y35" i="9"/>
  <c r="L35" i="9"/>
  <c r="H35" i="9"/>
  <c r="X35" i="9"/>
  <c r="W35" i="9"/>
  <c r="M66" i="9"/>
  <c r="R66" i="9"/>
  <c r="T66" i="9"/>
  <c r="S66" i="9"/>
  <c r="N66" i="9"/>
  <c r="AA66" i="9"/>
  <c r="K66" i="9"/>
  <c r="Z66" i="9"/>
  <c r="J8" i="29"/>
  <c r="S67" i="9"/>
  <c r="R67" i="9"/>
  <c r="Q67" i="9"/>
  <c r="I67" i="9"/>
  <c r="G67" i="9"/>
  <c r="AG67" i="9"/>
  <c r="K67" i="9"/>
  <c r="U41" i="9"/>
  <c r="W41" i="9"/>
  <c r="O41" i="9"/>
  <c r="AD41" i="9"/>
  <c r="AA41" i="9"/>
  <c r="R41" i="9"/>
  <c r="G31" i="9"/>
  <c r="J31" i="9"/>
  <c r="V31" i="9"/>
  <c r="H31" i="9"/>
  <c r="E31" i="9"/>
  <c r="AE31" i="9"/>
  <c r="L31" i="9"/>
  <c r="T44" i="9"/>
  <c r="L44" i="9"/>
  <c r="AA44" i="9"/>
  <c r="Q44" i="9"/>
  <c r="R44" i="9"/>
  <c r="AE44" i="9"/>
  <c r="E44" i="9"/>
  <c r="G44" i="9"/>
  <c r="H20" i="9"/>
  <c r="AD20" i="9"/>
  <c r="U20" i="9"/>
  <c r="X20" i="9"/>
  <c r="T20" i="9"/>
  <c r="V20" i="9"/>
  <c r="AE20" i="9"/>
  <c r="N10" i="9"/>
  <c r="H10" i="9"/>
  <c r="U10" i="9"/>
  <c r="AG10" i="9"/>
  <c r="AC10" i="9"/>
  <c r="W10" i="9"/>
  <c r="V10" i="9"/>
  <c r="G37" i="9"/>
  <c r="AC37" i="9"/>
  <c r="L37" i="9"/>
  <c r="K37" i="9"/>
  <c r="AB37" i="9"/>
  <c r="T37" i="9"/>
  <c r="E37" i="9"/>
  <c r="Y49" i="9"/>
  <c r="J49" i="9"/>
  <c r="L49" i="9"/>
  <c r="X49" i="9"/>
  <c r="P49" i="9"/>
  <c r="AC49" i="9"/>
  <c r="K49" i="9"/>
  <c r="R47" i="9"/>
  <c r="V47" i="9"/>
  <c r="AF47" i="9"/>
  <c r="S47" i="9"/>
  <c r="W46" i="9"/>
  <c r="Y46" i="9"/>
  <c r="L46" i="9"/>
  <c r="K46" i="9"/>
  <c r="AC46" i="9"/>
  <c r="AG46" i="9"/>
  <c r="U46" i="9"/>
  <c r="Q18" i="9"/>
  <c r="M18" i="9"/>
  <c r="H18" i="9"/>
  <c r="S18" i="9"/>
  <c r="AC18" i="9"/>
  <c r="AE18" i="9"/>
  <c r="Y18" i="9"/>
  <c r="AF71" i="9"/>
  <c r="Z71" i="9"/>
  <c r="W71" i="9"/>
  <c r="H71" i="9"/>
  <c r="AA71" i="9"/>
  <c r="AB71" i="9"/>
  <c r="P45" i="9"/>
  <c r="AC45" i="9"/>
  <c r="H45" i="9"/>
  <c r="V45" i="9"/>
  <c r="AD45" i="9"/>
  <c r="K45" i="9"/>
  <c r="AE45" i="9"/>
  <c r="M45" i="9"/>
  <c r="AG45" i="9"/>
  <c r="U57" i="9"/>
  <c r="G57" i="9"/>
  <c r="AE57" i="9"/>
  <c r="P57" i="9"/>
  <c r="O57" i="9"/>
  <c r="AB57" i="9"/>
  <c r="Y57" i="9"/>
  <c r="AE72" i="9"/>
  <c r="H72" i="9"/>
  <c r="AC72" i="9"/>
  <c r="M72" i="9"/>
  <c r="X72" i="9"/>
  <c r="AD72" i="9"/>
  <c r="AF72" i="9"/>
  <c r="M17" i="9"/>
  <c r="V17" i="9"/>
  <c r="AF17" i="9"/>
  <c r="I17" i="9"/>
  <c r="Q17" i="9"/>
  <c r="E17" i="9"/>
  <c r="Z17" i="9"/>
  <c r="AC17" i="9"/>
  <c r="I59" i="9"/>
  <c r="Y59" i="9"/>
  <c r="Q59" i="9"/>
  <c r="N59" i="9"/>
  <c r="S59" i="9"/>
  <c r="AF59" i="9"/>
  <c r="AD48" i="9"/>
  <c r="Y48" i="9"/>
  <c r="I48" i="9"/>
  <c r="G48" i="9"/>
  <c r="AA48" i="9"/>
  <c r="W48" i="9"/>
  <c r="I53" i="9"/>
  <c r="T53" i="9"/>
  <c r="Z53" i="9"/>
  <c r="AG53" i="9"/>
  <c r="N53" i="9"/>
  <c r="L53" i="9"/>
  <c r="J62" i="9"/>
  <c r="Z62" i="9"/>
  <c r="AE62" i="9"/>
  <c r="S62" i="9"/>
  <c r="AG62" i="9"/>
  <c r="AD27" i="9"/>
  <c r="AC27" i="9"/>
  <c r="O27" i="9"/>
  <c r="K27" i="9"/>
  <c r="AG27" i="9"/>
  <c r="G27" i="9"/>
  <c r="Z27" i="9"/>
  <c r="J35" i="9"/>
  <c r="Z35" i="9"/>
  <c r="AF35" i="9"/>
  <c r="K35" i="9"/>
  <c r="E35" i="9"/>
  <c r="G35" i="9"/>
  <c r="P35" i="9"/>
  <c r="AE35" i="9"/>
  <c r="H66" i="9"/>
  <c r="AG66" i="9"/>
  <c r="AB66" i="9"/>
  <c r="V66" i="9"/>
  <c r="Q66" i="9"/>
  <c r="AF66" i="9"/>
  <c r="AC66" i="9"/>
  <c r="Z67" i="9"/>
  <c r="Y67" i="9"/>
  <c r="U67" i="9"/>
  <c r="AB67" i="9"/>
  <c r="P67" i="9"/>
  <c r="O67" i="9"/>
  <c r="AA67" i="9"/>
  <c r="M67" i="9"/>
  <c r="AC41" i="9"/>
  <c r="Z41" i="9"/>
  <c r="AE41" i="9"/>
  <c r="K41" i="9"/>
  <c r="M41" i="9"/>
  <c r="S41" i="9"/>
  <c r="T41" i="9"/>
  <c r="X41" i="9"/>
  <c r="M31" i="9"/>
  <c r="S31" i="9"/>
  <c r="AA31" i="9"/>
  <c r="AB31" i="9"/>
  <c r="X31" i="9"/>
  <c r="AF31" i="9"/>
  <c r="U31" i="9"/>
  <c r="O31" i="9"/>
  <c r="X44" i="9"/>
  <c r="O44" i="9"/>
  <c r="AD44" i="9"/>
  <c r="AF44" i="9"/>
  <c r="I44" i="9"/>
  <c r="Y20" i="9"/>
  <c r="I20" i="9"/>
  <c r="K20" i="9"/>
  <c r="AA20" i="9"/>
  <c r="E20" i="9"/>
  <c r="J20" i="9"/>
  <c r="Z20" i="9"/>
  <c r="L10" i="9"/>
  <c r="M10" i="9"/>
  <c r="O10" i="9"/>
  <c r="R10" i="9"/>
  <c r="AE10" i="9"/>
  <c r="T10" i="9"/>
  <c r="AF10" i="9"/>
  <c r="J37" i="9"/>
  <c r="Y37" i="9"/>
  <c r="AD37" i="9"/>
  <c r="R37" i="9"/>
  <c r="I37" i="9"/>
  <c r="AF37" i="9"/>
  <c r="Z37" i="9"/>
  <c r="AD49" i="9"/>
  <c r="S49" i="9"/>
  <c r="W49" i="9"/>
  <c r="I49" i="9"/>
  <c r="AF49" i="9"/>
  <c r="Z49" i="9"/>
  <c r="U49" i="9"/>
  <c r="T47" i="9"/>
  <c r="H47" i="9"/>
  <c r="J47" i="9"/>
  <c r="W47" i="9"/>
  <c r="N47" i="9"/>
  <c r="K47" i="9"/>
  <c r="P47" i="9"/>
  <c r="AG47" i="9"/>
  <c r="AA46" i="9"/>
  <c r="J46" i="9"/>
  <c r="V46" i="9"/>
  <c r="AE46" i="9"/>
  <c r="X46" i="9"/>
  <c r="R46" i="9"/>
  <c r="G46" i="9"/>
  <c r="P18" i="9"/>
  <c r="J18" i="9"/>
  <c r="AG18" i="9"/>
  <c r="L18" i="9"/>
  <c r="G18" i="9"/>
  <c r="AA18" i="9"/>
  <c r="I18" i="9"/>
  <c r="U18" i="9"/>
  <c r="Z18" i="9"/>
  <c r="F17" i="29"/>
  <c r="J11" i="29"/>
  <c r="K71" i="9"/>
  <c r="I71" i="9"/>
  <c r="AD71" i="9"/>
  <c r="V71" i="9"/>
  <c r="N71" i="9"/>
  <c r="AG71" i="9"/>
  <c r="X71" i="9"/>
  <c r="E71" i="9"/>
  <c r="I45" i="9"/>
  <c r="AH45" i="9"/>
  <c r="O45" i="9"/>
  <c r="Z45" i="9"/>
  <c r="W45" i="9"/>
  <c r="Q57" i="9"/>
  <c r="AG57" i="9"/>
  <c r="E57" i="9"/>
  <c r="AF57" i="9"/>
  <c r="X57" i="9"/>
  <c r="T57" i="9"/>
  <c r="E72" i="9"/>
  <c r="J72" i="9"/>
  <c r="T72" i="9"/>
  <c r="R72" i="9"/>
  <c r="Z72" i="9"/>
  <c r="S72" i="9"/>
  <c r="I72" i="9"/>
  <c r="K17" i="9"/>
  <c r="S17" i="9"/>
  <c r="N17" i="9"/>
  <c r="O17" i="9"/>
  <c r="X17" i="9"/>
  <c r="T17" i="9"/>
  <c r="AI17" i="9"/>
  <c r="E59" i="9"/>
  <c r="Z59" i="9"/>
  <c r="W59" i="9"/>
  <c r="AE59" i="9"/>
  <c r="K59" i="9"/>
  <c r="AB59" i="9"/>
  <c r="T59" i="9"/>
  <c r="AE48" i="9"/>
  <c r="M48" i="9"/>
  <c r="AF48" i="9"/>
  <c r="X48" i="9"/>
  <c r="P48" i="9"/>
  <c r="R48" i="9"/>
  <c r="E48" i="9"/>
  <c r="O48" i="9"/>
  <c r="X53" i="9"/>
  <c r="U53" i="9"/>
  <c r="Q53" i="9"/>
  <c r="O53" i="9"/>
  <c r="AD53" i="9"/>
  <c r="AE53" i="9"/>
  <c r="W53" i="9"/>
  <c r="G53" i="9"/>
  <c r="V53" i="9"/>
  <c r="G62" i="9"/>
  <c r="O62" i="9"/>
  <c r="AB62" i="9"/>
  <c r="H62" i="9"/>
  <c r="AA62" i="9"/>
  <c r="P62" i="9"/>
  <c r="R62" i="9"/>
  <c r="Y27" i="9"/>
  <c r="M27" i="9"/>
  <c r="AA27" i="9"/>
  <c r="S27" i="9"/>
  <c r="L27" i="9"/>
  <c r="J27" i="9"/>
  <c r="X27" i="9"/>
  <c r="AB27" i="9"/>
  <c r="I35" i="9"/>
  <c r="AG35" i="9"/>
  <c r="U35" i="9"/>
  <c r="AC35" i="9"/>
  <c r="AB35" i="9"/>
  <c r="J66" i="9"/>
  <c r="E66" i="9"/>
  <c r="Y66" i="9"/>
  <c r="O66" i="9"/>
  <c r="I66" i="9"/>
  <c r="AE66" i="9"/>
  <c r="J12" i="29"/>
  <c r="AC67" i="9"/>
  <c r="J67" i="9"/>
  <c r="AF67" i="9"/>
  <c r="N67" i="9"/>
  <c r="AD67" i="9"/>
  <c r="T67" i="9"/>
  <c r="L67" i="9"/>
  <c r="E67" i="9"/>
  <c r="E41" i="9"/>
  <c r="J41" i="9"/>
  <c r="H41" i="9"/>
  <c r="AF41" i="9"/>
  <c r="AG41" i="9"/>
  <c r="V41" i="9"/>
  <c r="N41" i="9"/>
  <c r="L41" i="9"/>
  <c r="AC31" i="9"/>
  <c r="N31" i="9"/>
  <c r="P31" i="9"/>
  <c r="R31" i="9"/>
  <c r="AD31" i="9"/>
  <c r="AG31" i="9"/>
  <c r="J44" i="9"/>
  <c r="N44" i="9"/>
  <c r="Y44" i="9"/>
  <c r="AB44" i="9"/>
  <c r="W44" i="9"/>
  <c r="Z44" i="9"/>
  <c r="AC44" i="9"/>
  <c r="AG20" i="9"/>
  <c r="G20" i="9"/>
  <c r="M20" i="9"/>
  <c r="Q20" i="9"/>
  <c r="AB20" i="9"/>
  <c r="P20" i="9"/>
  <c r="P10" i="9"/>
  <c r="Q10" i="9"/>
  <c r="AD10" i="9"/>
  <c r="X10" i="9"/>
  <c r="E10" i="9"/>
  <c r="AA10" i="9"/>
  <c r="V37" i="9"/>
  <c r="U37" i="9"/>
  <c r="S37" i="9"/>
  <c r="AE37" i="9"/>
  <c r="AA37" i="9"/>
  <c r="P37" i="9"/>
  <c r="M37" i="9"/>
  <c r="H37" i="9"/>
  <c r="Q49" i="9"/>
  <c r="H49" i="9"/>
  <c r="T49" i="9"/>
  <c r="AE49" i="9"/>
  <c r="AG49" i="9"/>
  <c r="M49" i="9"/>
  <c r="J15" i="29"/>
  <c r="Z47" i="9"/>
  <c r="O47" i="9"/>
  <c r="AE47" i="9"/>
  <c r="G47" i="9"/>
  <c r="Q47" i="9"/>
  <c r="AA47" i="9"/>
  <c r="X47" i="9"/>
  <c r="I46" i="9"/>
  <c r="S46" i="9"/>
  <c r="AB46" i="9"/>
  <c r="T46" i="9"/>
  <c r="H46" i="9"/>
  <c r="P46" i="9"/>
  <c r="E46" i="9"/>
  <c r="M46" i="9"/>
  <c r="AF18" i="9"/>
  <c r="V18" i="9"/>
  <c r="O18" i="9"/>
  <c r="AB18" i="9"/>
  <c r="AI18" i="9"/>
  <c r="L71" i="9"/>
  <c r="P71" i="9"/>
  <c r="Q71" i="9"/>
  <c r="S71" i="9"/>
  <c r="U71" i="9"/>
  <c r="M71" i="9"/>
  <c r="O71" i="9"/>
  <c r="T45" i="9"/>
  <c r="R45" i="9"/>
  <c r="G45" i="9"/>
  <c r="X45" i="9"/>
  <c r="Q45" i="9"/>
  <c r="AA45" i="9"/>
  <c r="L45" i="9"/>
  <c r="L57" i="9"/>
  <c r="W57" i="9"/>
  <c r="Z57" i="9"/>
  <c r="AD57" i="9"/>
  <c r="AA57" i="9"/>
  <c r="R57" i="9"/>
  <c r="AB72" i="9"/>
  <c r="U72" i="9"/>
  <c r="O72" i="9"/>
  <c r="G72" i="9"/>
  <c r="AG72" i="9"/>
  <c r="V72" i="9"/>
  <c r="K72" i="9"/>
  <c r="Y72" i="9"/>
  <c r="AE17" i="9"/>
  <c r="AG17" i="9"/>
  <c r="H17" i="9"/>
  <c r="R17" i="9"/>
  <c r="J17" i="9"/>
  <c r="L17" i="9"/>
  <c r="AC59" i="9"/>
  <c r="AA59" i="9"/>
  <c r="L59" i="9"/>
  <c r="AD59" i="9"/>
  <c r="X59" i="9"/>
  <c r="J59" i="9"/>
  <c r="AG59" i="9"/>
  <c r="O59" i="9"/>
  <c r="U48" i="9"/>
  <c r="AC48" i="9"/>
  <c r="N48" i="9"/>
  <c r="T48" i="9"/>
  <c r="L48" i="9"/>
  <c r="K48" i="9"/>
  <c r="AB48" i="9"/>
  <c r="J48" i="9"/>
  <c r="AC53" i="9"/>
  <c r="H53" i="9"/>
  <c r="E53" i="9"/>
  <c r="M53" i="9"/>
  <c r="S53" i="9"/>
  <c r="AF53" i="9"/>
  <c r="Y53" i="9"/>
  <c r="E62" i="9"/>
  <c r="AF62" i="9"/>
  <c r="L62" i="9"/>
  <c r="Y62" i="9"/>
  <c r="T62" i="9"/>
  <c r="N62" i="9"/>
  <c r="Q62" i="9"/>
  <c r="AD62" i="9"/>
  <c r="Q27" i="9"/>
  <c r="AF27" i="9"/>
  <c r="U27" i="9"/>
  <c r="H27" i="9"/>
  <c r="R27" i="9"/>
  <c r="P27" i="9"/>
  <c r="W27" i="9"/>
  <c r="T35" i="9"/>
  <c r="R35" i="9"/>
  <c r="Q35" i="9"/>
  <c r="O35" i="9"/>
  <c r="S35" i="9"/>
  <c r="V35" i="9"/>
  <c r="N35" i="9"/>
  <c r="U66" i="9"/>
  <c r="X66" i="9"/>
  <c r="W66" i="9"/>
  <c r="G66" i="9"/>
  <c r="L66" i="9"/>
  <c r="AD66" i="9"/>
  <c r="P66" i="9"/>
  <c r="AE67" i="9"/>
  <c r="V67" i="9"/>
  <c r="H67" i="9"/>
  <c r="X67" i="9"/>
  <c r="W67" i="9"/>
  <c r="P41" i="9"/>
  <c r="Q41" i="9"/>
  <c r="Y41" i="9"/>
  <c r="G41" i="9"/>
  <c r="I41" i="9"/>
  <c r="AB41" i="9"/>
  <c r="K31" i="9"/>
  <c r="I31" i="9"/>
  <c r="Y31" i="9"/>
  <c r="Q31" i="9"/>
  <c r="Z31" i="9"/>
  <c r="W31" i="9"/>
  <c r="T31" i="9"/>
  <c r="S44" i="9"/>
  <c r="AI44" i="9"/>
  <c r="P44" i="9"/>
  <c r="U44" i="9"/>
  <c r="AG44" i="9"/>
  <c r="K44" i="9"/>
  <c r="V44" i="9"/>
  <c r="H44" i="9"/>
  <c r="M44" i="9"/>
  <c r="O20" i="9"/>
  <c r="L20" i="9"/>
  <c r="N20" i="9"/>
  <c r="S20" i="9"/>
  <c r="AF20" i="9"/>
  <c r="R20" i="9"/>
  <c r="AC20" i="9"/>
  <c r="W20" i="9"/>
  <c r="AB10" i="9"/>
  <c r="I10" i="9"/>
  <c r="Y10" i="9"/>
  <c r="S10" i="9"/>
  <c r="K10" i="9"/>
  <c r="G10" i="9"/>
  <c r="Z10" i="9"/>
  <c r="J10" i="9"/>
  <c r="AG37" i="9"/>
  <c r="Q37" i="9"/>
  <c r="X37" i="9"/>
  <c r="O37" i="9"/>
  <c r="W37" i="9"/>
  <c r="N37" i="9"/>
  <c r="R49" i="9"/>
  <c r="E49" i="9"/>
  <c r="G49" i="9"/>
  <c r="N49" i="9"/>
  <c r="AB49" i="9"/>
  <c r="AA49" i="9"/>
  <c r="O49" i="9"/>
  <c r="V49" i="9"/>
  <c r="AD47" i="9"/>
  <c r="E47" i="9"/>
  <c r="Y47" i="9"/>
  <c r="I47" i="9"/>
  <c r="M47" i="9"/>
  <c r="L47" i="9"/>
  <c r="AC47" i="9"/>
  <c r="AB47" i="9"/>
  <c r="U47" i="9"/>
  <c r="AD46" i="9"/>
  <c r="AF46" i="9"/>
  <c r="Q46" i="9"/>
  <c r="O46" i="9"/>
  <c r="Z46" i="9"/>
  <c r="N46" i="9"/>
  <c r="AD18" i="9"/>
  <c r="T18" i="9"/>
  <c r="K18" i="9"/>
  <c r="N18" i="9"/>
  <c r="E18" i="9"/>
  <c r="R18" i="9"/>
  <c r="X18" i="9"/>
  <c r="W18" i="9"/>
  <c r="J13" i="29"/>
  <c r="Q51" i="9"/>
  <c r="Z51" i="9"/>
  <c r="E51" i="9"/>
  <c r="X51" i="9"/>
  <c r="V51" i="9"/>
  <c r="J51" i="9"/>
  <c r="AC51" i="9"/>
  <c r="AB51" i="9"/>
  <c r="U51" i="9"/>
  <c r="O51" i="9"/>
  <c r="Y51" i="9"/>
  <c r="T51" i="9"/>
  <c r="AD51" i="9"/>
  <c r="AA51" i="9"/>
  <c r="S51" i="9"/>
  <c r="M51" i="9"/>
  <c r="L51" i="9"/>
  <c r="AF51" i="9"/>
  <c r="N51" i="9"/>
  <c r="I51" i="9"/>
  <c r="P51" i="9"/>
  <c r="AG51" i="9"/>
  <c r="AE51" i="9"/>
  <c r="R51" i="9"/>
  <c r="W51" i="9"/>
  <c r="G51" i="9"/>
  <c r="H51" i="9"/>
  <c r="K51" i="9"/>
  <c r="AB15" i="9"/>
  <c r="AC15" i="9"/>
  <c r="S15" i="9"/>
  <c r="Q15" i="9"/>
  <c r="J15" i="9"/>
  <c r="AD15" i="9"/>
  <c r="K15" i="9"/>
  <c r="P15" i="9"/>
  <c r="N15" i="9"/>
  <c r="W15" i="9"/>
  <c r="AG15" i="9"/>
  <c r="AE15" i="9"/>
  <c r="G15" i="9"/>
  <c r="O15" i="9"/>
  <c r="X15" i="9"/>
  <c r="E15" i="9"/>
  <c r="M15" i="9"/>
  <c r="Y15" i="9"/>
  <c r="U15" i="9"/>
  <c r="I15" i="9"/>
  <c r="R15" i="9"/>
  <c r="Z15" i="9"/>
  <c r="V15" i="9"/>
  <c r="AF15" i="9"/>
  <c r="L15" i="9"/>
  <c r="T15" i="9"/>
  <c r="AA15" i="9"/>
  <c r="H15" i="9"/>
  <c r="AH22" i="9"/>
  <c r="AI28" i="9"/>
  <c r="G36" i="9"/>
  <c r="M36" i="9"/>
  <c r="V36" i="9"/>
  <c r="AF36" i="9"/>
  <c r="AE36" i="9"/>
  <c r="Y36" i="9"/>
  <c r="R36" i="9"/>
  <c r="K36" i="9"/>
  <c r="U36" i="9"/>
  <c r="H36" i="9"/>
  <c r="J36" i="9"/>
  <c r="O36" i="9"/>
  <c r="T36" i="9"/>
  <c r="S36" i="9"/>
  <c r="AG36" i="9"/>
  <c r="AB36" i="9"/>
  <c r="AD36" i="9"/>
  <c r="Q36" i="9"/>
  <c r="AA36" i="9"/>
  <c r="Z36" i="9"/>
  <c r="P36" i="9"/>
  <c r="AC36" i="9"/>
  <c r="I36" i="9"/>
  <c r="N36" i="9"/>
  <c r="L36" i="9"/>
  <c r="W36" i="9"/>
  <c r="E36" i="9"/>
  <c r="X36" i="9"/>
  <c r="Y55" i="9"/>
  <c r="S55" i="9"/>
  <c r="E55" i="9"/>
  <c r="V55" i="9"/>
  <c r="AB55" i="9"/>
  <c r="AE55" i="9"/>
  <c r="T55" i="9"/>
  <c r="AE75" i="9"/>
  <c r="M75" i="9"/>
  <c r="S75" i="9"/>
  <c r="W75" i="9"/>
  <c r="AB75" i="9"/>
  <c r="U75" i="9"/>
  <c r="R75" i="9"/>
  <c r="R56" i="9"/>
  <c r="V56" i="9"/>
  <c r="I56" i="9"/>
  <c r="P56" i="9"/>
  <c r="N56" i="9"/>
  <c r="Q56" i="9"/>
  <c r="AC56" i="9"/>
  <c r="O55" i="9"/>
  <c r="W55" i="9"/>
  <c r="AD55" i="9"/>
  <c r="Z55" i="9"/>
  <c r="L55" i="9"/>
  <c r="U55" i="9"/>
  <c r="AF55" i="9"/>
  <c r="K75" i="9"/>
  <c r="H75" i="9"/>
  <c r="Q75" i="9"/>
  <c r="AA75" i="9"/>
  <c r="E75" i="9"/>
  <c r="V75" i="9"/>
  <c r="X75" i="9"/>
  <c r="AC75" i="9"/>
  <c r="Z56" i="9"/>
  <c r="O56" i="9"/>
  <c r="AB56" i="9"/>
  <c r="T56" i="9"/>
  <c r="AG56" i="9"/>
  <c r="U56" i="9"/>
  <c r="M56" i="9"/>
  <c r="M55" i="9"/>
  <c r="AA55" i="9"/>
  <c r="G55" i="9"/>
  <c r="K55" i="9"/>
  <c r="X55" i="9"/>
  <c r="R55" i="9"/>
  <c r="AG55" i="9"/>
  <c r="N75" i="9"/>
  <c r="J75" i="9"/>
  <c r="P75" i="9"/>
  <c r="AD75" i="9"/>
  <c r="I75" i="9"/>
  <c r="T75" i="9"/>
  <c r="AF75" i="9"/>
  <c r="J56" i="9"/>
  <c r="W56" i="9"/>
  <c r="G56" i="9"/>
  <c r="X56" i="9"/>
  <c r="AA56" i="9"/>
  <c r="K56" i="9"/>
  <c r="AD56" i="9"/>
  <c r="J55" i="9"/>
  <c r="H55" i="9"/>
  <c r="Q55" i="9"/>
  <c r="I55" i="9"/>
  <c r="P55" i="9"/>
  <c r="AC55" i="9"/>
  <c r="N55" i="9"/>
  <c r="O75" i="9"/>
  <c r="G75" i="9"/>
  <c r="L75" i="9"/>
  <c r="Y75" i="9"/>
  <c r="AG75" i="9"/>
  <c r="Z75" i="9"/>
  <c r="AF56" i="9"/>
  <c r="Y56" i="9"/>
  <c r="H56" i="9"/>
  <c r="AE56" i="9"/>
  <c r="L56" i="9"/>
  <c r="S56" i="9"/>
  <c r="E56" i="9"/>
  <c r="U68" i="9"/>
  <c r="L68" i="9"/>
  <c r="Q68" i="9"/>
  <c r="AA68" i="9"/>
  <c r="Z68" i="9"/>
  <c r="P68" i="9"/>
  <c r="H68" i="9"/>
  <c r="AC68" i="9"/>
  <c r="Y68" i="9"/>
  <c r="W68" i="9"/>
  <c r="O68" i="9"/>
  <c r="T68" i="9"/>
  <c r="M68" i="9"/>
  <c r="G68" i="9"/>
  <c r="AE68" i="9"/>
  <c r="AD68" i="9"/>
  <c r="V68" i="9"/>
  <c r="N68" i="9"/>
  <c r="K68" i="9"/>
  <c r="X68" i="9"/>
  <c r="E68" i="9"/>
  <c r="I68" i="9"/>
  <c r="AB68" i="9"/>
  <c r="AG68" i="9"/>
  <c r="J68" i="9"/>
  <c r="R68" i="9"/>
  <c r="AF68" i="9"/>
  <c r="S68" i="9"/>
  <c r="M22" i="9"/>
  <c r="AD22" i="9"/>
  <c r="R22" i="9"/>
  <c r="Z22" i="9"/>
  <c r="I22" i="9"/>
  <c r="Y22" i="9"/>
  <c r="Y32" i="9"/>
  <c r="AF32" i="9"/>
  <c r="R32" i="9"/>
  <c r="W32" i="9"/>
  <c r="U32" i="9"/>
  <c r="L32" i="9"/>
  <c r="S32" i="9"/>
  <c r="AD32" i="9"/>
  <c r="N32" i="9"/>
  <c r="H22" i="9"/>
  <c r="J22" i="9"/>
  <c r="AE22" i="9"/>
  <c r="AG22" i="9"/>
  <c r="W22" i="9"/>
  <c r="AC22" i="9"/>
  <c r="Q22" i="9"/>
  <c r="P32" i="9"/>
  <c r="V32" i="9"/>
  <c r="O32" i="9"/>
  <c r="K32" i="9"/>
  <c r="AC32" i="9"/>
  <c r="T32" i="9"/>
  <c r="K22" i="9"/>
  <c r="AB22" i="9"/>
  <c r="X22" i="9"/>
  <c r="G22" i="9"/>
  <c r="O22" i="9"/>
  <c r="L22" i="9"/>
  <c r="AA22" i="9"/>
  <c r="AA32" i="9"/>
  <c r="M32" i="9"/>
  <c r="AE32" i="9"/>
  <c r="Z32" i="9"/>
  <c r="AB32" i="9"/>
  <c r="I32" i="9"/>
  <c r="V22" i="9"/>
  <c r="E22" i="9"/>
  <c r="U22" i="9"/>
  <c r="N22" i="9"/>
  <c r="P22" i="9"/>
  <c r="S22" i="9"/>
  <c r="AF22" i="9"/>
  <c r="T22" i="9"/>
  <c r="X32" i="9"/>
  <c r="H32" i="9"/>
  <c r="J32" i="9"/>
  <c r="Q32" i="9"/>
  <c r="G32" i="9"/>
  <c r="E32" i="9"/>
  <c r="AG32" i="9"/>
  <c r="F9" i="29"/>
  <c r="J7" i="29"/>
  <c r="H28" i="9"/>
  <c r="AF28" i="9"/>
  <c r="Z28" i="9"/>
  <c r="AD28" i="9"/>
  <c r="R28" i="9"/>
  <c r="P28" i="9"/>
  <c r="J28" i="9"/>
  <c r="R50" i="9"/>
  <c r="Z50" i="9"/>
  <c r="W50" i="9"/>
  <c r="P50" i="9"/>
  <c r="E50" i="9"/>
  <c r="S50" i="9"/>
  <c r="AI50" i="9"/>
  <c r="W30" i="9"/>
  <c r="AG30" i="9"/>
  <c r="Z30" i="9"/>
  <c r="AA30" i="9"/>
  <c r="P30" i="9"/>
  <c r="O30" i="9"/>
  <c r="K52" i="9"/>
  <c r="P52" i="9"/>
  <c r="G52" i="9"/>
  <c r="L52" i="9"/>
  <c r="AF52" i="9"/>
  <c r="M52" i="9"/>
  <c r="W52" i="9"/>
  <c r="R52" i="9"/>
  <c r="L38" i="9"/>
  <c r="N38" i="9"/>
  <c r="AE38" i="9"/>
  <c r="J38" i="9"/>
  <c r="Q38" i="9"/>
  <c r="AG38" i="9"/>
  <c r="O38" i="9"/>
  <c r="G38" i="9"/>
  <c r="V12" i="9"/>
  <c r="I12" i="9"/>
  <c r="E12" i="9"/>
  <c r="O12" i="9"/>
  <c r="S12" i="9"/>
  <c r="N12" i="9"/>
  <c r="W12" i="9"/>
  <c r="V16" i="9"/>
  <c r="G16" i="9"/>
  <c r="AB16" i="9"/>
  <c r="K16" i="9"/>
  <c r="R16" i="9"/>
  <c r="J16" i="9"/>
  <c r="AA60" i="9"/>
  <c r="W60" i="9"/>
  <c r="AC60" i="9"/>
  <c r="J60" i="9"/>
  <c r="AF60" i="9"/>
  <c r="AC28" i="9"/>
  <c r="V28" i="9"/>
  <c r="U28" i="9"/>
  <c r="L28" i="9"/>
  <c r="W28" i="9"/>
  <c r="AE28" i="9"/>
  <c r="AF50" i="9"/>
  <c r="V50" i="9"/>
  <c r="AB50" i="9"/>
  <c r="U50" i="9"/>
  <c r="O50" i="9"/>
  <c r="AC50" i="9"/>
  <c r="Y50" i="9"/>
  <c r="S30" i="9"/>
  <c r="X30" i="9"/>
  <c r="Y30" i="9"/>
  <c r="AB30" i="9"/>
  <c r="U30" i="9"/>
  <c r="AE30" i="9"/>
  <c r="AC30" i="9"/>
  <c r="AF30" i="9"/>
  <c r="Y52" i="9"/>
  <c r="N52" i="9"/>
  <c r="AD52" i="9"/>
  <c r="AG52" i="9"/>
  <c r="Q52" i="9"/>
  <c r="Z52" i="9"/>
  <c r="AA38" i="9"/>
  <c r="S38" i="9"/>
  <c r="P38" i="9"/>
  <c r="H38" i="9"/>
  <c r="E38" i="9"/>
  <c r="K38" i="9"/>
  <c r="U38" i="9"/>
  <c r="T12" i="9"/>
  <c r="L12" i="9"/>
  <c r="AA12" i="9"/>
  <c r="AD12" i="9"/>
  <c r="U12" i="9"/>
  <c r="AE12" i="9"/>
  <c r="AG12" i="9"/>
  <c r="AF12" i="9"/>
  <c r="Z16" i="9"/>
  <c r="T16" i="9"/>
  <c r="X16" i="9"/>
  <c r="AA16" i="9"/>
  <c r="AD16" i="9"/>
  <c r="S16" i="9"/>
  <c r="O16" i="9"/>
  <c r="AE60" i="9"/>
  <c r="AB60" i="9"/>
  <c r="L60" i="9"/>
  <c r="S60" i="9"/>
  <c r="H60" i="9"/>
  <c r="V60" i="9"/>
  <c r="AA28" i="9"/>
  <c r="AB28" i="9"/>
  <c r="G28" i="9"/>
  <c r="S28" i="9"/>
  <c r="M28" i="9"/>
  <c r="N28" i="9"/>
  <c r="K28" i="9"/>
  <c r="AG28" i="9"/>
  <c r="K50" i="9"/>
  <c r="L50" i="9"/>
  <c r="T50" i="9"/>
  <c r="M50" i="9"/>
  <c r="I50" i="9"/>
  <c r="AG50" i="9"/>
  <c r="T30" i="9"/>
  <c r="Q30" i="9"/>
  <c r="J30" i="9"/>
  <c r="I30" i="9"/>
  <c r="L30" i="9"/>
  <c r="M30" i="9"/>
  <c r="H30" i="9"/>
  <c r="E52" i="9"/>
  <c r="X52" i="9"/>
  <c r="U52" i="9"/>
  <c r="J52" i="9"/>
  <c r="AA52" i="9"/>
  <c r="AC52" i="9"/>
  <c r="AF38" i="9"/>
  <c r="Z38" i="9"/>
  <c r="AD38" i="9"/>
  <c r="AC38" i="9"/>
  <c r="I38" i="9"/>
  <c r="R38" i="9"/>
  <c r="Z12" i="9"/>
  <c r="AI12" i="9"/>
  <c r="P12" i="9"/>
  <c r="J12" i="9"/>
  <c r="K12" i="9"/>
  <c r="AC12" i="9"/>
  <c r="Y16" i="9"/>
  <c r="I16" i="9"/>
  <c r="U16" i="9"/>
  <c r="N16" i="9"/>
  <c r="P16" i="9"/>
  <c r="W16" i="9"/>
  <c r="AE16" i="9"/>
  <c r="M60" i="9"/>
  <c r="T60" i="9"/>
  <c r="Y60" i="9"/>
  <c r="AD60" i="9"/>
  <c r="U60" i="9"/>
  <c r="N60" i="9"/>
  <c r="O60" i="9"/>
  <c r="Z60" i="9"/>
  <c r="O28" i="9"/>
  <c r="X28" i="9"/>
  <c r="Y28" i="9"/>
  <c r="I28" i="9"/>
  <c r="T28" i="9"/>
  <c r="Q28" i="9"/>
  <c r="E28" i="9"/>
  <c r="J50" i="9"/>
  <c r="H50" i="9"/>
  <c r="AE50" i="9"/>
  <c r="Q50" i="9"/>
  <c r="AA50" i="9"/>
  <c r="N50" i="9"/>
  <c r="AD50" i="9"/>
  <c r="X50" i="9"/>
  <c r="G50" i="9"/>
  <c r="V30" i="9"/>
  <c r="AD30" i="9"/>
  <c r="R30" i="9"/>
  <c r="E30" i="9"/>
  <c r="G30" i="9"/>
  <c r="K30" i="9"/>
  <c r="N30" i="9"/>
  <c r="T52" i="9"/>
  <c r="I52" i="9"/>
  <c r="AE52" i="9"/>
  <c r="S52" i="9"/>
  <c r="V52" i="9"/>
  <c r="O52" i="9"/>
  <c r="AB52" i="9"/>
  <c r="H52" i="9"/>
  <c r="Y38" i="9"/>
  <c r="W38" i="9"/>
  <c r="M38" i="9"/>
  <c r="X38" i="9"/>
  <c r="AB38" i="9"/>
  <c r="T38" i="9"/>
  <c r="V38" i="9"/>
  <c r="Y12" i="9"/>
  <c r="AB12" i="9"/>
  <c r="R12" i="9"/>
  <c r="Q12" i="9"/>
  <c r="X12" i="9"/>
  <c r="H12" i="9"/>
  <c r="G12" i="9"/>
  <c r="M12" i="9"/>
  <c r="AG16" i="9"/>
  <c r="H16" i="9"/>
  <c r="M16" i="9"/>
  <c r="AF16" i="9"/>
  <c r="Q16" i="9"/>
  <c r="L16" i="9"/>
  <c r="E16" i="9"/>
  <c r="AC16" i="9"/>
  <c r="K60" i="9"/>
  <c r="G60" i="9"/>
  <c r="E60" i="9"/>
  <c r="X60" i="9"/>
  <c r="P60" i="9"/>
  <c r="AG60" i="9"/>
  <c r="I60" i="9"/>
  <c r="R60" i="9"/>
  <c r="Q60" i="9"/>
  <c r="AK13" i="9"/>
  <c r="AJ61" i="9"/>
  <c r="AJ42" i="9"/>
  <c r="X63" i="9"/>
  <c r="Q63" i="9"/>
  <c r="E63" i="9"/>
  <c r="H63" i="9"/>
  <c r="K63" i="9"/>
  <c r="R63" i="9"/>
  <c r="V63" i="9"/>
  <c r="AD63" i="9"/>
  <c r="AE63" i="9"/>
  <c r="I63" i="9"/>
  <c r="AG63" i="9"/>
  <c r="N63" i="9"/>
  <c r="AB63" i="9"/>
  <c r="AF63" i="9"/>
  <c r="AC63" i="9"/>
  <c r="Y63" i="9"/>
  <c r="J63" i="9"/>
  <c r="S63" i="9"/>
  <c r="W63" i="9"/>
  <c r="U63" i="9"/>
  <c r="G63" i="9"/>
  <c r="K63" i="25"/>
  <c r="I63" i="25"/>
  <c r="J63" i="25" s="1"/>
  <c r="T63" i="9"/>
  <c r="Z63" i="9"/>
  <c r="O63" i="9"/>
  <c r="M63" i="9"/>
  <c r="AK19" i="9"/>
  <c r="AL19" i="9" s="1"/>
  <c r="AJ39" i="9"/>
  <c r="AK43" i="9"/>
  <c r="AL43" i="9" s="1"/>
  <c r="AJ54" i="9"/>
  <c r="AK65" i="9"/>
  <c r="AL65" i="9" s="1"/>
  <c r="AJ19" i="9"/>
  <c r="AK58" i="9"/>
  <c r="AL58" i="9" s="1"/>
  <c r="AL39" i="9"/>
  <c r="AL70" i="9"/>
  <c r="AL69" i="9"/>
  <c r="J38" i="30"/>
  <c r="J20" i="30"/>
  <c r="J27" i="30"/>
  <c r="J34" i="30"/>
  <c r="J26" i="30"/>
  <c r="J10" i="30"/>
  <c r="J33" i="30"/>
  <c r="J13" i="17"/>
  <c r="J37" i="30"/>
  <c r="J31" i="30"/>
  <c r="J23" i="30"/>
  <c r="AJ69" i="9"/>
  <c r="F8" i="9"/>
  <c r="AJ8" i="9" s="1"/>
  <c r="AI25" i="9"/>
  <c r="O25" i="9"/>
  <c r="AE25" i="9"/>
  <c r="N25" i="9"/>
  <c r="H25" i="9"/>
  <c r="P25" i="9"/>
  <c r="AB25" i="9"/>
  <c r="M25" i="9"/>
  <c r="AA25" i="9"/>
  <c r="AK76" i="73"/>
  <c r="AL7" i="73"/>
  <c r="AL76" i="73" s="1"/>
  <c r="AJ65" i="9"/>
  <c r="AJ29" i="9"/>
  <c r="P11" i="30"/>
  <c r="P38" i="30"/>
  <c r="P21" i="30"/>
  <c r="P33" i="30"/>
  <c r="P20" i="30"/>
  <c r="P18" i="30"/>
  <c r="P16" i="30"/>
  <c r="P29" i="30"/>
  <c r="S36" i="30"/>
  <c r="S34" i="30"/>
  <c r="S19" i="30"/>
  <c r="S30" i="30"/>
  <c r="S29" i="30"/>
  <c r="S35" i="30"/>
  <c r="S23" i="30"/>
  <c r="S33" i="30"/>
  <c r="AK54" i="9"/>
  <c r="L84" i="25"/>
  <c r="O76" i="25"/>
  <c r="O84" i="25" s="1"/>
  <c r="AJ58" i="9"/>
  <c r="AJ70" i="9"/>
  <c r="J13" i="30"/>
  <c r="J19" i="30"/>
  <c r="J39" i="30"/>
  <c r="J24" i="30"/>
  <c r="J18" i="30"/>
  <c r="J21" i="30"/>
  <c r="J30" i="30"/>
  <c r="J10" i="17"/>
  <c r="J28" i="30"/>
  <c r="J15" i="30"/>
  <c r="AL61" i="9"/>
  <c r="AI76" i="12"/>
  <c r="AK74" i="9"/>
  <c r="M9" i="17"/>
  <c r="M11" i="17"/>
  <c r="AK73" i="9"/>
  <c r="G25" i="9"/>
  <c r="AH25" i="9"/>
  <c r="AD25" i="9"/>
  <c r="J25" i="9"/>
  <c r="I25" i="9"/>
  <c r="V25" i="9"/>
  <c r="K25" i="9"/>
  <c r="Q25" i="9"/>
  <c r="Y25" i="9"/>
  <c r="AI9" i="9"/>
  <c r="P9" i="30"/>
  <c r="P13" i="17"/>
  <c r="P32" i="30"/>
  <c r="P12" i="30"/>
  <c r="P30" i="30"/>
  <c r="P37" i="30"/>
  <c r="P15" i="30"/>
  <c r="P35" i="30"/>
  <c r="P14" i="30"/>
  <c r="P31" i="30"/>
  <c r="S13" i="30"/>
  <c r="S22" i="30"/>
  <c r="S20" i="30"/>
  <c r="S14" i="30"/>
  <c r="S38" i="30"/>
  <c r="S37" i="30"/>
  <c r="S24" i="30"/>
  <c r="S11" i="30"/>
  <c r="S12" i="17"/>
  <c r="S27" i="30"/>
  <c r="S18" i="30"/>
  <c r="AK11" i="9"/>
  <c r="R7" i="25"/>
  <c r="D7" i="10"/>
  <c r="P76" i="25"/>
  <c r="K25" i="25"/>
  <c r="I25" i="25"/>
  <c r="J25" i="25" s="1"/>
  <c r="J36" i="30"/>
  <c r="J8" i="30"/>
  <c r="J12" i="30"/>
  <c r="J9" i="30"/>
  <c r="AL40" i="9"/>
  <c r="AM7" i="12"/>
  <c r="AL76" i="12"/>
  <c r="D25" i="27"/>
  <c r="E25" i="27" s="1"/>
  <c r="H25" i="27" s="1"/>
  <c r="D25" i="28"/>
  <c r="E25" i="28" s="1"/>
  <c r="H25" i="28" s="1"/>
  <c r="D25" i="26"/>
  <c r="E25" i="26" s="1"/>
  <c r="H25" i="26" s="1"/>
  <c r="AL26" i="9"/>
  <c r="M12" i="17"/>
  <c r="M7" i="30"/>
  <c r="M40" i="30" s="1"/>
  <c r="AG25" i="9"/>
  <c r="T25" i="9"/>
  <c r="E25" i="9"/>
  <c r="X25" i="9"/>
  <c r="AC25" i="9"/>
  <c r="L25" i="9"/>
  <c r="W25" i="9"/>
  <c r="P13" i="30"/>
  <c r="P19" i="30"/>
  <c r="P28" i="30"/>
  <c r="P9" i="17"/>
  <c r="P11" i="17"/>
  <c r="P36" i="30"/>
  <c r="P10" i="17"/>
  <c r="P8" i="30"/>
  <c r="P34" i="30"/>
  <c r="F76" i="71"/>
  <c r="S9" i="17"/>
  <c r="S11" i="17"/>
  <c r="S32" i="30"/>
  <c r="S12" i="30"/>
  <c r="S31" i="30"/>
  <c r="S10" i="17"/>
  <c r="S39" i="30"/>
  <c r="S28" i="30"/>
  <c r="S10" i="30"/>
  <c r="S8" i="30"/>
  <c r="S8" i="17"/>
  <c r="J17" i="30"/>
  <c r="J8" i="17"/>
  <c r="J22" i="30"/>
  <c r="J12" i="17"/>
  <c r="J32" i="30"/>
  <c r="J14" i="30"/>
  <c r="J11" i="17"/>
  <c r="J11" i="30"/>
  <c r="J29" i="30"/>
  <c r="J16" i="30"/>
  <c r="J25" i="30"/>
  <c r="J35" i="30"/>
  <c r="J9" i="17"/>
  <c r="M10" i="17"/>
  <c r="M13" i="17"/>
  <c r="M8" i="17"/>
  <c r="AF25" i="9"/>
  <c r="Z25" i="9"/>
  <c r="R25" i="9"/>
  <c r="S25" i="9"/>
  <c r="U25" i="9"/>
  <c r="H7" i="71"/>
  <c r="F9" i="9"/>
  <c r="P22" i="30"/>
  <c r="P12" i="17"/>
  <c r="P23" i="30"/>
  <c r="P27" i="30"/>
  <c r="P10" i="30"/>
  <c r="P24" i="30"/>
  <c r="P25" i="30"/>
  <c r="P39" i="30"/>
  <c r="P17" i="30"/>
  <c r="P26" i="30"/>
  <c r="P8" i="17"/>
  <c r="S25" i="30"/>
  <c r="S13" i="17"/>
  <c r="S21" i="30"/>
  <c r="S16" i="30"/>
  <c r="S15" i="30"/>
  <c r="S17" i="30"/>
  <c r="S26" i="30"/>
  <c r="S9" i="30"/>
  <c r="F19" i="29" l="1"/>
  <c r="AP76" i="12"/>
  <c r="AQ7" i="12"/>
  <c r="D7" i="25" s="1"/>
  <c r="E7" i="25" s="1"/>
  <c r="F7" i="25" s="1"/>
  <c r="G7" i="25" s="1"/>
  <c r="I7" i="25" s="1"/>
  <c r="AK14" i="9"/>
  <c r="AH48" i="9"/>
  <c r="P84" i="25"/>
  <c r="AI24" i="9"/>
  <c r="F24" i="9"/>
  <c r="AH18" i="9"/>
  <c r="AH72" i="9"/>
  <c r="F64" i="9"/>
  <c r="AL33" i="9"/>
  <c r="P33" i="71" s="1"/>
  <c r="AH21" i="9"/>
  <c r="AH37" i="9"/>
  <c r="AI64" i="9"/>
  <c r="F21" i="9"/>
  <c r="AH20" i="9"/>
  <c r="AI21" i="9"/>
  <c r="AH46" i="9"/>
  <c r="AH27" i="9"/>
  <c r="AH31" i="9"/>
  <c r="F67" i="9"/>
  <c r="AI66" i="9"/>
  <c r="AI67" i="9"/>
  <c r="AI62" i="9"/>
  <c r="AI48" i="9"/>
  <c r="F44" i="9"/>
  <c r="F59" i="9"/>
  <c r="AH67" i="9"/>
  <c r="AH53" i="9"/>
  <c r="AH59" i="9"/>
  <c r="AI46" i="9"/>
  <c r="AI35" i="9"/>
  <c r="F17" i="9"/>
  <c r="AI71" i="9"/>
  <c r="AH49" i="9"/>
  <c r="AI10" i="9"/>
  <c r="F20" i="9"/>
  <c r="AH44" i="9"/>
  <c r="F66" i="9"/>
  <c r="F53" i="9"/>
  <c r="F48" i="9"/>
  <c r="F18" i="9"/>
  <c r="F46" i="9"/>
  <c r="AI31" i="9"/>
  <c r="F41" i="9"/>
  <c r="F71" i="9"/>
  <c r="AI37" i="9"/>
  <c r="AI20" i="9"/>
  <c r="AH41" i="9"/>
  <c r="F35" i="9"/>
  <c r="AH35" i="9"/>
  <c r="AI59" i="9"/>
  <c r="AH57" i="9"/>
  <c r="AI45" i="9"/>
  <c r="F45" i="9"/>
  <c r="J17" i="29"/>
  <c r="AH62" i="9"/>
  <c r="AI53" i="9"/>
  <c r="AH47" i="9"/>
  <c r="F47" i="9"/>
  <c r="F49" i="9"/>
  <c r="AH10" i="9"/>
  <c r="AI72" i="9"/>
  <c r="AH17" i="9"/>
  <c r="F57" i="9"/>
  <c r="F31" i="9"/>
  <c r="AH66" i="9"/>
  <c r="F27" i="9"/>
  <c r="AI49" i="9"/>
  <c r="F37" i="9"/>
  <c r="F62" i="9"/>
  <c r="F72" i="9"/>
  <c r="AI57" i="9"/>
  <c r="AH71" i="9"/>
  <c r="AI47" i="9"/>
  <c r="F10" i="9"/>
  <c r="AI41" i="9"/>
  <c r="AI27" i="9"/>
  <c r="AH51" i="9"/>
  <c r="AI51" i="9"/>
  <c r="F51" i="9"/>
  <c r="AH15" i="9"/>
  <c r="AI15" i="9"/>
  <c r="F15" i="9"/>
  <c r="AI36" i="9"/>
  <c r="AH36" i="9"/>
  <c r="F36" i="9"/>
  <c r="AI56" i="9"/>
  <c r="AH50" i="9"/>
  <c r="F75" i="9"/>
  <c r="F56" i="9"/>
  <c r="AH56" i="9"/>
  <c r="AI75" i="9"/>
  <c r="F55" i="9"/>
  <c r="AH75" i="9"/>
  <c r="AI55" i="9"/>
  <c r="AH55" i="9"/>
  <c r="AH68" i="9"/>
  <c r="AI68" i="9"/>
  <c r="F68" i="9"/>
  <c r="D15" i="9"/>
  <c r="J9" i="29"/>
  <c r="F22" i="9"/>
  <c r="AH32" i="9"/>
  <c r="F32" i="9"/>
  <c r="AL13" i="9"/>
  <c r="P13" i="71" s="1"/>
  <c r="AI22" i="9"/>
  <c r="AI32" i="9"/>
  <c r="AH16" i="9"/>
  <c r="AI60" i="9"/>
  <c r="AH60" i="9"/>
  <c r="AH38" i="9"/>
  <c r="F16" i="9"/>
  <c r="F30" i="9"/>
  <c r="AI30" i="9"/>
  <c r="F50" i="9"/>
  <c r="AI38" i="9"/>
  <c r="F28" i="9"/>
  <c r="AK28" i="9" s="1"/>
  <c r="AH12" i="9"/>
  <c r="AH30" i="9"/>
  <c r="F60" i="9"/>
  <c r="AI16" i="9"/>
  <c r="F12" i="9"/>
  <c r="F38" i="9"/>
  <c r="AI52" i="9"/>
  <c r="AH52" i="9"/>
  <c r="F52" i="9"/>
  <c r="AE10" i="30"/>
  <c r="AI63" i="9"/>
  <c r="F63" i="9"/>
  <c r="AH63" i="9"/>
  <c r="AK8" i="9"/>
  <c r="AJ9" i="9"/>
  <c r="H76" i="71"/>
  <c r="AQ76" i="12"/>
  <c r="J7" i="17"/>
  <c r="J14" i="17" s="1"/>
  <c r="F25" i="9"/>
  <c r="AK25" i="9" s="1"/>
  <c r="Q7" i="71"/>
  <c r="AL73" i="9"/>
  <c r="S7" i="17"/>
  <c r="S14" i="17" s="1"/>
  <c r="P29" i="71"/>
  <c r="P39" i="71"/>
  <c r="G76" i="25"/>
  <c r="P26" i="71"/>
  <c r="AK9" i="9"/>
  <c r="D76" i="10"/>
  <c r="AL74" i="9"/>
  <c r="P7" i="17"/>
  <c r="P14" i="17" s="1"/>
  <c r="P7" i="30"/>
  <c r="P40" i="30" s="1"/>
  <c r="P69" i="71"/>
  <c r="P65" i="71"/>
  <c r="C76" i="9"/>
  <c r="M7" i="17"/>
  <c r="M14" i="17" s="1"/>
  <c r="P40" i="71"/>
  <c r="S7" i="25"/>
  <c r="R76" i="25"/>
  <c r="R84" i="25" s="1"/>
  <c r="P42" i="71"/>
  <c r="J7" i="30"/>
  <c r="J40" i="30" s="1"/>
  <c r="S7" i="30"/>
  <c r="S40" i="30" s="1"/>
  <c r="P34" i="71"/>
  <c r="P19" i="71"/>
  <c r="P58" i="71"/>
  <c r="P70" i="71"/>
  <c r="AM76" i="12"/>
  <c r="P43" i="71"/>
  <c r="AL11" i="9"/>
  <c r="P61" i="71"/>
  <c r="AL54" i="9"/>
  <c r="AK37" i="9" l="1"/>
  <c r="AJ35" i="9"/>
  <c r="K7" i="25"/>
  <c r="K76" i="25" s="1"/>
  <c r="K84" i="25" s="1"/>
  <c r="D23" i="9"/>
  <c r="D76" i="9" s="1"/>
  <c r="AL14" i="9"/>
  <c r="AJ53" i="9"/>
  <c r="AK35" i="9"/>
  <c r="AK24" i="9"/>
  <c r="AJ24" i="9"/>
  <c r="AJ51" i="9"/>
  <c r="AK50" i="9"/>
  <c r="AL50" i="9" s="1"/>
  <c r="AK27" i="9"/>
  <c r="AJ46" i="9"/>
  <c r="AJ21" i="9"/>
  <c r="AK21" i="9"/>
  <c r="AJ64" i="9"/>
  <c r="AK64" i="9"/>
  <c r="J19" i="29"/>
  <c r="AJ41" i="9"/>
  <c r="AK67" i="9"/>
  <c r="AL67" i="9" s="1"/>
  <c r="AK47" i="9"/>
  <c r="AK45" i="9"/>
  <c r="AL45" i="9" s="1"/>
  <c r="AK53" i="9"/>
  <c r="AL37" i="9"/>
  <c r="AK51" i="9"/>
  <c r="AJ37" i="9"/>
  <c r="AJ66" i="9"/>
  <c r="AK66" i="9"/>
  <c r="AJ67" i="9"/>
  <c r="AJ27" i="9"/>
  <c r="AK62" i="9"/>
  <c r="AJ62" i="9"/>
  <c r="AJ49" i="9"/>
  <c r="AK49" i="9"/>
  <c r="AJ45" i="9"/>
  <c r="AK41" i="9"/>
  <c r="AJ18" i="9"/>
  <c r="AK18" i="9"/>
  <c r="AK46" i="9"/>
  <c r="AJ17" i="9"/>
  <c r="AK17" i="9"/>
  <c r="AK10" i="9"/>
  <c r="AJ10" i="9"/>
  <c r="AJ72" i="9"/>
  <c r="AK72" i="9"/>
  <c r="AK31" i="9"/>
  <c r="AJ31" i="9"/>
  <c r="AJ57" i="9"/>
  <c r="AK57" i="9"/>
  <c r="AJ20" i="9"/>
  <c r="AK20" i="9"/>
  <c r="AJ47" i="9"/>
  <c r="AJ59" i="9"/>
  <c r="AK59" i="9"/>
  <c r="AL35" i="9"/>
  <c r="AK71" i="9"/>
  <c r="AJ71" i="9"/>
  <c r="AK48" i="9"/>
  <c r="AJ48" i="9"/>
  <c r="AJ44" i="9"/>
  <c r="AK44" i="9"/>
  <c r="AJ50" i="9"/>
  <c r="AL8" i="9"/>
  <c r="P8" i="71" s="1"/>
  <c r="AJ60" i="9"/>
  <c r="AK55" i="9"/>
  <c r="AL55" i="9" s="1"/>
  <c r="AJ36" i="9"/>
  <c r="AK36" i="9"/>
  <c r="AJ75" i="9"/>
  <c r="AK75" i="9"/>
  <c r="AJ56" i="9"/>
  <c r="AK56" i="9"/>
  <c r="AK32" i="9"/>
  <c r="AL32" i="9" s="1"/>
  <c r="AK22" i="9"/>
  <c r="AL22" i="9" s="1"/>
  <c r="AJ55" i="9"/>
  <c r="AK68" i="9"/>
  <c r="AJ68" i="9"/>
  <c r="AJ32" i="9"/>
  <c r="AJ52" i="9"/>
  <c r="AK52" i="9"/>
  <c r="AJ22" i="9"/>
  <c r="AJ15" i="9"/>
  <c r="AK15" i="9"/>
  <c r="AJ38" i="9"/>
  <c r="AK38" i="9"/>
  <c r="AJ30" i="9"/>
  <c r="AK30" i="9"/>
  <c r="AJ12" i="9"/>
  <c r="AK12" i="9"/>
  <c r="AL28" i="9"/>
  <c r="AK60" i="9"/>
  <c r="AJ16" i="9"/>
  <c r="AK16" i="9"/>
  <c r="AJ28" i="9"/>
  <c r="AJ63" i="9"/>
  <c r="AK63" i="9"/>
  <c r="AJ25" i="9"/>
  <c r="O9" i="29"/>
  <c r="D7" i="11"/>
  <c r="S76" i="25"/>
  <c r="S84" i="25" s="1"/>
  <c r="J7" i="25"/>
  <c r="I76" i="25"/>
  <c r="I84" i="25" s="1"/>
  <c r="D7" i="27"/>
  <c r="E7" i="27" s="1"/>
  <c r="D7" i="28"/>
  <c r="E7" i="28" s="1"/>
  <c r="D7" i="26"/>
  <c r="E7" i="26" s="1"/>
  <c r="D76" i="25"/>
  <c r="P54" i="71"/>
  <c r="P11" i="71"/>
  <c r="Q76" i="71"/>
  <c r="D7" i="16"/>
  <c r="D8" i="16"/>
  <c r="AL9" i="9"/>
  <c r="P73" i="71"/>
  <c r="AL25" i="9"/>
  <c r="P74" i="71"/>
  <c r="G84" i="25"/>
  <c r="P14" i="71" l="1"/>
  <c r="AL24" i="9"/>
  <c r="AL53" i="9"/>
  <c r="P53" i="71" s="1"/>
  <c r="AL64" i="9"/>
  <c r="AL51" i="9"/>
  <c r="AL27" i="9"/>
  <c r="AL21" i="9"/>
  <c r="AL47" i="9"/>
  <c r="AL72" i="9"/>
  <c r="AL62" i="9"/>
  <c r="P37" i="71"/>
  <c r="AL57" i="9"/>
  <c r="AL41" i="9"/>
  <c r="AL44" i="9"/>
  <c r="P45" i="71"/>
  <c r="P35" i="71"/>
  <c r="AL59" i="9"/>
  <c r="AL10" i="9"/>
  <c r="AL17" i="9"/>
  <c r="AL18" i="9"/>
  <c r="P67" i="71"/>
  <c r="AL46" i="9"/>
  <c r="AL66" i="9"/>
  <c r="AL48" i="9"/>
  <c r="AL71" i="9"/>
  <c r="AL20" i="9"/>
  <c r="AK23" i="9"/>
  <c r="AJ23" i="9"/>
  <c r="AL31" i="9"/>
  <c r="AL49" i="9"/>
  <c r="P51" i="71"/>
  <c r="AL36" i="9"/>
  <c r="AL75" i="9"/>
  <c r="AL56" i="9"/>
  <c r="P55" i="71"/>
  <c r="AL52" i="9"/>
  <c r="AL68" i="9"/>
  <c r="P22" i="71"/>
  <c r="AL15" i="9"/>
  <c r="P32" i="71"/>
  <c r="AL16" i="9"/>
  <c r="AL12" i="9"/>
  <c r="AL38" i="9"/>
  <c r="P50" i="71"/>
  <c r="AL30" i="9"/>
  <c r="AL60" i="9"/>
  <c r="P28" i="71"/>
  <c r="AL63" i="9"/>
  <c r="Q9" i="29"/>
  <c r="G25" i="30"/>
  <c r="V7" i="9"/>
  <c r="V76" i="9" s="1"/>
  <c r="AG7" i="9"/>
  <c r="AG76" i="9" s="1"/>
  <c r="N7" i="9"/>
  <c r="N76" i="9" s="1"/>
  <c r="G7" i="9"/>
  <c r="G76" i="9" s="1"/>
  <c r="H7" i="9"/>
  <c r="H76" i="9" s="1"/>
  <c r="AI7" i="9"/>
  <c r="AI76" i="9" s="1"/>
  <c r="Q7" i="9"/>
  <c r="Q76" i="9" s="1"/>
  <c r="H7" i="26"/>
  <c r="E76" i="26"/>
  <c r="E84" i="26" s="1"/>
  <c r="G14" i="30"/>
  <c r="G32" i="30"/>
  <c r="G21" i="30"/>
  <c r="G11" i="30"/>
  <c r="Y7" i="9"/>
  <c r="Y76" i="9" s="1"/>
  <c r="AC7" i="9"/>
  <c r="AC76" i="9" s="1"/>
  <c r="O7" i="9"/>
  <c r="O76" i="9" s="1"/>
  <c r="G22" i="30"/>
  <c r="G31" i="30"/>
  <c r="G18" i="30"/>
  <c r="G37" i="30"/>
  <c r="G8" i="30"/>
  <c r="G16" i="30"/>
  <c r="P25" i="71"/>
  <c r="G26" i="30"/>
  <c r="G30" i="30"/>
  <c r="G38" i="30"/>
  <c r="G20" i="30"/>
  <c r="G34" i="30"/>
  <c r="E8" i="16"/>
  <c r="H7" i="28"/>
  <c r="E76" i="28"/>
  <c r="E84" i="28" s="1"/>
  <c r="J76" i="25"/>
  <c r="J84" i="25" s="1"/>
  <c r="AB7" i="9"/>
  <c r="AB76" i="9" s="1"/>
  <c r="AE7" i="9"/>
  <c r="AE76" i="9" s="1"/>
  <c r="S7" i="9"/>
  <c r="S76" i="9" s="1"/>
  <c r="J7" i="9"/>
  <c r="J76" i="9" s="1"/>
  <c r="G24" i="30"/>
  <c r="G19" i="30"/>
  <c r="G7" i="30"/>
  <c r="P7" i="9"/>
  <c r="P76" i="9" s="1"/>
  <c r="K7" i="9"/>
  <c r="K76" i="9" s="1"/>
  <c r="X7" i="9"/>
  <c r="X76" i="9" s="1"/>
  <c r="E7" i="9"/>
  <c r="R7" i="9"/>
  <c r="R76" i="9" s="1"/>
  <c r="M7" i="9"/>
  <c r="M76" i="9" s="1"/>
  <c r="L7" i="9"/>
  <c r="L76" i="9" s="1"/>
  <c r="AD7" i="9"/>
  <c r="AD76" i="9" s="1"/>
  <c r="AA7" i="9"/>
  <c r="AA76" i="9" s="1"/>
  <c r="AF7" i="9"/>
  <c r="AF76" i="9" s="1"/>
  <c r="E7" i="16"/>
  <c r="E76" i="25"/>
  <c r="D84" i="25"/>
  <c r="H7" i="27"/>
  <c r="E76" i="27"/>
  <c r="E84" i="27" s="1"/>
  <c r="G27" i="30"/>
  <c r="G23" i="30"/>
  <c r="G12" i="30"/>
  <c r="U7" i="9"/>
  <c r="U76" i="9" s="1"/>
  <c r="Z7" i="9"/>
  <c r="Z76" i="9" s="1"/>
  <c r="G29" i="30"/>
  <c r="G35" i="30"/>
  <c r="G15" i="30"/>
  <c r="G9" i="30"/>
  <c r="P9" i="71"/>
  <c r="G13" i="30"/>
  <c r="G36" i="30"/>
  <c r="G10" i="30"/>
  <c r="G28" i="30"/>
  <c r="D76" i="28"/>
  <c r="D84" i="28" s="1"/>
  <c r="D76" i="27"/>
  <c r="D84" i="27" s="1"/>
  <c r="D76" i="26"/>
  <c r="D84" i="26" s="1"/>
  <c r="W7" i="9"/>
  <c r="W76" i="9" s="1"/>
  <c r="T7" i="9"/>
  <c r="T76" i="9" s="1"/>
  <c r="I7" i="9"/>
  <c r="I76" i="9" s="1"/>
  <c r="G33" i="30"/>
  <c r="D76" i="11"/>
  <c r="G17" i="30"/>
  <c r="G39" i="30"/>
  <c r="F7" i="9"/>
  <c r="F76" i="9" s="1"/>
  <c r="AH7" i="9"/>
  <c r="AH76" i="9" s="1"/>
  <c r="P47" i="71" l="1"/>
  <c r="P24" i="71"/>
  <c r="P27" i="71"/>
  <c r="P52" i="71"/>
  <c r="P21" i="71"/>
  <c r="P64" i="71"/>
  <c r="P59" i="71"/>
  <c r="P57" i="71"/>
  <c r="AL23" i="9"/>
  <c r="P41" i="71"/>
  <c r="P17" i="71"/>
  <c r="P49" i="71"/>
  <c r="P62" i="71"/>
  <c r="P48" i="71"/>
  <c r="P66" i="71"/>
  <c r="P46" i="71"/>
  <c r="P18" i="71"/>
  <c r="P10" i="71"/>
  <c r="P31" i="71"/>
  <c r="P20" i="71"/>
  <c r="P71" i="71"/>
  <c r="P44" i="71"/>
  <c r="P72" i="71"/>
  <c r="P36" i="71"/>
  <c r="P75" i="71"/>
  <c r="P56" i="71"/>
  <c r="P68" i="71"/>
  <c r="P15" i="71"/>
  <c r="P38" i="71"/>
  <c r="P60" i="71"/>
  <c r="P12" i="71"/>
  <c r="P16" i="71"/>
  <c r="P30" i="71"/>
  <c r="P63" i="71"/>
  <c r="U36" i="30"/>
  <c r="U29" i="30"/>
  <c r="U27" i="30"/>
  <c r="U24" i="30"/>
  <c r="U30" i="30"/>
  <c r="U16" i="30"/>
  <c r="U18" i="30"/>
  <c r="G40" i="30"/>
  <c r="U21" i="30"/>
  <c r="I8" i="16"/>
  <c r="U33" i="30"/>
  <c r="U15" i="30"/>
  <c r="U23" i="30"/>
  <c r="U19" i="30"/>
  <c r="H76" i="27"/>
  <c r="E9" i="16"/>
  <c r="I7" i="16"/>
  <c r="U38" i="30"/>
  <c r="E76" i="9"/>
  <c r="AJ7" i="9"/>
  <c r="AJ76" i="9" s="1"/>
  <c r="AK7" i="9"/>
  <c r="U22" i="30"/>
  <c r="U11" i="30"/>
  <c r="U17" i="30"/>
  <c r="U10" i="30"/>
  <c r="U9" i="30"/>
  <c r="U12" i="30"/>
  <c r="U20" i="30"/>
  <c r="U37" i="30"/>
  <c r="U31" i="30"/>
  <c r="U14" i="30"/>
  <c r="U39" i="30"/>
  <c r="H76" i="26"/>
  <c r="U28" i="30"/>
  <c r="U13" i="30"/>
  <c r="U25" i="30"/>
  <c r="U7" i="30"/>
  <c r="F76" i="25"/>
  <c r="F84" i="25" s="1"/>
  <c r="E84" i="25"/>
  <c r="U34" i="30"/>
  <c r="U26" i="30"/>
  <c r="U8" i="30"/>
  <c r="U32" i="30"/>
  <c r="H76" i="28"/>
  <c r="U35" i="30"/>
  <c r="P23" i="71" l="1"/>
  <c r="H84" i="28"/>
  <c r="H84" i="27"/>
  <c r="H84" i="26"/>
  <c r="AL7" i="9"/>
  <c r="AK76" i="9"/>
  <c r="I9" i="16"/>
  <c r="U40" i="30"/>
  <c r="P7" i="71" l="1"/>
  <c r="AL76" i="9"/>
  <c r="P76" i="71" l="1"/>
  <c r="AN15" i="9" l="1"/>
  <c r="AN23" i="9"/>
  <c r="AP23" i="9" l="1"/>
  <c r="AO23" i="9"/>
  <c r="AP15" i="9"/>
  <c r="AO15" i="9"/>
  <c r="AN76" i="9"/>
  <c r="AO76" i="9" l="1"/>
  <c r="AP76" i="9"/>
  <c r="AS9" i="29" l="1"/>
  <c r="AV36" i="30"/>
  <c r="AV37" i="30"/>
  <c r="AV32" i="30" l="1"/>
  <c r="AV40" i="30" s="1"/>
  <c r="AS17" i="29"/>
  <c r="AS19" i="29" l="1"/>
  <c r="X9" i="29" l="1"/>
  <c r="X17" i="29" l="1"/>
  <c r="X19" i="29" l="1"/>
  <c r="AE32" i="30" l="1"/>
  <c r="AE37" i="30" l="1"/>
  <c r="AE36" i="30"/>
  <c r="AE40" i="30" l="1"/>
  <c r="K16" i="29" l="1"/>
  <c r="M16" i="29" l="1"/>
  <c r="N16" i="29" l="1"/>
  <c r="O73" i="71" l="1"/>
  <c r="O75" i="71"/>
  <c r="O19" i="71" l="1"/>
  <c r="AE7" i="29"/>
  <c r="O39" i="71" l="1"/>
  <c r="O46" i="71"/>
  <c r="O60" i="71"/>
  <c r="O68" i="71"/>
  <c r="O61" i="71"/>
  <c r="O66" i="71"/>
  <c r="O32" i="71"/>
  <c r="O8" i="71"/>
  <c r="AE13" i="29"/>
  <c r="AE15" i="29"/>
  <c r="AE12" i="29"/>
  <c r="AE14" i="29"/>
  <c r="AE8" i="29"/>
  <c r="AE11" i="29"/>
  <c r="O33" i="71"/>
  <c r="O9" i="71"/>
  <c r="O71" i="71"/>
  <c r="O26" i="71"/>
  <c r="O54" i="71"/>
  <c r="O37" i="71"/>
  <c r="O55" i="71"/>
  <c r="O67" i="71"/>
  <c r="O65" i="71"/>
  <c r="O74" i="71"/>
  <c r="O57" i="71"/>
  <c r="O70" i="71"/>
  <c r="O45" i="71"/>
  <c r="O34" i="71"/>
  <c r="O28" i="71"/>
  <c r="O31" i="71"/>
  <c r="O49" i="71"/>
  <c r="O44" i="71"/>
  <c r="O43" i="71"/>
  <c r="O41" i="71"/>
  <c r="O69" i="71"/>
  <c r="O64" i="71"/>
  <c r="O50" i="71"/>
  <c r="O56" i="71"/>
  <c r="AF7" i="29"/>
  <c r="O35" i="71"/>
  <c r="O52" i="71"/>
  <c r="O58" i="71"/>
  <c r="O51" i="71"/>
  <c r="O30" i="71"/>
  <c r="O27" i="71"/>
  <c r="O48" i="71"/>
  <c r="O47" i="71"/>
  <c r="O38" i="71"/>
  <c r="O29" i="71"/>
  <c r="O72" i="71"/>
  <c r="O36" i="71"/>
  <c r="O53" i="71"/>
  <c r="O21" i="71" l="1"/>
  <c r="O20" i="71"/>
  <c r="O42" i="71"/>
  <c r="O13" i="71"/>
  <c r="AF12" i="29"/>
  <c r="O22" i="71"/>
  <c r="O15" i="71"/>
  <c r="O12" i="71"/>
  <c r="O23" i="71"/>
  <c r="O62" i="71"/>
  <c r="AF11" i="29"/>
  <c r="AF15" i="29"/>
  <c r="O59" i="71"/>
  <c r="AF14" i="29"/>
  <c r="O10" i="71"/>
  <c r="O17" i="71"/>
  <c r="O24" i="71"/>
  <c r="O18" i="71"/>
  <c r="O14" i="71"/>
  <c r="O16" i="71"/>
  <c r="O11" i="71"/>
  <c r="O63" i="71"/>
  <c r="O40" i="71"/>
  <c r="AF8" i="29"/>
  <c r="AF13" i="29"/>
  <c r="AF9" i="29" l="1"/>
  <c r="AF17" i="29"/>
  <c r="O25" i="71"/>
  <c r="AF19" i="29" l="1"/>
  <c r="O76" i="71" l="1"/>
  <c r="O7" i="71"/>
  <c r="AK10" i="30" l="1"/>
  <c r="AK17" i="30"/>
  <c r="AK21" i="30"/>
  <c r="AK15" i="30"/>
  <c r="AK11" i="30"/>
  <c r="AK39" i="30"/>
  <c r="AK8" i="30"/>
  <c r="AK30" i="30"/>
  <c r="AK27" i="30"/>
  <c r="AK22" i="30"/>
  <c r="AK37" i="30"/>
  <c r="AK38" i="30"/>
  <c r="AK29" i="30"/>
  <c r="AK13" i="30"/>
  <c r="AK31" i="30"/>
  <c r="AK16" i="30"/>
  <c r="AK20" i="30"/>
  <c r="AK26" i="30"/>
  <c r="AK34" i="30"/>
  <c r="AK14" i="30"/>
  <c r="AK36" i="30"/>
  <c r="AK9" i="30"/>
  <c r="AK23" i="30"/>
  <c r="AK19" i="30"/>
  <c r="AK18" i="30"/>
  <c r="AK32" i="30"/>
  <c r="AK25" i="30"/>
  <c r="AK24" i="30"/>
  <c r="AK35" i="30"/>
  <c r="AK33" i="30"/>
  <c r="AK28" i="30"/>
  <c r="AK12" i="30"/>
  <c r="E8" i="17" l="1"/>
  <c r="E11" i="17"/>
  <c r="AK7" i="30"/>
  <c r="AK40" i="30" s="1"/>
  <c r="U13" i="17"/>
  <c r="U8" i="17"/>
  <c r="U11" i="17"/>
  <c r="E9" i="17"/>
  <c r="U10" i="17"/>
  <c r="E7" i="17"/>
  <c r="U12" i="17"/>
  <c r="U9" i="17"/>
  <c r="E10" i="17"/>
  <c r="E12" i="17"/>
  <c r="E13" i="17"/>
  <c r="E14" i="17" l="1"/>
  <c r="U7" i="17"/>
  <c r="U14" i="17" s="1"/>
  <c r="AG15" i="29" l="1"/>
  <c r="I49" i="26"/>
  <c r="I58" i="27"/>
  <c r="I42" i="27"/>
  <c r="AQ65" i="9"/>
  <c r="AQ61" i="9"/>
  <c r="AQ57" i="9"/>
  <c r="AQ45" i="9"/>
  <c r="I40" i="26"/>
  <c r="AQ44" i="9"/>
  <c r="I10" i="28"/>
  <c r="AQ16" i="9"/>
  <c r="AQ12" i="9"/>
  <c r="AG12" i="29"/>
  <c r="I68" i="27"/>
  <c r="AG11" i="29"/>
  <c r="I48" i="27"/>
  <c r="AG7" i="29"/>
  <c r="I37" i="27"/>
  <c r="AG13" i="29"/>
  <c r="K11" i="29"/>
  <c r="K7" i="29"/>
  <c r="K12" i="29"/>
  <c r="I15" i="26"/>
  <c r="I15" i="28"/>
  <c r="I50" i="26"/>
  <c r="I63" i="28"/>
  <c r="I65" i="27"/>
  <c r="I44" i="28"/>
  <c r="I44" i="27"/>
  <c r="I48" i="26"/>
  <c r="I33" i="26"/>
  <c r="I33" i="28"/>
  <c r="I11" i="26"/>
  <c r="I11" i="28"/>
  <c r="I11" i="27"/>
  <c r="I13" i="28"/>
  <c r="I13" i="27"/>
  <c r="I21" i="26"/>
  <c r="I21" i="27"/>
  <c r="I68" i="26"/>
  <c r="I68" i="28"/>
  <c r="I35" i="26"/>
  <c r="I35" i="28"/>
  <c r="I31" i="26"/>
  <c r="I31" i="28"/>
  <c r="I66" i="28"/>
  <c r="I52" i="27"/>
  <c r="I49" i="28"/>
  <c r="I49" i="27"/>
  <c r="I74" i="28"/>
  <c r="I74" i="27"/>
  <c r="I74" i="26"/>
  <c r="I30" i="28"/>
  <c r="I30" i="27"/>
  <c r="I30" i="26"/>
  <c r="I59" i="27"/>
  <c r="I40" i="28"/>
  <c r="I40" i="27"/>
  <c r="I39" i="27"/>
  <c r="I39" i="26"/>
  <c r="I46" i="28"/>
  <c r="I46" i="27"/>
  <c r="I46" i="26"/>
  <c r="I51" i="27"/>
  <c r="I51" i="26"/>
  <c r="I51" i="28"/>
  <c r="I60" i="28"/>
  <c r="I60" i="27"/>
  <c r="I43" i="27"/>
  <c r="I43" i="26"/>
  <c r="I71" i="27"/>
  <c r="I71" i="26"/>
  <c r="I71" i="28"/>
  <c r="I62" i="28"/>
  <c r="I62" i="27"/>
  <c r="I17" i="28"/>
  <c r="I17" i="27"/>
  <c r="I29" i="26"/>
  <c r="I29" i="28"/>
  <c r="I29" i="27"/>
  <c r="I8" i="26"/>
  <c r="I27" i="27"/>
  <c r="I16" i="28"/>
  <c r="I16" i="27"/>
  <c r="I56" i="26"/>
  <c r="I56" i="27"/>
  <c r="I36" i="27"/>
  <c r="I67" i="27"/>
  <c r="I67" i="26"/>
  <c r="I67" i="28"/>
  <c r="I73" i="28"/>
  <c r="I23" i="28"/>
  <c r="I20" i="26"/>
  <c r="I20" i="27"/>
  <c r="I54" i="28"/>
  <c r="I54" i="26"/>
  <c r="I72" i="26"/>
  <c r="I72" i="28"/>
  <c r="I72" i="27"/>
  <c r="I64" i="26"/>
  <c r="I53" i="28"/>
  <c r="I53" i="27"/>
  <c r="I47" i="27"/>
  <c r="I47" i="28"/>
  <c r="I38" i="27"/>
  <c r="I24" i="26"/>
  <c r="I24" i="28"/>
  <c r="I24" i="27"/>
  <c r="I37" i="28"/>
  <c r="I34" i="28"/>
  <c r="I45" i="28"/>
  <c r="I45" i="27"/>
  <c r="I14" i="28"/>
  <c r="I14" i="27"/>
  <c r="I14" i="26"/>
  <c r="I7" i="28"/>
  <c r="I7" i="27"/>
  <c r="I58" i="26"/>
  <c r="I19" i="28"/>
  <c r="I42" i="28"/>
  <c r="I42" i="26"/>
  <c r="AQ19" i="9"/>
  <c r="AQ35" i="9"/>
  <c r="AQ39" i="9"/>
  <c r="AQ58" i="9"/>
  <c r="AQ46" i="9"/>
  <c r="AQ69" i="9"/>
  <c r="AQ31" i="9"/>
  <c r="AQ56" i="9"/>
  <c r="I33" i="27"/>
  <c r="I13" i="26"/>
  <c r="AQ24" i="9"/>
  <c r="AQ37" i="9"/>
  <c r="AQ62" i="9"/>
  <c r="AQ53" i="9"/>
  <c r="AQ14" i="9"/>
  <c r="AQ40" i="9"/>
  <c r="AQ42" i="9"/>
  <c r="AQ52" i="9"/>
  <c r="AQ64" i="9"/>
  <c r="AQ28" i="9"/>
  <c r="AQ47" i="9"/>
  <c r="AQ33" i="9"/>
  <c r="AQ60" i="9"/>
  <c r="AQ66" i="9"/>
  <c r="AQ63" i="9"/>
  <c r="I70" i="28"/>
  <c r="AQ20" i="9"/>
  <c r="AQ15" i="9"/>
  <c r="AQ25" i="9"/>
  <c r="AQ70" i="9"/>
  <c r="AQ67" i="9"/>
  <c r="AQ18" i="9"/>
  <c r="I15" i="27"/>
  <c r="AQ48" i="9"/>
  <c r="AQ59" i="9"/>
  <c r="I63" i="26"/>
  <c r="AQ27" i="9"/>
  <c r="AQ38" i="9"/>
  <c r="AQ50" i="9"/>
  <c r="I10" i="26"/>
  <c r="AQ30" i="9"/>
  <c r="AQ21" i="9"/>
  <c r="AQ73" i="9"/>
  <c r="AQ68" i="9"/>
  <c r="AQ54" i="9"/>
  <c r="AQ8" i="9"/>
  <c r="AQ9" i="9"/>
  <c r="AQ55" i="9"/>
  <c r="AQ10" i="9"/>
  <c r="I12" i="26" l="1"/>
  <c r="I12" i="28"/>
  <c r="I12" i="27"/>
  <c r="I26" i="26"/>
  <c r="I26" i="28"/>
  <c r="I32" i="27"/>
  <c r="I32" i="26"/>
  <c r="I50" i="27"/>
  <c r="AQ17" i="9"/>
  <c r="I26" i="27"/>
  <c r="AG14" i="29"/>
  <c r="AG17" i="29" s="1"/>
  <c r="I64" i="28"/>
  <c r="AQ11" i="9"/>
  <c r="K13" i="29"/>
  <c r="AQ7" i="9"/>
  <c r="AQ41" i="9"/>
  <c r="I32" i="28"/>
  <c r="I75" i="28"/>
  <c r="AQ36" i="9"/>
  <c r="I23" i="27"/>
  <c r="I52" i="28"/>
  <c r="I57" i="26"/>
  <c r="I57" i="28"/>
  <c r="I52" i="26"/>
  <c r="I38" i="26"/>
  <c r="I38" i="28"/>
  <c r="I28" i="27"/>
  <c r="I34" i="27"/>
  <c r="I34" i="26"/>
  <c r="AQ75" i="9"/>
  <c r="I19" i="27"/>
  <c r="I45" i="26"/>
  <c r="I53" i="26"/>
  <c r="I41" i="26"/>
  <c r="I73" i="26"/>
  <c r="I25" i="28"/>
  <c r="I59" i="28"/>
  <c r="I61" i="28"/>
  <c r="I66" i="26"/>
  <c r="I70" i="27"/>
  <c r="I50" i="28"/>
  <c r="AH13" i="29"/>
  <c r="I20" i="28"/>
  <c r="AH15" i="29"/>
  <c r="I17" i="26"/>
  <c r="I61" i="26"/>
  <c r="I66" i="27"/>
  <c r="I21" i="28"/>
  <c r="AQ74" i="9"/>
  <c r="I75" i="27"/>
  <c r="I19" i="26"/>
  <c r="I58" i="28"/>
  <c r="I37" i="26"/>
  <c r="I54" i="27"/>
  <c r="I73" i="27"/>
  <c r="I56" i="28"/>
  <c r="I8" i="28"/>
  <c r="I60" i="26"/>
  <c r="I31" i="27"/>
  <c r="I48" i="28"/>
  <c r="I63" i="27"/>
  <c r="AH7" i="29"/>
  <c r="AH11" i="29"/>
  <c r="I28" i="26"/>
  <c r="AH12" i="29"/>
  <c r="AQ49" i="9"/>
  <c r="I23" i="26"/>
  <c r="I65" i="26"/>
  <c r="I65" i="28"/>
  <c r="I18" i="28"/>
  <c r="I18" i="27"/>
  <c r="I25" i="27"/>
  <c r="I25" i="26"/>
  <c r="I55" i="27"/>
  <c r="I55" i="26"/>
  <c r="I55" i="28"/>
  <c r="I9" i="28"/>
  <c r="I9" i="27"/>
  <c r="I69" i="28"/>
  <c r="I69" i="27"/>
  <c r="I69" i="26"/>
  <c r="I22" i="27"/>
  <c r="I22" i="26"/>
  <c r="I22" i="28"/>
  <c r="I41" i="28"/>
  <c r="I41" i="27"/>
  <c r="I18" i="26"/>
  <c r="I47" i="26"/>
  <c r="I27" i="26"/>
  <c r="I27" i="28"/>
  <c r="AQ22" i="9"/>
  <c r="I36" i="26"/>
  <c r="I36" i="28"/>
  <c r="AG8" i="29"/>
  <c r="I59" i="26"/>
  <c r="I57" i="27"/>
  <c r="I28" i="28"/>
  <c r="I7" i="26"/>
  <c r="I64" i="27"/>
  <c r="I16" i="26"/>
  <c r="I8" i="27"/>
  <c r="I75" i="26"/>
  <c r="I35" i="27"/>
  <c r="I44" i="26"/>
  <c r="I70" i="26"/>
  <c r="I62" i="26"/>
  <c r="I43" i="28"/>
  <c r="I39" i="28"/>
  <c r="I61" i="27"/>
  <c r="J7" i="16"/>
  <c r="I9" i="26"/>
  <c r="K15" i="29"/>
  <c r="AG9" i="29" l="1"/>
  <c r="AG19" i="29" s="1"/>
  <c r="I76" i="28"/>
  <c r="I84" i="28" s="1"/>
  <c r="AL35" i="30"/>
  <c r="AL14" i="30"/>
  <c r="AL22" i="30"/>
  <c r="AL39" i="30"/>
  <c r="AL19" i="30"/>
  <c r="AL16" i="30"/>
  <c r="AQ71" i="9"/>
  <c r="AQ34" i="9"/>
  <c r="AQ23" i="9"/>
  <c r="AQ26" i="9"/>
  <c r="AQ29" i="9"/>
  <c r="K14" i="29"/>
  <c r="AH8" i="29"/>
  <c r="AL32" i="30"/>
  <c r="AL10" i="30"/>
  <c r="AQ13" i="9"/>
  <c r="AQ51" i="9"/>
  <c r="AL38" i="30"/>
  <c r="AQ72" i="9"/>
  <c r="J8" i="16"/>
  <c r="I76" i="26"/>
  <c r="I84" i="26" s="1"/>
  <c r="AL34" i="30"/>
  <c r="AQ32" i="9"/>
  <c r="AQ43" i="9"/>
  <c r="AH14" i="29"/>
  <c r="K8" i="29"/>
  <c r="V17" i="30" l="1"/>
  <c r="V21" i="30"/>
  <c r="V27" i="30"/>
  <c r="AM19" i="30"/>
  <c r="AM14" i="30"/>
  <c r="AL9" i="30"/>
  <c r="K17" i="29"/>
  <c r="AL30" i="30"/>
  <c r="AM28" i="30"/>
  <c r="K9" i="29"/>
  <c r="AL29" i="30"/>
  <c r="AL7" i="30"/>
  <c r="AM30" i="30"/>
  <c r="AM21" i="30"/>
  <c r="J9" i="16"/>
  <c r="AQ76" i="9"/>
  <c r="AL18" i="30"/>
  <c r="AL12" i="30"/>
  <c r="AL20" i="30"/>
  <c r="AL15" i="30"/>
  <c r="AM9" i="30"/>
  <c r="AM20" i="30"/>
  <c r="V34" i="30"/>
  <c r="I10" i="27"/>
  <c r="I76" i="27" s="1"/>
  <c r="I84" i="27" s="1"/>
  <c r="AM16" i="30"/>
  <c r="AM39" i="30"/>
  <c r="AM22" i="30"/>
  <c r="AM35" i="30"/>
  <c r="AL11" i="30"/>
  <c r="AL27" i="30"/>
  <c r="AM10" i="30"/>
  <c r="AL28" i="30"/>
  <c r="AL17" i="30"/>
  <c r="AH17" i="29"/>
  <c r="AM33" i="30"/>
  <c r="AL21" i="30"/>
  <c r="AL31" i="30"/>
  <c r="AL25" i="30"/>
  <c r="AM34" i="30"/>
  <c r="AM31" i="30"/>
  <c r="AM38" i="30"/>
  <c r="AM25" i="30"/>
  <c r="AM32" i="30"/>
  <c r="AL33" i="30"/>
  <c r="AL26" i="30"/>
  <c r="AH9" i="29"/>
  <c r="K19" i="29" l="1"/>
  <c r="V18" i="30"/>
  <c r="AH19" i="29"/>
  <c r="AV10" i="76"/>
  <c r="BI10" i="76" s="1"/>
  <c r="V33" i="30"/>
  <c r="V26" i="30"/>
  <c r="V28" i="30"/>
  <c r="V14" i="30"/>
  <c r="V16" i="30"/>
  <c r="V39" i="30"/>
  <c r="V32" i="30"/>
  <c r="AM18" i="30"/>
  <c r="AM26" i="30"/>
  <c r="AV38" i="76"/>
  <c r="V23" i="30"/>
  <c r="AM17" i="30"/>
  <c r="AM27" i="30"/>
  <c r="V35" i="30"/>
  <c r="AL8" i="30"/>
  <c r="V11" i="30"/>
  <c r="AL24" i="30"/>
  <c r="AV14" i="76"/>
  <c r="AV66" i="76"/>
  <c r="V9" i="17"/>
  <c r="AL23" i="30"/>
  <c r="AV74" i="76"/>
  <c r="AV67" i="76"/>
  <c r="AV16" i="76"/>
  <c r="AV24" i="76"/>
  <c r="AV48" i="76"/>
  <c r="AV56" i="76"/>
  <c r="AV13" i="76"/>
  <c r="AV21" i="76"/>
  <c r="AV29" i="76"/>
  <c r="AV45" i="76"/>
  <c r="AV53" i="76"/>
  <c r="AV73" i="76"/>
  <c r="AV71" i="76"/>
  <c r="AV31" i="76"/>
  <c r="AV39" i="76"/>
  <c r="AV59" i="76"/>
  <c r="AV75" i="76"/>
  <c r="AV65" i="76"/>
  <c r="AV22" i="76"/>
  <c r="AV15" i="76"/>
  <c r="AV28" i="76"/>
  <c r="AV60" i="76"/>
  <c r="AV68" i="76"/>
  <c r="AV9" i="76"/>
  <c r="AV33" i="76"/>
  <c r="AV41" i="76"/>
  <c r="AV69" i="76"/>
  <c r="AV43" i="76"/>
  <c r="AV51" i="76"/>
  <c r="AV58" i="76"/>
  <c r="AV26" i="76"/>
  <c r="AV46" i="76"/>
  <c r="AV34" i="76"/>
  <c r="AV42" i="76"/>
  <c r="AV18" i="76"/>
  <c r="AV54" i="76"/>
  <c r="V20" i="30"/>
  <c r="V24" i="30"/>
  <c r="V30" i="30"/>
  <c r="V12" i="30"/>
  <c r="AM7" i="30"/>
  <c r="V22" i="30"/>
  <c r="AV50" i="76"/>
  <c r="AV70" i="76"/>
  <c r="V19" i="30"/>
  <c r="AM11" i="30"/>
  <c r="AM15" i="30"/>
  <c r="AL13" i="30"/>
  <c r="AM29" i="30"/>
  <c r="V13" i="30" l="1"/>
  <c r="V7" i="17"/>
  <c r="AV8" i="76"/>
  <c r="AV20" i="76"/>
  <c r="BI66" i="76"/>
  <c r="V12" i="17"/>
  <c r="BI14" i="76"/>
  <c r="V10" i="17"/>
  <c r="BI70" i="76"/>
  <c r="AM13" i="30"/>
  <c r="BI34" i="76"/>
  <c r="AV11" i="76"/>
  <c r="AV25" i="76"/>
  <c r="BI28" i="76"/>
  <c r="BI59" i="76"/>
  <c r="AV72" i="76"/>
  <c r="BI74" i="76"/>
  <c r="AV27" i="76"/>
  <c r="V15" i="30"/>
  <c r="BI38" i="76"/>
  <c r="AM23" i="30"/>
  <c r="V31" i="30"/>
  <c r="AV62" i="76"/>
  <c r="BI46" i="76"/>
  <c r="AV63" i="76"/>
  <c r="AV55" i="76"/>
  <c r="AV49" i="76"/>
  <c r="AV17" i="76"/>
  <c r="AV52" i="76"/>
  <c r="BI22" i="76"/>
  <c r="BI39" i="76"/>
  <c r="AV61" i="76"/>
  <c r="BI29" i="76"/>
  <c r="AV64" i="76"/>
  <c r="AV32" i="76"/>
  <c r="AV47" i="76"/>
  <c r="AL36" i="30"/>
  <c r="V25" i="30"/>
  <c r="AN76" i="76"/>
  <c r="AN77" i="76" s="1"/>
  <c r="AV19" i="76"/>
  <c r="V7" i="30"/>
  <c r="V13" i="17"/>
  <c r="BI50" i="76"/>
  <c r="AM8" i="30"/>
  <c r="AR10" i="12"/>
  <c r="AS10" i="12" s="1"/>
  <c r="M10" i="13"/>
  <c r="BI54" i="76"/>
  <c r="BI18" i="76"/>
  <c r="BI26" i="76"/>
  <c r="BI43" i="76"/>
  <c r="BI41" i="76"/>
  <c r="BI9" i="76"/>
  <c r="AV44" i="76"/>
  <c r="AV12" i="76"/>
  <c r="BI65" i="76"/>
  <c r="BI31" i="76"/>
  <c r="BI53" i="76"/>
  <c r="BI21" i="76"/>
  <c r="BI56" i="76"/>
  <c r="BI24" i="76"/>
  <c r="AV7" i="76"/>
  <c r="AM76" i="76"/>
  <c r="AM77" i="76" s="1"/>
  <c r="BI8" i="76"/>
  <c r="BI20" i="76"/>
  <c r="AL37" i="30"/>
  <c r="AM37" i="30"/>
  <c r="BI42" i="76"/>
  <c r="BI58" i="76"/>
  <c r="BI69" i="76"/>
  <c r="BI33" i="76"/>
  <c r="BI68" i="76"/>
  <c r="BI75" i="76"/>
  <c r="BI71" i="76"/>
  <c r="BI45" i="76"/>
  <c r="BI13" i="76"/>
  <c r="BI48" i="76"/>
  <c r="BI16" i="76"/>
  <c r="BI67" i="76"/>
  <c r="AV35" i="76"/>
  <c r="AV23" i="76"/>
  <c r="AM12" i="30"/>
  <c r="AM24" i="30"/>
  <c r="AM36" i="30"/>
  <c r="AV30" i="76"/>
  <c r="BI51" i="76"/>
  <c r="AV57" i="76"/>
  <c r="BI60" i="76"/>
  <c r="BI15" i="76"/>
  <c r="BI73" i="76"/>
  <c r="AV37" i="76"/>
  <c r="AV40" i="76"/>
  <c r="AV36" i="76"/>
  <c r="V38" i="30"/>
  <c r="AL40" i="30" l="1"/>
  <c r="AM40" i="30"/>
  <c r="BI36" i="76"/>
  <c r="BI30" i="76"/>
  <c r="V8" i="17"/>
  <c r="AR73" i="12"/>
  <c r="AS73" i="12" s="1"/>
  <c r="M73" i="13"/>
  <c r="M67" i="13"/>
  <c r="AR67" i="12"/>
  <c r="AS67" i="12" s="1"/>
  <c r="M45" i="13"/>
  <c r="AR45" i="12"/>
  <c r="AS45" i="12" s="1"/>
  <c r="AR75" i="12"/>
  <c r="AS75" i="12" s="1"/>
  <c r="M75" i="13"/>
  <c r="AR33" i="12"/>
  <c r="AS33" i="12" s="1"/>
  <c r="M33" i="13"/>
  <c r="AR58" i="12"/>
  <c r="AS58" i="12" s="1"/>
  <c r="M58" i="13"/>
  <c r="V29" i="30"/>
  <c r="AR21" i="12"/>
  <c r="AS21" i="12" s="1"/>
  <c r="M21" i="13"/>
  <c r="AR31" i="12"/>
  <c r="AS31" i="12" s="1"/>
  <c r="M31" i="13"/>
  <c r="BI44" i="76"/>
  <c r="M41" i="13"/>
  <c r="AR41" i="12"/>
  <c r="AS41" i="12" s="1"/>
  <c r="M26" i="13"/>
  <c r="AR26" i="12"/>
  <c r="AS26" i="12" s="1"/>
  <c r="AR54" i="12"/>
  <c r="AS54" i="12" s="1"/>
  <c r="M54" i="13"/>
  <c r="BA10" i="12"/>
  <c r="AU10" i="12" s="1"/>
  <c r="AT10" i="12"/>
  <c r="M29" i="13"/>
  <c r="AR29" i="12"/>
  <c r="AS29" i="12" s="1"/>
  <c r="BI17" i="76"/>
  <c r="M46" i="13"/>
  <c r="AR46" i="12"/>
  <c r="AS46" i="12" s="1"/>
  <c r="AR74" i="12"/>
  <c r="AS74" i="12" s="1"/>
  <c r="M74" i="13"/>
  <c r="M59" i="13"/>
  <c r="AR59" i="12"/>
  <c r="AS59" i="12" s="1"/>
  <c r="BI11" i="76"/>
  <c r="AR70" i="12"/>
  <c r="AS70" i="12" s="1"/>
  <c r="M70" i="13"/>
  <c r="BI23" i="76"/>
  <c r="AR42" i="12"/>
  <c r="AS42" i="12" s="1"/>
  <c r="M42" i="13"/>
  <c r="M56" i="13"/>
  <c r="AR56" i="12"/>
  <c r="AS56" i="12" s="1"/>
  <c r="M9" i="13"/>
  <c r="AR9" i="12"/>
  <c r="AS9" i="12" s="1"/>
  <c r="BI47" i="76"/>
  <c r="AR22" i="12"/>
  <c r="AS22" i="12" s="1"/>
  <c r="M22" i="13"/>
  <c r="BI49" i="76"/>
  <c r="M38" i="13"/>
  <c r="AR38" i="12"/>
  <c r="AS38" i="12" s="1"/>
  <c r="V8" i="30"/>
  <c r="M34" i="13"/>
  <c r="AR34" i="12"/>
  <c r="AS34" i="12" s="1"/>
  <c r="M14" i="13"/>
  <c r="AR14" i="12"/>
  <c r="AS14" i="12" s="1"/>
  <c r="V36" i="30"/>
  <c r="BI40" i="76"/>
  <c r="BI57" i="76"/>
  <c r="AR16" i="12"/>
  <c r="AS16" i="12" s="1"/>
  <c r="M16" i="13"/>
  <c r="AR13" i="12"/>
  <c r="AS13" i="12" s="1"/>
  <c r="M13" i="13"/>
  <c r="AR71" i="12"/>
  <c r="AS71" i="12" s="1"/>
  <c r="M71" i="13"/>
  <c r="M68" i="13"/>
  <c r="AR68" i="12"/>
  <c r="AS68" i="12" s="1"/>
  <c r="V10" i="30"/>
  <c r="M20" i="13"/>
  <c r="AR20" i="12"/>
  <c r="AS20" i="12" s="1"/>
  <c r="BI7" i="76"/>
  <c r="AV76" i="76"/>
  <c r="AV77" i="76" s="1"/>
  <c r="AR53" i="12"/>
  <c r="AS53" i="12" s="1"/>
  <c r="M53" i="13"/>
  <c r="AR65" i="12"/>
  <c r="AS65" i="12" s="1"/>
  <c r="M65" i="13"/>
  <c r="M43" i="13"/>
  <c r="AR43" i="12"/>
  <c r="AS43" i="12" s="1"/>
  <c r="AR18" i="12"/>
  <c r="AS18" i="12" s="1"/>
  <c r="M18" i="13"/>
  <c r="BI32" i="76"/>
  <c r="BI61" i="76"/>
  <c r="BI55" i="76"/>
  <c r="BI62" i="76"/>
  <c r="BI72" i="76"/>
  <c r="M28" i="13"/>
  <c r="AR28" i="12"/>
  <c r="AS28" i="12" s="1"/>
  <c r="V37" i="30"/>
  <c r="AR66" i="12"/>
  <c r="AS66" i="12" s="1"/>
  <c r="M66" i="13"/>
  <c r="AR60" i="12"/>
  <c r="AS60" i="12" s="1"/>
  <c r="M60" i="13"/>
  <c r="V9" i="30"/>
  <c r="BI35" i="76"/>
  <c r="AR69" i="12"/>
  <c r="AS69" i="12" s="1"/>
  <c r="M69" i="13"/>
  <c r="BI37" i="76"/>
  <c r="AR15" i="12"/>
  <c r="AS15" i="12" s="1"/>
  <c r="M15" i="13"/>
  <c r="AR51" i="12"/>
  <c r="AS51" i="12" s="1"/>
  <c r="M51" i="13"/>
  <c r="M48" i="13"/>
  <c r="AR48" i="12"/>
  <c r="AS48" i="12" s="1"/>
  <c r="AR8" i="12"/>
  <c r="AS8" i="12" s="1"/>
  <c r="M8" i="13"/>
  <c r="M24" i="13"/>
  <c r="AR24" i="12"/>
  <c r="AS24" i="12" s="1"/>
  <c r="BI12" i="76"/>
  <c r="AR50" i="12"/>
  <c r="AS50" i="12" s="1"/>
  <c r="M50" i="13"/>
  <c r="V11" i="17"/>
  <c r="BI19" i="76"/>
  <c r="BI64" i="76"/>
  <c r="AR39" i="12"/>
  <c r="AS39" i="12" s="1"/>
  <c r="M39" i="13"/>
  <c r="BI52" i="76"/>
  <c r="BI63" i="76"/>
  <c r="BI27" i="76"/>
  <c r="BI25" i="76"/>
  <c r="V40" i="30" l="1"/>
  <c r="BA54" i="12"/>
  <c r="AU54" i="12" s="1"/>
  <c r="AT54" i="12"/>
  <c r="BA31" i="12"/>
  <c r="AU31" i="12" s="1"/>
  <c r="AT31" i="12"/>
  <c r="BA45" i="12"/>
  <c r="AT45" i="12"/>
  <c r="M30" i="13"/>
  <c r="AR30" i="12"/>
  <c r="AS30" i="12" s="1"/>
  <c r="BA39" i="12"/>
  <c r="AT39" i="12"/>
  <c r="AT24" i="12"/>
  <c r="BA24" i="12"/>
  <c r="AT68" i="12"/>
  <c r="BA68" i="12"/>
  <c r="AU68" i="12" s="1"/>
  <c r="BA38" i="12"/>
  <c r="AT38" i="12"/>
  <c r="BA29" i="12"/>
  <c r="AU29" i="12" s="1"/>
  <c r="AT29" i="12"/>
  <c r="M52" i="13"/>
  <c r="AR52" i="12"/>
  <c r="AS52" i="12" s="1"/>
  <c r="BA50" i="12"/>
  <c r="AU50" i="12" s="1"/>
  <c r="AT50" i="12"/>
  <c r="BA15" i="12"/>
  <c r="AT15" i="12"/>
  <c r="BA69" i="12"/>
  <c r="AT69" i="12"/>
  <c r="AT66" i="12"/>
  <c r="BA66" i="12"/>
  <c r="AU66" i="12" s="1"/>
  <c r="AR61" i="12"/>
  <c r="AS61" i="12" s="1"/>
  <c r="M61" i="13"/>
  <c r="AT18" i="12"/>
  <c r="BA18" i="12"/>
  <c r="AU18" i="12" s="1"/>
  <c r="AT65" i="12"/>
  <c r="BA65" i="12"/>
  <c r="BA13" i="12"/>
  <c r="AT13" i="12"/>
  <c r="AR57" i="12"/>
  <c r="AS57" i="12" s="1"/>
  <c r="M57" i="13"/>
  <c r="BA22" i="12"/>
  <c r="AU22" i="12" s="1"/>
  <c r="AT22" i="12"/>
  <c r="AT42" i="12"/>
  <c r="BA42" i="12"/>
  <c r="BA70" i="12"/>
  <c r="AT70" i="12"/>
  <c r="AT26" i="12"/>
  <c r="BA26" i="12"/>
  <c r="AU26" i="12" s="1"/>
  <c r="AR44" i="12"/>
  <c r="AS44" i="12" s="1"/>
  <c r="M44" i="13"/>
  <c r="AT33" i="12"/>
  <c r="BA33" i="12"/>
  <c r="AU33" i="12" s="1"/>
  <c r="AT73" i="12"/>
  <c r="BA73" i="12"/>
  <c r="AU73" i="12" s="1"/>
  <c r="BA59" i="12"/>
  <c r="AU59" i="12" s="1"/>
  <c r="AT59" i="12"/>
  <c r="AR27" i="12"/>
  <c r="AS27" i="12" s="1"/>
  <c r="M27" i="13"/>
  <c r="AR64" i="12"/>
  <c r="AS64" i="12" s="1"/>
  <c r="M64" i="13"/>
  <c r="M12" i="13"/>
  <c r="AR12" i="12"/>
  <c r="AS12" i="12" s="1"/>
  <c r="AR37" i="12"/>
  <c r="AS37" i="12" s="1"/>
  <c r="M37" i="13"/>
  <c r="M55" i="13"/>
  <c r="AR55" i="12"/>
  <c r="AS55" i="12" s="1"/>
  <c r="AT43" i="12"/>
  <c r="BA43" i="12"/>
  <c r="AU43" i="12" s="1"/>
  <c r="BI76" i="76"/>
  <c r="BI77" i="76" s="1"/>
  <c r="AT14" i="12"/>
  <c r="BA14" i="12"/>
  <c r="AU14" i="12" s="1"/>
  <c r="BA56" i="12"/>
  <c r="AT56" i="12"/>
  <c r="AR23" i="12"/>
  <c r="AS23" i="12" s="1"/>
  <c r="M23" i="13"/>
  <c r="AR11" i="12"/>
  <c r="AS11" i="12" s="1"/>
  <c r="M11" i="13"/>
  <c r="M17" i="13"/>
  <c r="AR17" i="12"/>
  <c r="AS17" i="12" s="1"/>
  <c r="BB10" i="12"/>
  <c r="AZ10" i="12"/>
  <c r="BA21" i="12"/>
  <c r="AT21" i="12"/>
  <c r="BA67" i="12"/>
  <c r="AU67" i="12" s="1"/>
  <c r="AT67" i="12"/>
  <c r="BA48" i="12"/>
  <c r="AT48" i="12"/>
  <c r="BA28" i="12"/>
  <c r="AU28" i="12" s="1"/>
  <c r="AT28" i="12"/>
  <c r="AR62" i="12"/>
  <c r="AS62" i="12" s="1"/>
  <c r="M62" i="13"/>
  <c r="M7" i="13"/>
  <c r="AR7" i="12"/>
  <c r="L76" i="13"/>
  <c r="BA34" i="12"/>
  <c r="AU34" i="12" s="1"/>
  <c r="AT34" i="12"/>
  <c r="BA9" i="12"/>
  <c r="AU9" i="12" s="1"/>
  <c r="AT9" i="12"/>
  <c r="AT46" i="12"/>
  <c r="BA46" i="12"/>
  <c r="M25" i="13"/>
  <c r="AR25" i="12"/>
  <c r="AS25" i="12" s="1"/>
  <c r="AR63" i="12"/>
  <c r="AS63" i="12" s="1"/>
  <c r="M63" i="13"/>
  <c r="AR19" i="12"/>
  <c r="AS19" i="12" s="1"/>
  <c r="M19" i="13"/>
  <c r="BA8" i="12"/>
  <c r="AU8" i="12" s="1"/>
  <c r="AT8" i="12"/>
  <c r="AT51" i="12"/>
  <c r="BA51" i="12"/>
  <c r="AU51" i="12" s="1"/>
  <c r="M35" i="13"/>
  <c r="AR35" i="12"/>
  <c r="AS35" i="12" s="1"/>
  <c r="AT60" i="12"/>
  <c r="BA60" i="12"/>
  <c r="AR72" i="12"/>
  <c r="AS72" i="12" s="1"/>
  <c r="M72" i="13"/>
  <c r="M32" i="13"/>
  <c r="AR32" i="12"/>
  <c r="AS32" i="12" s="1"/>
  <c r="BA53" i="12"/>
  <c r="AU53" i="12" s="1"/>
  <c r="AT53" i="12"/>
  <c r="AT20" i="12"/>
  <c r="BA20" i="12"/>
  <c r="AU20" i="12" s="1"/>
  <c r="BA71" i="12"/>
  <c r="AU71" i="12" s="1"/>
  <c r="AT71" i="12"/>
  <c r="BA16" i="12"/>
  <c r="AU16" i="12" s="1"/>
  <c r="AT16" i="12"/>
  <c r="M40" i="13"/>
  <c r="AR40" i="12"/>
  <c r="AS40" i="12" s="1"/>
  <c r="AR49" i="12"/>
  <c r="AS49" i="12" s="1"/>
  <c r="M49" i="13"/>
  <c r="M47" i="13"/>
  <c r="AR47" i="12"/>
  <c r="AS47" i="12" s="1"/>
  <c r="AT74" i="12"/>
  <c r="BA74" i="12"/>
  <c r="AU74" i="12" s="1"/>
  <c r="AT41" i="12"/>
  <c r="BA41" i="12"/>
  <c r="AU41" i="12" s="1"/>
  <c r="BA58" i="12"/>
  <c r="AU58" i="12" s="1"/>
  <c r="AT58" i="12"/>
  <c r="AT75" i="12"/>
  <c r="BA75" i="12"/>
  <c r="AU75" i="12" s="1"/>
  <c r="V14" i="17"/>
  <c r="M36" i="13"/>
  <c r="AR36" i="12"/>
  <c r="AS36" i="12" s="1"/>
  <c r="BB74" i="12" l="1"/>
  <c r="AZ74" i="12"/>
  <c r="BA32" i="12"/>
  <c r="AU32" i="12" s="1"/>
  <c r="AT32" i="12"/>
  <c r="AU60" i="12"/>
  <c r="AZ60" i="12"/>
  <c r="BB60" i="12"/>
  <c r="BB34" i="12"/>
  <c r="AZ34" i="12"/>
  <c r="BB28" i="12"/>
  <c r="AZ28" i="12"/>
  <c r="AU21" i="12"/>
  <c r="AZ21" i="12"/>
  <c r="BB21" i="12"/>
  <c r="BA23" i="12"/>
  <c r="AU23" i="12" s="1"/>
  <c r="AT23" i="12"/>
  <c r="AZ14" i="12"/>
  <c r="BB14" i="12"/>
  <c r="AZ43" i="12"/>
  <c r="BB43" i="12"/>
  <c r="BB73" i="12"/>
  <c r="AZ73" i="12"/>
  <c r="AZ26" i="12"/>
  <c r="BB26" i="12"/>
  <c r="AZ70" i="12"/>
  <c r="BB70" i="12"/>
  <c r="BA61" i="12"/>
  <c r="AU61" i="12" s="1"/>
  <c r="AT61" i="12"/>
  <c r="AU39" i="12"/>
  <c r="BB39" i="12"/>
  <c r="AZ39" i="12"/>
  <c r="AU45" i="12"/>
  <c r="AZ45" i="12"/>
  <c r="BB45" i="12"/>
  <c r="BB41" i="12"/>
  <c r="AZ41" i="12"/>
  <c r="BA49" i="12"/>
  <c r="AU49" i="12" s="1"/>
  <c r="AT49" i="12"/>
  <c r="AZ71" i="12"/>
  <c r="BB71" i="12"/>
  <c r="BB51" i="12"/>
  <c r="AZ51" i="12"/>
  <c r="AZ8" i="12"/>
  <c r="BB8" i="12"/>
  <c r="AT63" i="12"/>
  <c r="BA63" i="12"/>
  <c r="AU63" i="12" s="1"/>
  <c r="AU46" i="12"/>
  <c r="AZ46" i="12"/>
  <c r="BB46" i="12"/>
  <c r="AZ9" i="12"/>
  <c r="BB9" i="12"/>
  <c r="BA62" i="12"/>
  <c r="AU62" i="12" s="1"/>
  <c r="AT62" i="12"/>
  <c r="AT37" i="12"/>
  <c r="BA37" i="12"/>
  <c r="AT64" i="12"/>
  <c r="BA64" i="12"/>
  <c r="AU64" i="12" s="1"/>
  <c r="AU42" i="12"/>
  <c r="AZ42" i="12"/>
  <c r="BB42" i="12"/>
  <c r="BB22" i="12"/>
  <c r="AZ22" i="12"/>
  <c r="AU13" i="12"/>
  <c r="AZ13" i="12"/>
  <c r="BB13" i="12"/>
  <c r="BB18" i="12"/>
  <c r="AZ18" i="12"/>
  <c r="AU69" i="12"/>
  <c r="BB69" i="12"/>
  <c r="AZ69" i="12"/>
  <c r="AU38" i="12"/>
  <c r="BB38" i="12"/>
  <c r="AZ38" i="12"/>
  <c r="AU24" i="12"/>
  <c r="BB24" i="12"/>
  <c r="AZ24" i="12"/>
  <c r="BA30" i="12"/>
  <c r="AU30" i="12" s="1"/>
  <c r="AT30" i="12"/>
  <c r="AT47" i="12"/>
  <c r="BA47" i="12"/>
  <c r="AU47" i="12" s="1"/>
  <c r="BA40" i="12"/>
  <c r="AU40" i="12" s="1"/>
  <c r="AT40" i="12"/>
  <c r="BB16" i="12"/>
  <c r="AZ16" i="12"/>
  <c r="BA35" i="12"/>
  <c r="AU35" i="12" s="1"/>
  <c r="AT35" i="12"/>
  <c r="AT25" i="12"/>
  <c r="BA25" i="12"/>
  <c r="AU25" i="12" s="1"/>
  <c r="AR76" i="12"/>
  <c r="AS7" i="12"/>
  <c r="AU48" i="12"/>
  <c r="AZ48" i="12"/>
  <c r="BB48" i="12"/>
  <c r="AZ67" i="12"/>
  <c r="BB67" i="12"/>
  <c r="BA11" i="12"/>
  <c r="AU11" i="12" s="1"/>
  <c r="AT11" i="12"/>
  <c r="AU56" i="12"/>
  <c r="BB56" i="12"/>
  <c r="AZ56" i="12"/>
  <c r="AT55" i="12"/>
  <c r="BA55" i="12"/>
  <c r="AU55" i="12" s="1"/>
  <c r="BA12" i="12"/>
  <c r="AT12" i="12"/>
  <c r="BB59" i="12"/>
  <c r="AZ59" i="12"/>
  <c r="AT44" i="12"/>
  <c r="BA44" i="12"/>
  <c r="AU44" i="12" s="1"/>
  <c r="AU70" i="12"/>
  <c r="AU65" i="12"/>
  <c r="AZ65" i="12"/>
  <c r="BB65" i="12"/>
  <c r="AZ66" i="12"/>
  <c r="BB66" i="12"/>
  <c r="AZ50" i="12"/>
  <c r="BB50" i="12"/>
  <c r="BB54" i="12"/>
  <c r="AZ54" i="12"/>
  <c r="BA36" i="12"/>
  <c r="AT36" i="12"/>
  <c r="BB75" i="12"/>
  <c r="AZ75" i="12"/>
  <c r="BB58" i="12"/>
  <c r="AZ58" i="12"/>
  <c r="AZ20" i="12"/>
  <c r="BB20" i="12"/>
  <c r="AZ53" i="12"/>
  <c r="BB53" i="12"/>
  <c r="AT72" i="12"/>
  <c r="BA72" i="12"/>
  <c r="AU72" i="12" s="1"/>
  <c r="BA19" i="12"/>
  <c r="AU19" i="12" s="1"/>
  <c r="AT19" i="12"/>
  <c r="M76" i="13"/>
  <c r="BA17" i="12"/>
  <c r="AU17" i="12" s="1"/>
  <c r="AT17" i="12"/>
  <c r="BA27" i="12"/>
  <c r="AU27" i="12" s="1"/>
  <c r="AT27" i="12"/>
  <c r="BB33" i="12"/>
  <c r="AZ33" i="12"/>
  <c r="AT57" i="12"/>
  <c r="BA57" i="12"/>
  <c r="AU15" i="12"/>
  <c r="AZ15" i="12"/>
  <c r="BB15" i="12"/>
  <c r="AT52" i="12"/>
  <c r="BA52" i="12"/>
  <c r="AZ29" i="12"/>
  <c r="BB29" i="12"/>
  <c r="BB68" i="12"/>
  <c r="AZ68" i="12"/>
  <c r="AZ31" i="12"/>
  <c r="BB31" i="12"/>
  <c r="AU12" i="12" l="1"/>
  <c r="AZ12" i="12"/>
  <c r="BB12" i="12"/>
  <c r="BB47" i="12"/>
  <c r="AZ47" i="12"/>
  <c r="BB63" i="12"/>
  <c r="AZ63" i="12"/>
  <c r="AZ57" i="12"/>
  <c r="BB57" i="12"/>
  <c r="AZ36" i="12"/>
  <c r="BB36" i="12"/>
  <c r="AZ27" i="12"/>
  <c r="BB27" i="12"/>
  <c r="BB11" i="12"/>
  <c r="AZ11" i="12"/>
  <c r="BA7" i="12"/>
  <c r="AT7" i="12"/>
  <c r="AS76" i="12"/>
  <c r="BB25" i="12"/>
  <c r="AZ25" i="12"/>
  <c r="BB35" i="12"/>
  <c r="AZ35" i="12"/>
  <c r="BB64" i="12"/>
  <c r="AZ64" i="12"/>
  <c r="AZ23" i="12"/>
  <c r="BB23" i="12"/>
  <c r="AU52" i="12"/>
  <c r="AZ52" i="12"/>
  <c r="BB52" i="12"/>
  <c r="AZ17" i="12"/>
  <c r="BB17" i="12"/>
  <c r="AZ72" i="12"/>
  <c r="BB72" i="12"/>
  <c r="AU36" i="12"/>
  <c r="BB55" i="12"/>
  <c r="AZ55" i="12"/>
  <c r="BB40" i="12"/>
  <c r="AZ40" i="12"/>
  <c r="BB49" i="12"/>
  <c r="AZ49" i="12"/>
  <c r="BB32" i="12"/>
  <c r="AZ32" i="12"/>
  <c r="AU57" i="12"/>
  <c r="BB19" i="12"/>
  <c r="AZ19" i="12"/>
  <c r="BB44" i="12"/>
  <c r="AZ44" i="12"/>
  <c r="BB30" i="12"/>
  <c r="AZ30" i="12"/>
  <c r="AU37" i="12"/>
  <c r="AZ37" i="12"/>
  <c r="BB37" i="12"/>
  <c r="BB62" i="12"/>
  <c r="AZ62" i="12"/>
  <c r="BB61" i="12"/>
  <c r="AZ61" i="12"/>
  <c r="AU7" i="12" l="1"/>
  <c r="AZ7" i="12"/>
  <c r="BA76" i="12"/>
  <c r="AU76" i="12" s="1"/>
  <c r="BB7" i="12"/>
  <c r="BC55" i="12" s="1"/>
  <c r="AV36" i="12"/>
  <c r="AV37" i="12"/>
  <c r="AV57" i="12"/>
  <c r="AV52" i="12"/>
  <c r="AT76" i="12"/>
  <c r="AV12" i="12"/>
  <c r="BC64" i="12" l="1"/>
  <c r="BC47" i="12"/>
  <c r="BC25" i="12"/>
  <c r="BC63" i="12"/>
  <c r="BC12" i="12"/>
  <c r="BC49" i="12"/>
  <c r="BC27" i="12"/>
  <c r="BC40" i="12"/>
  <c r="BC17" i="12"/>
  <c r="BC36" i="12"/>
  <c r="AZ76" i="12"/>
  <c r="BB76" i="12"/>
  <c r="BC35" i="12"/>
  <c r="BC30" i="12"/>
  <c r="BC37" i="12"/>
  <c r="BC61" i="12"/>
  <c r="BC62" i="12"/>
  <c r="AV7" i="12"/>
  <c r="AV10" i="12"/>
  <c r="AV20" i="12"/>
  <c r="AV18" i="12"/>
  <c r="AV29" i="12"/>
  <c r="AV34" i="12"/>
  <c r="AV14" i="12"/>
  <c r="AV26" i="12"/>
  <c r="AV58" i="12"/>
  <c r="AV75" i="12"/>
  <c r="AV51" i="12"/>
  <c r="AV68" i="12"/>
  <c r="AV59" i="12"/>
  <c r="AV43" i="12"/>
  <c r="AV73" i="12"/>
  <c r="AV22" i="12"/>
  <c r="AV9" i="12"/>
  <c r="AV53" i="12"/>
  <c r="AV41" i="12"/>
  <c r="AV67" i="12"/>
  <c r="AV54" i="12"/>
  <c r="AV66" i="12"/>
  <c r="AV74" i="12"/>
  <c r="AV71" i="12"/>
  <c r="AV31" i="12"/>
  <c r="AV16" i="12"/>
  <c r="AV33" i="12"/>
  <c r="AV50" i="12"/>
  <c r="AV28" i="12"/>
  <c r="AV8" i="12"/>
  <c r="AV19" i="12"/>
  <c r="AV44" i="12"/>
  <c r="AV30" i="12"/>
  <c r="AV40" i="12"/>
  <c r="AV17" i="12"/>
  <c r="AV56" i="12"/>
  <c r="AV35" i="12"/>
  <c r="AV45" i="12"/>
  <c r="AV32" i="12"/>
  <c r="AV70" i="12"/>
  <c r="AV46" i="12"/>
  <c r="AV27" i="12"/>
  <c r="AV11" i="12"/>
  <c r="AV63" i="12"/>
  <c r="AV39" i="12"/>
  <c r="AV23" i="12"/>
  <c r="AV55" i="12"/>
  <c r="AV62" i="12"/>
  <c r="AV61" i="12"/>
  <c r="AV64" i="12"/>
  <c r="AV49" i="12"/>
  <c r="AV72" i="12"/>
  <c r="AV38" i="12"/>
  <c r="AV24" i="12"/>
  <c r="AV47" i="12"/>
  <c r="AV60" i="12"/>
  <c r="AV65" i="12"/>
  <c r="AV25" i="12"/>
  <c r="AV69" i="12"/>
  <c r="AV21" i="12"/>
  <c r="AV15" i="12"/>
  <c r="AV13" i="12"/>
  <c r="AV48" i="12"/>
  <c r="AV42" i="12"/>
  <c r="BC52" i="12"/>
  <c r="BC59" i="12"/>
  <c r="BC7" i="12"/>
  <c r="BC10" i="12"/>
  <c r="BC13" i="12"/>
  <c r="BC34" i="12"/>
  <c r="BC54" i="12"/>
  <c r="BC14" i="12"/>
  <c r="BC20" i="12"/>
  <c r="BC50" i="12"/>
  <c r="BC9" i="12"/>
  <c r="BC26" i="12"/>
  <c r="BC58" i="12"/>
  <c r="BC43" i="12"/>
  <c r="BC22" i="12"/>
  <c r="BC31" i="12"/>
  <c r="BC48" i="12"/>
  <c r="BC24" i="12"/>
  <c r="BC65" i="12"/>
  <c r="BC21" i="12"/>
  <c r="BC16" i="12"/>
  <c r="BC69" i="12"/>
  <c r="BC66" i="12"/>
  <c r="BC38" i="12"/>
  <c r="BC70" i="12"/>
  <c r="BC74" i="12"/>
  <c r="BC56" i="12"/>
  <c r="BC51" i="12"/>
  <c r="BC15" i="12"/>
  <c r="BC8" i="12"/>
  <c r="BC45" i="12"/>
  <c r="BC28" i="12"/>
  <c r="BC67" i="12"/>
  <c r="BC18" i="12"/>
  <c r="BC29" i="12"/>
  <c r="BC46" i="12"/>
  <c r="BC41" i="12"/>
  <c r="BC33" i="12"/>
  <c r="BC75" i="12"/>
  <c r="BC42" i="12"/>
  <c r="BC73" i="12"/>
  <c r="BC60" i="12"/>
  <c r="BC53" i="12"/>
  <c r="BC71" i="12"/>
  <c r="BC39" i="12"/>
  <c r="BC68" i="12"/>
  <c r="BC23" i="12"/>
  <c r="BC19" i="12"/>
  <c r="BC57" i="12"/>
  <c r="BC11" i="12"/>
  <c r="BC72" i="12"/>
  <c r="BC32" i="12"/>
  <c r="BC44" i="12"/>
  <c r="AI15" i="29" l="1"/>
  <c r="AR75" i="9"/>
  <c r="AR41" i="9"/>
  <c r="AR45" i="9"/>
  <c r="AR39" i="9"/>
  <c r="AR16" i="9"/>
  <c r="AR29" i="9"/>
  <c r="AR51" i="9"/>
  <c r="AR11" i="9"/>
  <c r="AR74" i="9"/>
  <c r="J26" i="27"/>
  <c r="K26" i="27" s="1"/>
  <c r="L26" i="27" s="1"/>
  <c r="N26" i="27" s="1"/>
  <c r="AI12" i="29"/>
  <c r="AR66" i="9"/>
  <c r="AR60" i="9"/>
  <c r="J34" i="26"/>
  <c r="K34" i="26" s="1"/>
  <c r="L34" i="26" s="1"/>
  <c r="N34" i="26" s="1"/>
  <c r="J37" i="26"/>
  <c r="K37" i="26" s="1"/>
  <c r="L37" i="26" s="1"/>
  <c r="N37" i="26" s="1"/>
  <c r="AI8" i="29"/>
  <c r="J61" i="26"/>
  <c r="K61" i="26" s="1"/>
  <c r="L61" i="26" s="1"/>
  <c r="N61" i="26" s="1"/>
  <c r="J30" i="28"/>
  <c r="K30" i="28" s="1"/>
  <c r="L30" i="28" s="1"/>
  <c r="N30" i="28" s="1"/>
  <c r="J64" i="28"/>
  <c r="K64" i="28" s="1"/>
  <c r="L64" i="28" s="1"/>
  <c r="N64" i="28" s="1"/>
  <c r="J74" i="26"/>
  <c r="K74" i="26" s="1"/>
  <c r="L74" i="26" s="1"/>
  <c r="N74" i="26" s="1"/>
  <c r="J65" i="27"/>
  <c r="K65" i="27" s="1"/>
  <c r="L65" i="27" s="1"/>
  <c r="N65" i="27" s="1"/>
  <c r="AR27" i="9"/>
  <c r="J63" i="28"/>
  <c r="K63" i="28" s="1"/>
  <c r="L63" i="28" s="1"/>
  <c r="N63" i="28" s="1"/>
  <c r="J49" i="28"/>
  <c r="K49" i="28" s="1"/>
  <c r="L49" i="28" s="1"/>
  <c r="N49" i="28" s="1"/>
  <c r="J57" i="28"/>
  <c r="K57" i="28" s="1"/>
  <c r="L57" i="28" s="1"/>
  <c r="N57" i="28" s="1"/>
  <c r="J50" i="26"/>
  <c r="K50" i="26" s="1"/>
  <c r="L50" i="26" s="1"/>
  <c r="N50" i="26" s="1"/>
  <c r="AI7" i="29"/>
  <c r="AR55" i="9"/>
  <c r="J69" i="28"/>
  <c r="K69" i="28" s="1"/>
  <c r="L69" i="28" s="1"/>
  <c r="N69" i="28" s="1"/>
  <c r="J9" i="28"/>
  <c r="K9" i="28" s="1"/>
  <c r="L9" i="28" s="1"/>
  <c r="N9" i="28" s="1"/>
  <c r="J55" i="26"/>
  <c r="K55" i="26" s="1"/>
  <c r="L55" i="26" s="1"/>
  <c r="N55" i="26" s="1"/>
  <c r="AI13" i="29"/>
  <c r="L12" i="29"/>
  <c r="J41" i="26"/>
  <c r="K41" i="26" s="1"/>
  <c r="L41" i="26" s="1"/>
  <c r="N41" i="26" s="1"/>
  <c r="J41" i="27"/>
  <c r="K41" i="27" s="1"/>
  <c r="L41" i="27" s="1"/>
  <c r="N41" i="27" s="1"/>
  <c r="J72" i="28"/>
  <c r="K72" i="28" s="1"/>
  <c r="L72" i="28" s="1"/>
  <c r="N72" i="28" s="1"/>
  <c r="J16" i="26"/>
  <c r="K16" i="26" s="1"/>
  <c r="L16" i="26" s="1"/>
  <c r="N16" i="26" s="1"/>
  <c r="J12" i="26"/>
  <c r="K12" i="26" s="1"/>
  <c r="L12" i="26" s="1"/>
  <c r="N12" i="26" s="1"/>
  <c r="J12" i="27"/>
  <c r="K12" i="27" s="1"/>
  <c r="L12" i="27" s="1"/>
  <c r="N12" i="27" s="1"/>
  <c r="J56" i="26"/>
  <c r="K56" i="26" s="1"/>
  <c r="L56" i="26" s="1"/>
  <c r="N56" i="26" s="1"/>
  <c r="J56" i="27"/>
  <c r="K56" i="27" s="1"/>
  <c r="L56" i="27" s="1"/>
  <c r="N56" i="27" s="1"/>
  <c r="J36" i="26"/>
  <c r="K36" i="26" s="1"/>
  <c r="L36" i="26" s="1"/>
  <c r="N36" i="26" s="1"/>
  <c r="J36" i="28"/>
  <c r="K36" i="28" s="1"/>
  <c r="L36" i="28" s="1"/>
  <c r="N36" i="28" s="1"/>
  <c r="J7" i="26"/>
  <c r="J7" i="27"/>
  <c r="J42" i="26"/>
  <c r="K42" i="26" s="1"/>
  <c r="L42" i="26" s="1"/>
  <c r="N42" i="26" s="1"/>
  <c r="J15" i="27"/>
  <c r="K15" i="27" s="1"/>
  <c r="L15" i="27" s="1"/>
  <c r="N15" i="27" s="1"/>
  <c r="J64" i="26"/>
  <c r="K64" i="26" s="1"/>
  <c r="L64" i="26" s="1"/>
  <c r="N64" i="26" s="1"/>
  <c r="J53" i="28"/>
  <c r="K53" i="28" s="1"/>
  <c r="L53" i="28" s="1"/>
  <c r="N53" i="28" s="1"/>
  <c r="J47" i="28"/>
  <c r="K47" i="28" s="1"/>
  <c r="L47" i="28" s="1"/>
  <c r="N47" i="28" s="1"/>
  <c r="J28" i="26"/>
  <c r="K28" i="26" s="1"/>
  <c r="L28" i="26" s="1"/>
  <c r="N28" i="26" s="1"/>
  <c r="J48" i="26"/>
  <c r="K48" i="26" s="1"/>
  <c r="L48" i="26" s="1"/>
  <c r="N48" i="26" s="1"/>
  <c r="J23" i="28"/>
  <c r="K23" i="28" s="1"/>
  <c r="L23" i="28" s="1"/>
  <c r="N23" i="28" s="1"/>
  <c r="J66" i="28"/>
  <c r="K66" i="28" s="1"/>
  <c r="L66" i="28" s="1"/>
  <c r="N66" i="28" s="1"/>
  <c r="J52" i="27"/>
  <c r="K52" i="27" s="1"/>
  <c r="L52" i="27" s="1"/>
  <c r="N52" i="27" s="1"/>
  <c r="J49" i="26"/>
  <c r="K49" i="26" s="1"/>
  <c r="L49" i="26" s="1"/>
  <c r="N49" i="26" s="1"/>
  <c r="J18" i="26"/>
  <c r="K18" i="26" s="1"/>
  <c r="L18" i="26" s="1"/>
  <c r="N18" i="26" s="1"/>
  <c r="J40" i="26"/>
  <c r="K40" i="26" s="1"/>
  <c r="L40" i="26" s="1"/>
  <c r="N40" i="26" s="1"/>
  <c r="J21" i="26"/>
  <c r="K21" i="26" s="1"/>
  <c r="L21" i="26" s="1"/>
  <c r="N21" i="26" s="1"/>
  <c r="J21" i="27"/>
  <c r="K21" i="27" s="1"/>
  <c r="L21" i="27" s="1"/>
  <c r="N21" i="27" s="1"/>
  <c r="J68" i="27"/>
  <c r="K68" i="27" s="1"/>
  <c r="L68" i="27" s="1"/>
  <c r="N68" i="27" s="1"/>
  <c r="J10" i="27"/>
  <c r="K10" i="27" s="1"/>
  <c r="L10" i="27" s="1"/>
  <c r="N10" i="27" s="1"/>
  <c r="J54" i="26"/>
  <c r="K54" i="26" s="1"/>
  <c r="L54" i="26" s="1"/>
  <c r="N54" i="26" s="1"/>
  <c r="J17" i="26"/>
  <c r="K17" i="26" s="1"/>
  <c r="L17" i="26" s="1"/>
  <c r="N17" i="26" s="1"/>
  <c r="J74" i="28"/>
  <c r="K74" i="28" s="1"/>
  <c r="L74" i="28" s="1"/>
  <c r="N74" i="28" s="1"/>
  <c r="J39" i="26"/>
  <c r="K39" i="26" s="1"/>
  <c r="L39" i="26" s="1"/>
  <c r="N39" i="26" s="1"/>
  <c r="J39" i="28"/>
  <c r="K39" i="28" s="1"/>
  <c r="L39" i="28" s="1"/>
  <c r="N39" i="28" s="1"/>
  <c r="J46" i="26"/>
  <c r="K46" i="26" s="1"/>
  <c r="L46" i="26" s="1"/>
  <c r="N46" i="26" s="1"/>
  <c r="J51" i="28"/>
  <c r="K51" i="28" s="1"/>
  <c r="L51" i="28" s="1"/>
  <c r="N51" i="28" s="1"/>
  <c r="J67" i="26"/>
  <c r="K67" i="26" s="1"/>
  <c r="L67" i="26" s="1"/>
  <c r="N67" i="26" s="1"/>
  <c r="J67" i="28"/>
  <c r="K67" i="28" s="1"/>
  <c r="L67" i="28" s="1"/>
  <c r="N67" i="28" s="1"/>
  <c r="J67" i="27"/>
  <c r="K67" i="27" s="1"/>
  <c r="L67" i="27" s="1"/>
  <c r="N67" i="27" s="1"/>
  <c r="J73" i="26"/>
  <c r="K73" i="26" s="1"/>
  <c r="L73" i="26" s="1"/>
  <c r="N73" i="26" s="1"/>
  <c r="J73" i="28"/>
  <c r="K73" i="28" s="1"/>
  <c r="L73" i="28" s="1"/>
  <c r="N73" i="28" s="1"/>
  <c r="J73" i="27"/>
  <c r="K73" i="27" s="1"/>
  <c r="L73" i="27" s="1"/>
  <c r="N73" i="27" s="1"/>
  <c r="J20" i="26"/>
  <c r="K20" i="26" s="1"/>
  <c r="L20" i="26" s="1"/>
  <c r="N20" i="26" s="1"/>
  <c r="J20" i="28"/>
  <c r="K20" i="28" s="1"/>
  <c r="L20" i="28" s="1"/>
  <c r="N20" i="28" s="1"/>
  <c r="J20" i="27"/>
  <c r="K20" i="27" s="1"/>
  <c r="L20" i="27" s="1"/>
  <c r="N20" i="27" s="1"/>
  <c r="J32" i="26"/>
  <c r="K32" i="26" s="1"/>
  <c r="L32" i="26" s="1"/>
  <c r="N32" i="26" s="1"/>
  <c r="AR36" i="9"/>
  <c r="AR57" i="9"/>
  <c r="AR46" i="9"/>
  <c r="AR72" i="9"/>
  <c r="AR69" i="9"/>
  <c r="AR56" i="9"/>
  <c r="AR22" i="9"/>
  <c r="AR24" i="9"/>
  <c r="AR53" i="9"/>
  <c r="AR64" i="9"/>
  <c r="AR71" i="9"/>
  <c r="J41" i="28"/>
  <c r="K41" i="28" s="1"/>
  <c r="L41" i="28" s="1"/>
  <c r="N41" i="28" s="1"/>
  <c r="AR20" i="9"/>
  <c r="AR15" i="9"/>
  <c r="J72" i="27"/>
  <c r="K72" i="27" s="1"/>
  <c r="L72" i="27" s="1"/>
  <c r="N72" i="27" s="1"/>
  <c r="AR48" i="9"/>
  <c r="AR26" i="9"/>
  <c r="J44" i="27"/>
  <c r="K44" i="27" s="1"/>
  <c r="L44" i="27" s="1"/>
  <c r="N44" i="27" s="1"/>
  <c r="AR59" i="9"/>
  <c r="K8" i="16"/>
  <c r="J53" i="26"/>
  <c r="K53" i="26" s="1"/>
  <c r="L53" i="26" s="1"/>
  <c r="N53" i="26" s="1"/>
  <c r="AR73" i="9"/>
  <c r="J8" i="26"/>
  <c r="K8" i="26" s="1"/>
  <c r="L8" i="26" s="1"/>
  <c r="N8" i="26" s="1"/>
  <c r="AR10" i="9"/>
  <c r="J40" i="28" l="1"/>
  <c r="K40" i="28" s="1"/>
  <c r="L40" i="28" s="1"/>
  <c r="N40" i="28" s="1"/>
  <c r="AI14" i="29"/>
  <c r="AR50" i="9"/>
  <c r="AR37" i="9"/>
  <c r="AS37" i="9" s="1"/>
  <c r="AR33" i="9"/>
  <c r="AR18" i="9"/>
  <c r="K7" i="16"/>
  <c r="J23" i="26"/>
  <c r="K23" i="26" s="1"/>
  <c r="L23" i="26" s="1"/>
  <c r="N23" i="26" s="1"/>
  <c r="R23" i="26" s="1"/>
  <c r="AI11" i="29"/>
  <c r="J51" i="27"/>
  <c r="K51" i="27" s="1"/>
  <c r="L51" i="27" s="1"/>
  <c r="N51" i="27" s="1"/>
  <c r="J30" i="27"/>
  <c r="K30" i="27" s="1"/>
  <c r="L30" i="27" s="1"/>
  <c r="N30" i="27" s="1"/>
  <c r="J60" i="26"/>
  <c r="K60" i="26" s="1"/>
  <c r="L60" i="26" s="1"/>
  <c r="N60" i="26" s="1"/>
  <c r="P60" i="26" s="1"/>
  <c r="Q60" i="26" s="1"/>
  <c r="J59" i="28"/>
  <c r="K59" i="28" s="1"/>
  <c r="L59" i="28" s="1"/>
  <c r="N59" i="28" s="1"/>
  <c r="J66" i="26"/>
  <c r="K66" i="26" s="1"/>
  <c r="L66" i="26" s="1"/>
  <c r="N66" i="26" s="1"/>
  <c r="J22" i="26"/>
  <c r="K22" i="26" s="1"/>
  <c r="L22" i="26" s="1"/>
  <c r="N22" i="26" s="1"/>
  <c r="P22" i="26" s="1"/>
  <c r="Q22" i="26" s="1"/>
  <c r="J28" i="27"/>
  <c r="K28" i="27" s="1"/>
  <c r="L28" i="27" s="1"/>
  <c r="N28" i="27" s="1"/>
  <c r="R28" i="27" s="1"/>
  <c r="J48" i="28"/>
  <c r="K48" i="28" s="1"/>
  <c r="L48" i="28" s="1"/>
  <c r="N48" i="28" s="1"/>
  <c r="J29" i="26"/>
  <c r="K29" i="26" s="1"/>
  <c r="L29" i="26" s="1"/>
  <c r="N29" i="26" s="1"/>
  <c r="P29" i="26" s="1"/>
  <c r="Q29" i="26" s="1"/>
  <c r="J58" i="28"/>
  <c r="K58" i="28" s="1"/>
  <c r="L58" i="28" s="1"/>
  <c r="N58" i="28" s="1"/>
  <c r="R58" i="28" s="1"/>
  <c r="J57" i="27"/>
  <c r="K57" i="27" s="1"/>
  <c r="L57" i="27" s="1"/>
  <c r="N57" i="27" s="1"/>
  <c r="P57" i="27" s="1"/>
  <c r="Q57" i="27" s="1"/>
  <c r="J33" i="26"/>
  <c r="K33" i="26" s="1"/>
  <c r="L33" i="26" s="1"/>
  <c r="N33" i="26" s="1"/>
  <c r="J64" i="27"/>
  <c r="K64" i="27" s="1"/>
  <c r="L64" i="27" s="1"/>
  <c r="N64" i="27" s="1"/>
  <c r="R64" i="27" s="1"/>
  <c r="J12" i="28"/>
  <c r="K12" i="28" s="1"/>
  <c r="L12" i="28" s="1"/>
  <c r="N12" i="28" s="1"/>
  <c r="R12" i="28" s="1"/>
  <c r="J54" i="28"/>
  <c r="K54" i="28" s="1"/>
  <c r="L54" i="28" s="1"/>
  <c r="N54" i="28" s="1"/>
  <c r="R54" i="28" s="1"/>
  <c r="BW44" i="11"/>
  <c r="R73" i="28"/>
  <c r="P73" i="28"/>
  <c r="Q73" i="28" s="1"/>
  <c r="R20" i="26"/>
  <c r="P20" i="26"/>
  <c r="Q20" i="26" s="1"/>
  <c r="R8" i="26"/>
  <c r="P8" i="26"/>
  <c r="Q8" i="26" s="1"/>
  <c r="AS59" i="9"/>
  <c r="AS15" i="9"/>
  <c r="AS71" i="9"/>
  <c r="AS24" i="9"/>
  <c r="AS29" i="9"/>
  <c r="AS46" i="9"/>
  <c r="AS36" i="9"/>
  <c r="R32" i="26"/>
  <c r="P32" i="26"/>
  <c r="Q32" i="26" s="1"/>
  <c r="P20" i="27"/>
  <c r="Q20" i="27" s="1"/>
  <c r="R20" i="27"/>
  <c r="R73" i="26"/>
  <c r="P73" i="26"/>
  <c r="Q73" i="26" s="1"/>
  <c r="P21" i="26"/>
  <c r="Q21" i="26" s="1"/>
  <c r="R21" i="26"/>
  <c r="R59" i="28"/>
  <c r="P59" i="28"/>
  <c r="Q59" i="28" s="1"/>
  <c r="R18" i="26"/>
  <c r="P18" i="26"/>
  <c r="Q18" i="26" s="1"/>
  <c r="P52" i="27"/>
  <c r="Q52" i="27" s="1"/>
  <c r="R52" i="27"/>
  <c r="J9" i="27"/>
  <c r="K9" i="27" s="1"/>
  <c r="L9" i="27" s="1"/>
  <c r="N9" i="27" s="1"/>
  <c r="P23" i="28"/>
  <c r="Q23" i="28" s="1"/>
  <c r="R23" i="28"/>
  <c r="P33" i="26"/>
  <c r="Q33" i="26" s="1"/>
  <c r="R33" i="26"/>
  <c r="K7" i="26"/>
  <c r="P56" i="27"/>
  <c r="Q56" i="27" s="1"/>
  <c r="R56" i="27"/>
  <c r="R16" i="26"/>
  <c r="P16" i="26"/>
  <c r="Q16" i="26" s="1"/>
  <c r="R72" i="28"/>
  <c r="P72" i="28"/>
  <c r="Q72" i="28" s="1"/>
  <c r="P41" i="26"/>
  <c r="Q41" i="26" s="1"/>
  <c r="R41" i="26"/>
  <c r="AJ13" i="29"/>
  <c r="P60" i="10"/>
  <c r="BA60" i="11"/>
  <c r="AB67" i="10"/>
  <c r="BM67" i="11"/>
  <c r="AE46" i="10"/>
  <c r="BP46" i="11"/>
  <c r="U12" i="10"/>
  <c r="BF12" i="11"/>
  <c r="X41" i="10"/>
  <c r="BI41" i="11"/>
  <c r="N67" i="10"/>
  <c r="AY67" i="11"/>
  <c r="AL21" i="10"/>
  <c r="BW21" i="11"/>
  <c r="AW66" i="11"/>
  <c r="L66" i="10"/>
  <c r="BB18" i="11"/>
  <c r="Q18" i="10"/>
  <c r="W62" i="10"/>
  <c r="BH62" i="11"/>
  <c r="AD13" i="10"/>
  <c r="BO13" i="11"/>
  <c r="AU13" i="11"/>
  <c r="J13" i="10"/>
  <c r="AW33" i="11"/>
  <c r="L33" i="10"/>
  <c r="AA74" i="10"/>
  <c r="BL74" i="11"/>
  <c r="W27" i="10"/>
  <c r="BH27" i="11"/>
  <c r="Z44" i="10"/>
  <c r="BK44" i="11"/>
  <c r="AY71" i="11"/>
  <c r="N71" i="10"/>
  <c r="Q66" i="10"/>
  <c r="BB66" i="11"/>
  <c r="X22" i="10"/>
  <c r="BI22" i="11"/>
  <c r="BR13" i="11"/>
  <c r="AG13" i="10"/>
  <c r="AA63" i="10"/>
  <c r="BL63" i="11"/>
  <c r="BR33" i="11"/>
  <c r="AG33" i="10"/>
  <c r="X29" i="10"/>
  <c r="BI29" i="11"/>
  <c r="BV74" i="11"/>
  <c r="AK74" i="10"/>
  <c r="AT74" i="11"/>
  <c r="I74" i="11"/>
  <c r="I74" i="10"/>
  <c r="L27" i="10"/>
  <c r="AW27" i="11"/>
  <c r="W44" i="10"/>
  <c r="BH44" i="11"/>
  <c r="BF37" i="11"/>
  <c r="U37" i="10"/>
  <c r="BJ47" i="11"/>
  <c r="Y47" i="10"/>
  <c r="AH16" i="10"/>
  <c r="BS16" i="11"/>
  <c r="AH16" i="11"/>
  <c r="AU58" i="11"/>
  <c r="J58" i="10"/>
  <c r="U55" i="10"/>
  <c r="BF55" i="11"/>
  <c r="BE42" i="11"/>
  <c r="T42" i="10"/>
  <c r="BC19" i="11"/>
  <c r="R19" i="10"/>
  <c r="V73" i="10"/>
  <c r="BG73" i="11"/>
  <c r="BM37" i="11"/>
  <c r="AB37" i="10"/>
  <c r="BR50" i="11"/>
  <c r="AG50" i="10"/>
  <c r="BF17" i="11"/>
  <c r="U17" i="10"/>
  <c r="BR9" i="11"/>
  <c r="AG9" i="10"/>
  <c r="R50" i="26"/>
  <c r="P50" i="26"/>
  <c r="Q50" i="26" s="1"/>
  <c r="R63" i="28"/>
  <c r="P63" i="28"/>
  <c r="Q63" i="28" s="1"/>
  <c r="AS27" i="9"/>
  <c r="Q60" i="10"/>
  <c r="BB60" i="11"/>
  <c r="BC41" i="11"/>
  <c r="R41" i="10"/>
  <c r="AE67" i="10"/>
  <c r="BP67" i="11"/>
  <c r="I67" i="10"/>
  <c r="AT67" i="11"/>
  <c r="F46" i="10"/>
  <c r="AQ46" i="11"/>
  <c r="BB12" i="11"/>
  <c r="Q12" i="10"/>
  <c r="BJ40" i="11"/>
  <c r="Y40" i="10"/>
  <c r="BK20" i="11"/>
  <c r="Z20" i="10"/>
  <c r="AU71" i="11"/>
  <c r="J71" i="10"/>
  <c r="J71" i="11"/>
  <c r="AV21" i="11"/>
  <c r="K21" i="10"/>
  <c r="H66" i="10"/>
  <c r="AS66" i="11"/>
  <c r="BC54" i="11"/>
  <c r="R54" i="10"/>
  <c r="R74" i="26"/>
  <c r="P74" i="26"/>
  <c r="Q74" i="26" s="1"/>
  <c r="R30" i="28"/>
  <c r="P30" i="28"/>
  <c r="Q30" i="28" s="1"/>
  <c r="R61" i="26"/>
  <c r="P61" i="26"/>
  <c r="Q61" i="26" s="1"/>
  <c r="BQ64" i="11"/>
  <c r="AF64" i="10"/>
  <c r="Q28" i="10"/>
  <c r="BB28" i="11"/>
  <c r="Q28" i="11"/>
  <c r="S46" i="10"/>
  <c r="BD46" i="11"/>
  <c r="Y12" i="10"/>
  <c r="BJ12" i="11"/>
  <c r="AL30" i="10"/>
  <c r="BW30" i="11"/>
  <c r="S30" i="10"/>
  <c r="BD30" i="11"/>
  <c r="V18" i="10"/>
  <c r="BG18" i="11"/>
  <c r="BR65" i="11"/>
  <c r="AG65" i="10"/>
  <c r="Y65" i="10"/>
  <c r="BJ65" i="11"/>
  <c r="BW53" i="11"/>
  <c r="AL53" i="10"/>
  <c r="BL53" i="11"/>
  <c r="AA53" i="10"/>
  <c r="AA53" i="11"/>
  <c r="BO22" i="11"/>
  <c r="AD22" i="10"/>
  <c r="BA22" i="11"/>
  <c r="P22" i="10"/>
  <c r="AA54" i="10"/>
  <c r="BL54" i="11"/>
  <c r="BG25" i="11"/>
  <c r="V25" i="10"/>
  <c r="Y62" i="10"/>
  <c r="BJ62" i="11"/>
  <c r="AB63" i="10"/>
  <c r="BM63" i="11"/>
  <c r="BD61" i="11"/>
  <c r="S61" i="10"/>
  <c r="BO39" i="11"/>
  <c r="AD39" i="10"/>
  <c r="K39" i="10"/>
  <c r="AV39" i="11"/>
  <c r="BO33" i="11"/>
  <c r="AD33" i="10"/>
  <c r="AF29" i="10"/>
  <c r="BQ29" i="11"/>
  <c r="AF29" i="11"/>
  <c r="AG72" i="10"/>
  <c r="BR72" i="11"/>
  <c r="BH72" i="11"/>
  <c r="W72" i="10"/>
  <c r="AB70" i="10"/>
  <c r="BM70" i="11"/>
  <c r="BD51" i="11"/>
  <c r="S51" i="10"/>
  <c r="AQ74" i="11"/>
  <c r="F74" i="10"/>
  <c r="AS27" i="11"/>
  <c r="H27" i="10"/>
  <c r="U11" i="10"/>
  <c r="BF11" i="11"/>
  <c r="M43" i="10"/>
  <c r="AX43" i="11"/>
  <c r="BM23" i="11"/>
  <c r="AB23" i="10"/>
  <c r="AF47" i="10"/>
  <c r="BQ47" i="11"/>
  <c r="AG58" i="10"/>
  <c r="BR58" i="11"/>
  <c r="BV38" i="11"/>
  <c r="AK38" i="10"/>
  <c r="Q38" i="10"/>
  <c r="BB38" i="11"/>
  <c r="N55" i="10"/>
  <c r="AY55" i="11"/>
  <c r="AT16" i="11"/>
  <c r="I16" i="10"/>
  <c r="T19" i="10"/>
  <c r="BE19" i="11"/>
  <c r="AK45" i="10"/>
  <c r="BV45" i="11"/>
  <c r="BH45" i="11"/>
  <c r="W45" i="10"/>
  <c r="AS45" i="11"/>
  <c r="H45" i="10"/>
  <c r="H45" i="11"/>
  <c r="AU37" i="11"/>
  <c r="J37" i="10"/>
  <c r="AK56" i="10"/>
  <c r="BV56" i="11"/>
  <c r="BH15" i="11"/>
  <c r="W15" i="10"/>
  <c r="AQ15" i="11"/>
  <c r="F15" i="10"/>
  <c r="BP59" i="11"/>
  <c r="AE59" i="10"/>
  <c r="AT68" i="11"/>
  <c r="I68" i="10"/>
  <c r="AY29" i="11"/>
  <c r="N29" i="10"/>
  <c r="W70" i="10"/>
  <c r="BH70" i="11"/>
  <c r="W51" i="10"/>
  <c r="BH51" i="11"/>
  <c r="AL75" i="10"/>
  <c r="BW75" i="11"/>
  <c r="BL75" i="11"/>
  <c r="AA75" i="10"/>
  <c r="AL52" i="10"/>
  <c r="BW52" i="11"/>
  <c r="BO52" i="11"/>
  <c r="AD52" i="10"/>
  <c r="R52" i="10"/>
  <c r="BC52" i="11"/>
  <c r="AV36" i="11"/>
  <c r="K36" i="10"/>
  <c r="AZ48" i="11"/>
  <c r="O48" i="10"/>
  <c r="BS32" i="11"/>
  <c r="AH32" i="10"/>
  <c r="BN32" i="11"/>
  <c r="AC32" i="10"/>
  <c r="AF35" i="10"/>
  <c r="BQ35" i="11"/>
  <c r="BS23" i="11"/>
  <c r="AH23" i="10"/>
  <c r="AQ23" i="11"/>
  <c r="F23" i="10"/>
  <c r="AX47" i="11"/>
  <c r="M47" i="10"/>
  <c r="BC58" i="11"/>
  <c r="R58" i="10"/>
  <c r="BO38" i="11"/>
  <c r="AD38" i="10"/>
  <c r="AD55" i="10"/>
  <c r="BO55" i="11"/>
  <c r="BH69" i="11"/>
  <c r="W69" i="10"/>
  <c r="Y34" i="10"/>
  <c r="BJ34" i="11"/>
  <c r="BC16" i="11"/>
  <c r="R16" i="10"/>
  <c r="BO19" i="11"/>
  <c r="AD19" i="10"/>
  <c r="R45" i="10"/>
  <c r="BC45" i="11"/>
  <c r="T49" i="10"/>
  <c r="BE49" i="11"/>
  <c r="BK50" i="11"/>
  <c r="Z50" i="10"/>
  <c r="Y56" i="10"/>
  <c r="BJ56" i="11"/>
  <c r="R56" i="10"/>
  <c r="BC56" i="11"/>
  <c r="AD31" i="10"/>
  <c r="BO31" i="11"/>
  <c r="S31" i="10"/>
  <c r="BD31" i="11"/>
  <c r="AH15" i="10"/>
  <c r="BS15" i="11"/>
  <c r="BR10" i="11"/>
  <c r="AG10" i="10"/>
  <c r="BJ10" i="11"/>
  <c r="Y10" i="10"/>
  <c r="AU10" i="11"/>
  <c r="J10" i="10"/>
  <c r="X14" i="10"/>
  <c r="BI14" i="11"/>
  <c r="AS14" i="11"/>
  <c r="H14" i="10"/>
  <c r="BF57" i="11"/>
  <c r="U57" i="10"/>
  <c r="AV57" i="11"/>
  <c r="K57" i="10"/>
  <c r="AU17" i="11"/>
  <c r="J17" i="10"/>
  <c r="AV9" i="11"/>
  <c r="K9" i="10"/>
  <c r="S59" i="10"/>
  <c r="BD59" i="11"/>
  <c r="F68" i="10"/>
  <c r="AQ68" i="11"/>
  <c r="AJ8" i="29"/>
  <c r="AB60" i="10"/>
  <c r="BM60" i="11"/>
  <c r="R28" i="10"/>
  <c r="BC28" i="11"/>
  <c r="X46" i="10"/>
  <c r="BI46" i="11"/>
  <c r="AU12" i="11"/>
  <c r="J12" i="10"/>
  <c r="BE30" i="11"/>
  <c r="T30" i="10"/>
  <c r="P40" i="10"/>
  <c r="BA40" i="11"/>
  <c r="BS60" i="11"/>
  <c r="AH60" i="10"/>
  <c r="H60" i="10"/>
  <c r="AS60" i="11"/>
  <c r="X28" i="10"/>
  <c r="BI28" i="11"/>
  <c r="AT12" i="11"/>
  <c r="I12" i="10"/>
  <c r="P30" i="10"/>
  <c r="BA30" i="11"/>
  <c r="BV40" i="11"/>
  <c r="AK40" i="10"/>
  <c r="BF40" i="11"/>
  <c r="U40" i="10"/>
  <c r="BD28" i="11"/>
  <c r="S28" i="10"/>
  <c r="BO65" i="11"/>
  <c r="AD65" i="10"/>
  <c r="BJ70" i="11"/>
  <c r="Y70" i="10"/>
  <c r="BP74" i="11"/>
  <c r="AE74" i="10"/>
  <c r="BQ27" i="11"/>
  <c r="AF27" i="10"/>
  <c r="AD21" i="10"/>
  <c r="BO21" i="11"/>
  <c r="BV65" i="11"/>
  <c r="AK65" i="10"/>
  <c r="AQ53" i="11"/>
  <c r="F53" i="10"/>
  <c r="AL54" i="10"/>
  <c r="BW54" i="11"/>
  <c r="BN25" i="11"/>
  <c r="AC25" i="10"/>
  <c r="T62" i="10"/>
  <c r="BE62" i="11"/>
  <c r="BF61" i="11"/>
  <c r="U61" i="10"/>
  <c r="BP29" i="11"/>
  <c r="AE29" i="10"/>
  <c r="AU29" i="11"/>
  <c r="J29" i="10"/>
  <c r="L70" i="10"/>
  <c r="AW70" i="11"/>
  <c r="AC27" i="10"/>
  <c r="BN27" i="11"/>
  <c r="AB44" i="10"/>
  <c r="BM44" i="11"/>
  <c r="Q75" i="10"/>
  <c r="BB75" i="11"/>
  <c r="N20" i="10"/>
  <c r="AY20" i="11"/>
  <c r="BE71" i="11"/>
  <c r="T71" i="10"/>
  <c r="BF66" i="11"/>
  <c r="U66" i="10"/>
  <c r="BH18" i="11"/>
  <c r="W18" i="10"/>
  <c r="F25" i="10"/>
  <c r="AQ25" i="11"/>
  <c r="AA13" i="10"/>
  <c r="BL13" i="11"/>
  <c r="BJ63" i="11"/>
  <c r="Y63" i="10"/>
  <c r="AL33" i="10"/>
  <c r="BW33" i="11"/>
  <c r="AG27" i="10"/>
  <c r="BR27" i="11"/>
  <c r="BN20" i="11"/>
  <c r="AC20" i="10"/>
  <c r="BR54" i="11"/>
  <c r="AG54" i="10"/>
  <c r="BF62" i="11"/>
  <c r="U62" i="10"/>
  <c r="U62" i="11"/>
  <c r="BL51" i="11"/>
  <c r="AA51" i="10"/>
  <c r="M51" i="10"/>
  <c r="AX51" i="11"/>
  <c r="BO44" i="11"/>
  <c r="AD44" i="10"/>
  <c r="BK52" i="11"/>
  <c r="Z52" i="10"/>
  <c r="BL36" i="11"/>
  <c r="AA36" i="10"/>
  <c r="U32" i="10"/>
  <c r="BF32" i="11"/>
  <c r="K32" i="10"/>
  <c r="AV32" i="11"/>
  <c r="AY11" i="11"/>
  <c r="N11" i="10"/>
  <c r="BC23" i="11"/>
  <c r="R23" i="10"/>
  <c r="H23" i="10"/>
  <c r="AS23" i="11"/>
  <c r="AL58" i="10"/>
  <c r="BW58" i="11"/>
  <c r="Y69" i="10"/>
  <c r="BJ69" i="11"/>
  <c r="BV34" i="11"/>
  <c r="AK34" i="10"/>
  <c r="H34" i="10"/>
  <c r="AS34" i="11"/>
  <c r="AT42" i="11"/>
  <c r="I42" i="10"/>
  <c r="AC45" i="10"/>
  <c r="BN45" i="11"/>
  <c r="AZ45" i="11"/>
  <c r="O45" i="10"/>
  <c r="S49" i="10"/>
  <c r="BD49" i="11"/>
  <c r="BO26" i="11"/>
  <c r="AD26" i="10"/>
  <c r="AY26" i="11"/>
  <c r="N26" i="10"/>
  <c r="BN37" i="11"/>
  <c r="AC37" i="10"/>
  <c r="AG56" i="10"/>
  <c r="BR56" i="11"/>
  <c r="AV31" i="11"/>
  <c r="K31" i="10"/>
  <c r="AZ47" i="11"/>
  <c r="O47" i="10"/>
  <c r="AF69" i="10"/>
  <c r="BQ69" i="11"/>
  <c r="BW42" i="11"/>
  <c r="AL42" i="10"/>
  <c r="AQ19" i="11"/>
  <c r="F19" i="10"/>
  <c r="BA49" i="11"/>
  <c r="P49" i="10"/>
  <c r="P26" i="10"/>
  <c r="BA26" i="11"/>
  <c r="AB52" i="10"/>
  <c r="BM52" i="11"/>
  <c r="X36" i="10"/>
  <c r="BI36" i="11"/>
  <c r="BA36" i="11"/>
  <c r="P36" i="10"/>
  <c r="BH48" i="11"/>
  <c r="W48" i="10"/>
  <c r="AW48" i="11"/>
  <c r="L48" i="10"/>
  <c r="I32" i="10"/>
  <c r="AT32" i="11"/>
  <c r="W43" i="10"/>
  <c r="BH43" i="11"/>
  <c r="J43" i="10"/>
  <c r="AU43" i="11"/>
  <c r="M24" i="10"/>
  <c r="AX24" i="11"/>
  <c r="BG58" i="11"/>
  <c r="V58" i="10"/>
  <c r="AH19" i="10"/>
  <c r="BS19" i="11"/>
  <c r="O49" i="10"/>
  <c r="AZ49" i="11"/>
  <c r="AW37" i="11"/>
  <c r="L37" i="10"/>
  <c r="P50" i="10"/>
  <c r="BA50" i="11"/>
  <c r="BI15" i="11"/>
  <c r="X15" i="10"/>
  <c r="BD10" i="11"/>
  <c r="S10" i="10"/>
  <c r="R14" i="10"/>
  <c r="BC14" i="11"/>
  <c r="N17" i="10"/>
  <c r="AY17" i="11"/>
  <c r="AZ68" i="11"/>
  <c r="O68" i="10"/>
  <c r="K34" i="10"/>
  <c r="AV34" i="11"/>
  <c r="K42" i="10"/>
  <c r="AV42" i="11"/>
  <c r="W10" i="10"/>
  <c r="BH10" i="11"/>
  <c r="F8" i="10"/>
  <c r="AQ8" i="11"/>
  <c r="BD17" i="11"/>
  <c r="S17" i="10"/>
  <c r="BH9" i="11"/>
  <c r="W9" i="10"/>
  <c r="AF59" i="10"/>
  <c r="BQ59" i="11"/>
  <c r="U59" i="10"/>
  <c r="BF59" i="11"/>
  <c r="H68" i="10"/>
  <c r="AS68" i="11"/>
  <c r="AZ58" i="11"/>
  <c r="O58" i="10"/>
  <c r="AD34" i="10"/>
  <c r="BO34" i="11"/>
  <c r="BR42" i="11"/>
  <c r="AG42" i="10"/>
  <c r="BO37" i="11"/>
  <c r="AD37" i="10"/>
  <c r="Y15" i="10"/>
  <c r="BJ15" i="11"/>
  <c r="X10" i="10"/>
  <c r="BI10" i="11"/>
  <c r="BC8" i="11"/>
  <c r="R8" i="10"/>
  <c r="AB14" i="10"/>
  <c r="BM14" i="11"/>
  <c r="AF57" i="10"/>
  <c r="BQ57" i="11"/>
  <c r="W57" i="10"/>
  <c r="BH57" i="11"/>
  <c r="H17" i="10"/>
  <c r="AS17" i="11"/>
  <c r="BR68" i="11"/>
  <c r="AG68" i="10"/>
  <c r="BE68" i="11"/>
  <c r="T68" i="10"/>
  <c r="BO60" i="11"/>
  <c r="AD60" i="10"/>
  <c r="Z28" i="10"/>
  <c r="BK28" i="11"/>
  <c r="R30" i="10"/>
  <c r="BC30" i="11"/>
  <c r="AC60" i="10"/>
  <c r="BN60" i="11"/>
  <c r="Z64" i="10"/>
  <c r="BK64" i="11"/>
  <c r="AF28" i="10"/>
  <c r="BQ28" i="11"/>
  <c r="Y28" i="10"/>
  <c r="BJ28" i="11"/>
  <c r="BO41" i="11"/>
  <c r="AD41" i="10"/>
  <c r="BB41" i="11"/>
  <c r="Q41" i="10"/>
  <c r="X12" i="10"/>
  <c r="BI12" i="11"/>
  <c r="BL30" i="11"/>
  <c r="AA30" i="10"/>
  <c r="BE40" i="11"/>
  <c r="T40" i="10"/>
  <c r="P20" i="10"/>
  <c r="BA20" i="11"/>
  <c r="S71" i="10"/>
  <c r="BD71" i="11"/>
  <c r="Y21" i="10"/>
  <c r="BJ21" i="11"/>
  <c r="J66" i="10"/>
  <c r="AU66" i="11"/>
  <c r="BF18" i="11"/>
  <c r="U18" i="10"/>
  <c r="X65" i="10"/>
  <c r="BI65" i="11"/>
  <c r="M53" i="10"/>
  <c r="AX53" i="11"/>
  <c r="AC67" i="10"/>
  <c r="BN67" i="11"/>
  <c r="AB12" i="10"/>
  <c r="BM12" i="11"/>
  <c r="AE64" i="10"/>
  <c r="BP64" i="11"/>
  <c r="AD71" i="10"/>
  <c r="BO71" i="11"/>
  <c r="AZ22" i="11"/>
  <c r="O22" i="10"/>
  <c r="BM25" i="11"/>
  <c r="AB25" i="10"/>
  <c r="L62" i="10"/>
  <c r="AW62" i="11"/>
  <c r="K13" i="10"/>
  <c r="AV13" i="11"/>
  <c r="BC63" i="11"/>
  <c r="R63" i="10"/>
  <c r="AU61" i="11"/>
  <c r="J61" i="10"/>
  <c r="AC39" i="10"/>
  <c r="BN39" i="11"/>
  <c r="BV33" i="11"/>
  <c r="AK33" i="10"/>
  <c r="U29" i="10"/>
  <c r="BF29" i="11"/>
  <c r="BV70" i="11"/>
  <c r="AK70" i="10"/>
  <c r="AT70" i="11"/>
  <c r="I70" i="10"/>
  <c r="BA51" i="11"/>
  <c r="P51" i="10"/>
  <c r="AD27" i="10"/>
  <c r="BO27" i="11"/>
  <c r="AT27" i="11"/>
  <c r="I27" i="10"/>
  <c r="O44" i="10"/>
  <c r="AZ44" i="11"/>
  <c r="BA75" i="11"/>
  <c r="P75" i="10"/>
  <c r="I18" i="10"/>
  <c r="AT18" i="11"/>
  <c r="AQ22" i="11"/>
  <c r="F22" i="10"/>
  <c r="P54" i="10"/>
  <c r="BA54" i="11"/>
  <c r="AW25" i="11"/>
  <c r="L25" i="10"/>
  <c r="BM62" i="11"/>
  <c r="AB62" i="10"/>
  <c r="BQ13" i="11"/>
  <c r="AF13" i="10"/>
  <c r="AW63" i="11"/>
  <c r="L63" i="10"/>
  <c r="X33" i="10"/>
  <c r="BI33" i="11"/>
  <c r="AS33" i="11"/>
  <c r="H33" i="10"/>
  <c r="Z29" i="10"/>
  <c r="BK29" i="11"/>
  <c r="BC29" i="11"/>
  <c r="R29" i="10"/>
  <c r="BI72" i="11"/>
  <c r="X72" i="10"/>
  <c r="AY70" i="11"/>
  <c r="N70" i="10"/>
  <c r="BG51" i="11"/>
  <c r="V51" i="10"/>
  <c r="X25" i="10"/>
  <c r="BI25" i="11"/>
  <c r="U24" i="10"/>
  <c r="BF24" i="11"/>
  <c r="AL36" i="10"/>
  <c r="BW36" i="11"/>
  <c r="BH36" i="11"/>
  <c r="W36" i="10"/>
  <c r="AB48" i="10"/>
  <c r="BM48" i="11"/>
  <c r="BW11" i="11"/>
  <c r="AL11" i="10"/>
  <c r="BP35" i="11"/>
  <c r="AE35" i="10"/>
  <c r="BC35" i="11"/>
  <c r="R35" i="10"/>
  <c r="BM38" i="11"/>
  <c r="AB38" i="10"/>
  <c r="L16" i="10"/>
  <c r="AW16" i="11"/>
  <c r="M73" i="10"/>
  <c r="AX73" i="11"/>
  <c r="F73" i="10"/>
  <c r="AQ73" i="11"/>
  <c r="X50" i="10"/>
  <c r="BI50" i="11"/>
  <c r="Z10" i="10"/>
  <c r="BK10" i="11"/>
  <c r="BG8" i="11"/>
  <c r="V8" i="10"/>
  <c r="BJ9" i="11"/>
  <c r="Y9" i="10"/>
  <c r="N68" i="10"/>
  <c r="AY68" i="11"/>
  <c r="BC62" i="11"/>
  <c r="R62" i="10"/>
  <c r="BP33" i="11"/>
  <c r="AE33" i="10"/>
  <c r="AU24" i="11"/>
  <c r="J24" i="10"/>
  <c r="X58" i="10"/>
  <c r="BI58" i="11"/>
  <c r="BW73" i="11"/>
  <c r="AL73" i="10"/>
  <c r="AC50" i="10"/>
  <c r="BN50" i="11"/>
  <c r="K8" i="10"/>
  <c r="AV8" i="11"/>
  <c r="BM59" i="11"/>
  <c r="AB59" i="10"/>
  <c r="V24" i="10"/>
  <c r="BG24" i="11"/>
  <c r="BG43" i="11"/>
  <c r="V43" i="10"/>
  <c r="P55" i="10"/>
  <c r="BA55" i="11"/>
  <c r="N16" i="10"/>
  <c r="AY16" i="11"/>
  <c r="N19" i="10"/>
  <c r="AY19" i="11"/>
  <c r="J56" i="10"/>
  <c r="AU56" i="11"/>
  <c r="N10" i="10"/>
  <c r="AY10" i="11"/>
  <c r="F75" i="10"/>
  <c r="AQ75" i="11"/>
  <c r="BN52" i="11"/>
  <c r="AC52" i="10"/>
  <c r="Q52" i="10"/>
  <c r="BB52" i="11"/>
  <c r="O24" i="10"/>
  <c r="AZ24" i="11"/>
  <c r="S47" i="10"/>
  <c r="BD47" i="11"/>
  <c r="H58" i="10"/>
  <c r="AS58" i="11"/>
  <c r="BM55" i="11"/>
  <c r="AB55" i="10"/>
  <c r="AB56" i="10"/>
  <c r="BM56" i="11"/>
  <c r="BS10" i="11"/>
  <c r="AH10" i="10"/>
  <c r="BN14" i="11"/>
  <c r="AC14" i="10"/>
  <c r="BK17" i="11"/>
  <c r="Z17" i="10"/>
  <c r="BO9" i="11"/>
  <c r="AD9" i="10"/>
  <c r="BV68" i="11"/>
  <c r="AK68" i="10"/>
  <c r="BD68" i="11"/>
  <c r="S68" i="10"/>
  <c r="AS41" i="9"/>
  <c r="AU46" i="11"/>
  <c r="J46" i="10"/>
  <c r="BK30" i="11"/>
  <c r="Z30" i="10"/>
  <c r="BL20" i="11"/>
  <c r="AA20" i="10"/>
  <c r="L21" i="10"/>
  <c r="AW21" i="11"/>
  <c r="AD18" i="10"/>
  <c r="BO18" i="11"/>
  <c r="AK53" i="10"/>
  <c r="BV53" i="11"/>
  <c r="AU54" i="11"/>
  <c r="J54" i="10"/>
  <c r="L39" i="10"/>
  <c r="AW39" i="11"/>
  <c r="V27" i="10"/>
  <c r="BG27" i="11"/>
  <c r="O10" i="10"/>
  <c r="AZ10" i="11"/>
  <c r="BB14" i="11"/>
  <c r="Q14" i="10"/>
  <c r="BI60" i="11"/>
  <c r="X60" i="10"/>
  <c r="N64" i="10"/>
  <c r="AY64" i="11"/>
  <c r="M46" i="10"/>
  <c r="AX46" i="11"/>
  <c r="AX12" i="11"/>
  <c r="M12" i="10"/>
  <c r="M12" i="11"/>
  <c r="BR40" i="11"/>
  <c r="AG40" i="10"/>
  <c r="BV21" i="11"/>
  <c r="AK21" i="10"/>
  <c r="AC53" i="10"/>
  <c r="BN53" i="11"/>
  <c r="AZ54" i="11"/>
  <c r="O54" i="10"/>
  <c r="S33" i="10"/>
  <c r="BD33" i="11"/>
  <c r="AS51" i="11"/>
  <c r="H51" i="10"/>
  <c r="BP36" i="11"/>
  <c r="AE36" i="10"/>
  <c r="W23" i="10"/>
  <c r="BH23" i="11"/>
  <c r="N69" i="10"/>
  <c r="AY69" i="11"/>
  <c r="BJ37" i="11"/>
  <c r="Y37" i="10"/>
  <c r="Y37" i="11"/>
  <c r="BD56" i="11"/>
  <c r="S56" i="10"/>
  <c r="BG31" i="11"/>
  <c r="V31" i="10"/>
  <c r="AW9" i="11"/>
  <c r="L9" i="10"/>
  <c r="U41" i="10"/>
  <c r="BF41" i="11"/>
  <c r="W67" i="10"/>
  <c r="BH67" i="11"/>
  <c r="I46" i="10"/>
  <c r="AT46" i="11"/>
  <c r="Y71" i="10"/>
  <c r="BJ71" i="11"/>
  <c r="BH65" i="11"/>
  <c r="W65" i="10"/>
  <c r="BW25" i="11"/>
  <c r="AL25" i="10"/>
  <c r="BP13" i="11"/>
  <c r="AE13" i="10"/>
  <c r="K61" i="10"/>
  <c r="AV61" i="11"/>
  <c r="N39" i="10"/>
  <c r="AY39" i="11"/>
  <c r="AE72" i="10"/>
  <c r="BP72" i="11"/>
  <c r="AU51" i="11"/>
  <c r="J51" i="10"/>
  <c r="U74" i="10"/>
  <c r="BF74" i="11"/>
  <c r="BE75" i="11"/>
  <c r="T75" i="10"/>
  <c r="AU75" i="11"/>
  <c r="J75" i="10"/>
  <c r="AT52" i="11"/>
  <c r="I52" i="10"/>
  <c r="AK24" i="10"/>
  <c r="BV24" i="11"/>
  <c r="BK24" i="11"/>
  <c r="Z24" i="10"/>
  <c r="AQ24" i="11"/>
  <c r="F24" i="10"/>
  <c r="Z43" i="10"/>
  <c r="BK43" i="11"/>
  <c r="S67" i="10"/>
  <c r="BD67" i="11"/>
  <c r="AE71" i="10"/>
  <c r="BP71" i="11"/>
  <c r="I71" i="10"/>
  <c r="AT71" i="11"/>
  <c r="BI21" i="11"/>
  <c r="X21" i="10"/>
  <c r="BL18" i="11"/>
  <c r="AA18" i="10"/>
  <c r="I54" i="10"/>
  <c r="AT54" i="11"/>
  <c r="AE62" i="10"/>
  <c r="BP62" i="11"/>
  <c r="O63" i="10"/>
  <c r="AZ63" i="11"/>
  <c r="I51" i="10"/>
  <c r="AT51" i="11"/>
  <c r="AT44" i="11"/>
  <c r="I44" i="10"/>
  <c r="AS75" i="11"/>
  <c r="H75" i="10"/>
  <c r="BD52" i="11"/>
  <c r="S52" i="10"/>
  <c r="K58" i="10"/>
  <c r="AV58" i="11"/>
  <c r="U42" i="10"/>
  <c r="BF42" i="11"/>
  <c r="AK16" i="10"/>
  <c r="BV16" i="11"/>
  <c r="H16" i="10"/>
  <c r="AS16" i="11"/>
  <c r="BL49" i="11"/>
  <c r="AA49" i="10"/>
  <c r="BD50" i="11"/>
  <c r="S50" i="10"/>
  <c r="AU15" i="11"/>
  <c r="J15" i="10"/>
  <c r="N14" i="10"/>
  <c r="AY14" i="11"/>
  <c r="BI57" i="11"/>
  <c r="X57" i="10"/>
  <c r="BB68" i="11"/>
  <c r="Q68" i="10"/>
  <c r="BJ16" i="11"/>
  <c r="Y16" i="10"/>
  <c r="AV56" i="11"/>
  <c r="K56" i="10"/>
  <c r="AS31" i="11"/>
  <c r="H31" i="10"/>
  <c r="AA15" i="10"/>
  <c r="BL15" i="11"/>
  <c r="AQ47" i="11"/>
  <c r="F47" i="10"/>
  <c r="BQ38" i="11"/>
  <c r="AF38" i="10"/>
  <c r="AZ34" i="11"/>
  <c r="O34" i="10"/>
  <c r="Z62" i="10"/>
  <c r="BK62" i="11"/>
  <c r="I72" i="10"/>
  <c r="AT72" i="11"/>
  <c r="BD35" i="11"/>
  <c r="S35" i="10"/>
  <c r="BM69" i="11"/>
  <c r="AB69" i="10"/>
  <c r="BS50" i="11"/>
  <c r="AH50" i="10"/>
  <c r="AK31" i="10"/>
  <c r="BV31" i="11"/>
  <c r="BL24" i="11"/>
  <c r="AA24" i="10"/>
  <c r="P69" i="10"/>
  <c r="BA69" i="11"/>
  <c r="BR55" i="11"/>
  <c r="AG55" i="10"/>
  <c r="BH66" i="11"/>
  <c r="W66" i="10"/>
  <c r="AF72" i="10"/>
  <c r="BQ72" i="11"/>
  <c r="O72" i="10"/>
  <c r="AZ72" i="11"/>
  <c r="R44" i="10"/>
  <c r="BC44" i="11"/>
  <c r="BQ45" i="11"/>
  <c r="AF45" i="10"/>
  <c r="Z56" i="10"/>
  <c r="BK56" i="11"/>
  <c r="AH46" i="10"/>
  <c r="BS46" i="11"/>
  <c r="AU45" i="11"/>
  <c r="J45" i="10"/>
  <c r="T15" i="10"/>
  <c r="BE15" i="11"/>
  <c r="BE57" i="11"/>
  <c r="T57" i="10"/>
  <c r="BC17" i="11"/>
  <c r="R17" i="10"/>
  <c r="BC68" i="11"/>
  <c r="R68" i="10"/>
  <c r="BQ23" i="11"/>
  <c r="AF23" i="10"/>
  <c r="T37" i="10"/>
  <c r="BE37" i="11"/>
  <c r="AV60" i="11"/>
  <c r="K60" i="10"/>
  <c r="AC41" i="10"/>
  <c r="BN41" i="11"/>
  <c r="AB46" i="10"/>
  <c r="BM46" i="11"/>
  <c r="AV71" i="11"/>
  <c r="K71" i="10"/>
  <c r="BM53" i="11"/>
  <c r="AB53" i="10"/>
  <c r="BL25" i="11"/>
  <c r="AA25" i="10"/>
  <c r="AX40" i="11"/>
  <c r="M40" i="10"/>
  <c r="BG38" i="11"/>
  <c r="V38" i="10"/>
  <c r="AA16" i="10"/>
  <c r="BL16" i="11"/>
  <c r="BQ49" i="11"/>
  <c r="AF49" i="10"/>
  <c r="AQ26" i="11"/>
  <c r="F26" i="10"/>
  <c r="AH48" i="10"/>
  <c r="BS48" i="11"/>
  <c r="BR14" i="11"/>
  <c r="AG14" i="10"/>
  <c r="M29" i="10"/>
  <c r="AX29" i="11"/>
  <c r="AB45" i="10"/>
  <c r="BM45" i="11"/>
  <c r="J55" i="10"/>
  <c r="AU55" i="11"/>
  <c r="I59" i="10"/>
  <c r="AT59" i="11"/>
  <c r="AU49" i="11"/>
  <c r="J49" i="10"/>
  <c r="S18" i="10"/>
  <c r="BD18" i="11"/>
  <c r="F21" i="10"/>
  <c r="AQ21" i="11"/>
  <c r="R32" i="10"/>
  <c r="BC32" i="11"/>
  <c r="AT47" i="11"/>
  <c r="I47" i="10"/>
  <c r="U69" i="10"/>
  <c r="BF69" i="11"/>
  <c r="M26" i="10"/>
  <c r="AX26" i="11"/>
  <c r="BI69" i="11"/>
  <c r="X69" i="10"/>
  <c r="BV69" i="11"/>
  <c r="AK69" i="10"/>
  <c r="F11" i="10"/>
  <c r="AQ11" i="11"/>
  <c r="Y36" i="10"/>
  <c r="BJ36" i="11"/>
  <c r="BE44" i="11"/>
  <c r="T44" i="10"/>
  <c r="BC74" i="11"/>
  <c r="R74" i="10"/>
  <c r="W13" i="10"/>
  <c r="BH13" i="11"/>
  <c r="BF22" i="11"/>
  <c r="U22" i="10"/>
  <c r="BI20" i="11"/>
  <c r="X20" i="10"/>
  <c r="BP40" i="11"/>
  <c r="AE40" i="10"/>
  <c r="K30" i="10"/>
  <c r="AV30" i="11"/>
  <c r="V12" i="10"/>
  <c r="BG12" i="11"/>
  <c r="AV67" i="11"/>
  <c r="K67" i="10"/>
  <c r="BT31" i="11"/>
  <c r="AI31" i="10"/>
  <c r="AI35" i="10"/>
  <c r="BT35" i="11"/>
  <c r="AI19" i="10"/>
  <c r="BT19" i="11"/>
  <c r="BT8" i="11"/>
  <c r="AI8" i="10"/>
  <c r="BU9" i="11"/>
  <c r="AJ9" i="10"/>
  <c r="BU15" i="11"/>
  <c r="AJ15" i="10"/>
  <c r="AJ20" i="10"/>
  <c r="BU20" i="11"/>
  <c r="AJ25" i="10"/>
  <c r="BU25" i="11"/>
  <c r="AJ31" i="10"/>
  <c r="BU31" i="11"/>
  <c r="AJ36" i="10"/>
  <c r="BU36" i="11"/>
  <c r="AJ41" i="10"/>
  <c r="BU41" i="11"/>
  <c r="AJ47" i="10"/>
  <c r="BU47" i="11"/>
  <c r="BU52" i="11"/>
  <c r="AJ52" i="10"/>
  <c r="AJ57" i="10"/>
  <c r="BU57" i="11"/>
  <c r="BU63" i="11"/>
  <c r="AJ63" i="10"/>
  <c r="BU68" i="11"/>
  <c r="AJ68" i="10"/>
  <c r="BU73" i="11"/>
  <c r="AJ73" i="10"/>
  <c r="BT10" i="11"/>
  <c r="AI10" i="10"/>
  <c r="BT16" i="11"/>
  <c r="AI16" i="10"/>
  <c r="BT26" i="11"/>
  <c r="AI26" i="10"/>
  <c r="BT33" i="11"/>
  <c r="AI33" i="10"/>
  <c r="BT42" i="11"/>
  <c r="AI42" i="10"/>
  <c r="BT47" i="11"/>
  <c r="AI47" i="10"/>
  <c r="BT52" i="11"/>
  <c r="AI52" i="10"/>
  <c r="AI58" i="10"/>
  <c r="BT58" i="11"/>
  <c r="AI63" i="10"/>
  <c r="BT63" i="11"/>
  <c r="BT68" i="11"/>
  <c r="AI68" i="10"/>
  <c r="BT74" i="11"/>
  <c r="AI74" i="10"/>
  <c r="BU14" i="11"/>
  <c r="AJ14" i="10"/>
  <c r="AJ18" i="10"/>
  <c r="BU18" i="11"/>
  <c r="AJ22" i="10"/>
  <c r="BU22" i="11"/>
  <c r="BU26" i="11"/>
  <c r="AJ26" i="10"/>
  <c r="BU30" i="11"/>
  <c r="AJ30" i="10"/>
  <c r="AJ34" i="10"/>
  <c r="BU34" i="11"/>
  <c r="AJ38" i="10"/>
  <c r="BU38" i="11"/>
  <c r="AJ42" i="10"/>
  <c r="BU42" i="11"/>
  <c r="AJ46" i="10"/>
  <c r="BU46" i="11"/>
  <c r="BU50" i="11"/>
  <c r="AJ50" i="10"/>
  <c r="AJ54" i="10"/>
  <c r="BU54" i="11"/>
  <c r="AJ58" i="10"/>
  <c r="BU58" i="11"/>
  <c r="BU62" i="11"/>
  <c r="AJ62" i="10"/>
  <c r="AJ66" i="10"/>
  <c r="BU66" i="11"/>
  <c r="BU70" i="11"/>
  <c r="AJ70" i="10"/>
  <c r="BU74" i="11"/>
  <c r="AJ74" i="10"/>
  <c r="BT9" i="11"/>
  <c r="AI9" i="10"/>
  <c r="BT13" i="11"/>
  <c r="AI13" i="10"/>
  <c r="BT17" i="11"/>
  <c r="AI17" i="10"/>
  <c r="BT21" i="11"/>
  <c r="AI21" i="10"/>
  <c r="AI25" i="10"/>
  <c r="BT25" i="11"/>
  <c r="AI29" i="10"/>
  <c r="BT29" i="11"/>
  <c r="BT37" i="11"/>
  <c r="AI37" i="10"/>
  <c r="AI41" i="10"/>
  <c r="BT41" i="11"/>
  <c r="AI45" i="10"/>
  <c r="BT45" i="11"/>
  <c r="AI49" i="10"/>
  <c r="BT49" i="11"/>
  <c r="BT53" i="11"/>
  <c r="AI53" i="10"/>
  <c r="BT57" i="11"/>
  <c r="AI57" i="10"/>
  <c r="BT61" i="11"/>
  <c r="AI61" i="10"/>
  <c r="BT65" i="11"/>
  <c r="AI65" i="10"/>
  <c r="BT69" i="11"/>
  <c r="AI69" i="10"/>
  <c r="BT73" i="11"/>
  <c r="AI73" i="10"/>
  <c r="R44" i="27"/>
  <c r="P44" i="27"/>
  <c r="Q44" i="27" s="1"/>
  <c r="AS20" i="9"/>
  <c r="AR14" i="9"/>
  <c r="AS57" i="9"/>
  <c r="AR35" i="9"/>
  <c r="R20" i="28"/>
  <c r="P20" i="28"/>
  <c r="Q20" i="28" s="1"/>
  <c r="R73" i="27"/>
  <c r="P73" i="27"/>
  <c r="Q73" i="27" s="1"/>
  <c r="P67" i="27"/>
  <c r="Q67" i="27" s="1"/>
  <c r="R67" i="27"/>
  <c r="P46" i="26"/>
  <c r="Q46" i="26" s="1"/>
  <c r="R46" i="26"/>
  <c r="P39" i="26"/>
  <c r="Q39" i="26" s="1"/>
  <c r="R39" i="26"/>
  <c r="R17" i="26"/>
  <c r="P17" i="26"/>
  <c r="Q17" i="26" s="1"/>
  <c r="P54" i="26"/>
  <c r="Q54" i="26" s="1"/>
  <c r="R54" i="26"/>
  <c r="P58" i="28"/>
  <c r="Q58" i="28" s="1"/>
  <c r="R68" i="27"/>
  <c r="P68" i="27"/>
  <c r="Q68" i="27" s="1"/>
  <c r="R66" i="28"/>
  <c r="P66" i="28"/>
  <c r="Q66" i="28" s="1"/>
  <c r="R48" i="26"/>
  <c r="P48" i="26"/>
  <c r="Q48" i="26" s="1"/>
  <c r="P47" i="28"/>
  <c r="Q47" i="28" s="1"/>
  <c r="R47" i="28"/>
  <c r="R64" i="26"/>
  <c r="P64" i="26"/>
  <c r="Q64" i="26" s="1"/>
  <c r="R12" i="26"/>
  <c r="P12" i="26"/>
  <c r="Q12" i="26" s="1"/>
  <c r="R55" i="26"/>
  <c r="P55" i="26"/>
  <c r="Q55" i="26" s="1"/>
  <c r="P9" i="28"/>
  <c r="Q9" i="28" s="1"/>
  <c r="R9" i="28"/>
  <c r="R69" i="28"/>
  <c r="P69" i="28"/>
  <c r="Q69" i="28" s="1"/>
  <c r="BN28" i="11"/>
  <c r="AC28" i="10"/>
  <c r="R67" i="10"/>
  <c r="BC67" i="11"/>
  <c r="Q46" i="10"/>
  <c r="BB46" i="11"/>
  <c r="AW12" i="11"/>
  <c r="L12" i="10"/>
  <c r="Z60" i="10"/>
  <c r="BK60" i="11"/>
  <c r="AX64" i="11"/>
  <c r="M64" i="10"/>
  <c r="AT28" i="11"/>
  <c r="I28" i="10"/>
  <c r="AY40" i="11"/>
  <c r="N40" i="10"/>
  <c r="BR71" i="11"/>
  <c r="AG71" i="10"/>
  <c r="I21" i="10"/>
  <c r="AT21" i="11"/>
  <c r="AE25" i="10"/>
  <c r="BP25" i="11"/>
  <c r="AE25" i="11"/>
  <c r="BJ13" i="11"/>
  <c r="Y13" i="10"/>
  <c r="AF63" i="10"/>
  <c r="BQ63" i="11"/>
  <c r="BA39" i="11"/>
  <c r="P39" i="10"/>
  <c r="AD29" i="10"/>
  <c r="BO29" i="11"/>
  <c r="K72" i="10"/>
  <c r="AV72" i="11"/>
  <c r="Y74" i="10"/>
  <c r="BJ74" i="11"/>
  <c r="P27" i="10"/>
  <c r="BA27" i="11"/>
  <c r="BB44" i="11"/>
  <c r="Q44" i="10"/>
  <c r="AH40" i="10"/>
  <c r="BS40" i="11"/>
  <c r="AL20" i="10"/>
  <c r="BW20" i="11"/>
  <c r="H20" i="10"/>
  <c r="AS20" i="11"/>
  <c r="BN21" i="11"/>
  <c r="AC21" i="10"/>
  <c r="AC65" i="10"/>
  <c r="BN65" i="11"/>
  <c r="T53" i="10"/>
  <c r="BE53" i="11"/>
  <c r="I22" i="10"/>
  <c r="AT22" i="11"/>
  <c r="U13" i="10"/>
  <c r="BF13" i="11"/>
  <c r="AF61" i="10"/>
  <c r="BQ61" i="11"/>
  <c r="U39" i="10"/>
  <c r="BF39" i="11"/>
  <c r="T33" i="10"/>
  <c r="BE33" i="11"/>
  <c r="I29" i="10"/>
  <c r="AT29" i="11"/>
  <c r="F72" i="10"/>
  <c r="AQ72" i="11"/>
  <c r="BM74" i="11"/>
  <c r="AB74" i="10"/>
  <c r="BP27" i="11"/>
  <c r="AE27" i="10"/>
  <c r="BA44" i="11"/>
  <c r="P44" i="10"/>
  <c r="AA43" i="10"/>
  <c r="BL43" i="11"/>
  <c r="AW23" i="11"/>
  <c r="L23" i="10"/>
  <c r="M69" i="10"/>
  <c r="AX69" i="11"/>
  <c r="BC42" i="11"/>
  <c r="R42" i="10"/>
  <c r="AX49" i="11"/>
  <c r="M49" i="10"/>
  <c r="Y43" i="10"/>
  <c r="BJ43" i="11"/>
  <c r="AQ35" i="11"/>
  <c r="F35" i="10"/>
  <c r="N34" i="10"/>
  <c r="AY34" i="11"/>
  <c r="U16" i="10"/>
  <c r="BF16" i="11"/>
  <c r="BH37" i="11"/>
  <c r="W37" i="10"/>
  <c r="T50" i="10"/>
  <c r="BE50" i="11"/>
  <c r="BS47" i="11"/>
  <c r="AH47" i="10"/>
  <c r="AH47" i="11"/>
  <c r="M38" i="10"/>
  <c r="AX38" i="11"/>
  <c r="AH69" i="10"/>
  <c r="BS69" i="11"/>
  <c r="AD16" i="10"/>
  <c r="BO16" i="11"/>
  <c r="J19" i="10"/>
  <c r="AU19" i="11"/>
  <c r="BC73" i="11"/>
  <c r="R73" i="10"/>
  <c r="U49" i="10"/>
  <c r="BF49" i="11"/>
  <c r="O50" i="10"/>
  <c r="AZ50" i="11"/>
  <c r="AQ17" i="11"/>
  <c r="F17" i="10"/>
  <c r="BD57" i="11"/>
  <c r="S57" i="10"/>
  <c r="BW59" i="11"/>
  <c r="AL59" i="10"/>
  <c r="F59" i="10"/>
  <c r="AQ59" i="11"/>
  <c r="P57" i="28"/>
  <c r="Q57" i="28" s="1"/>
  <c r="R57" i="28"/>
  <c r="R49" i="28"/>
  <c r="P49" i="28"/>
  <c r="Q49" i="28" s="1"/>
  <c r="AK60" i="10"/>
  <c r="BV60" i="11"/>
  <c r="AZ60" i="11"/>
  <c r="O60" i="10"/>
  <c r="AK41" i="10"/>
  <c r="BV41" i="11"/>
  <c r="BG41" i="11"/>
  <c r="V41" i="10"/>
  <c r="BB67" i="11"/>
  <c r="Q67" i="11"/>
  <c r="Q67" i="10"/>
  <c r="AG12" i="10"/>
  <c r="BR12" i="11"/>
  <c r="AG12" i="11"/>
  <c r="R40" i="10"/>
  <c r="BC40" i="11"/>
  <c r="T20" i="10"/>
  <c r="BE20" i="11"/>
  <c r="BN71" i="11"/>
  <c r="AC71" i="10"/>
  <c r="BQ21" i="11"/>
  <c r="AF21" i="10"/>
  <c r="BV66" i="11"/>
  <c r="AK66" i="10"/>
  <c r="AW54" i="11"/>
  <c r="L54" i="10"/>
  <c r="X13" i="10"/>
  <c r="BI13" i="11"/>
  <c r="AJ11" i="29"/>
  <c r="AB64" i="10"/>
  <c r="BM64" i="11"/>
  <c r="X64" i="10"/>
  <c r="BI64" i="11"/>
  <c r="AU64" i="11"/>
  <c r="J64" i="10"/>
  <c r="AH28" i="10"/>
  <c r="AH28" i="11"/>
  <c r="BS28" i="11"/>
  <c r="AQ28" i="11"/>
  <c r="F28" i="10"/>
  <c r="U46" i="10"/>
  <c r="BF46" i="11"/>
  <c r="T12" i="10"/>
  <c r="BE12" i="11"/>
  <c r="BQ30" i="11"/>
  <c r="AF30" i="10"/>
  <c r="BF30" i="11"/>
  <c r="U30" i="10"/>
  <c r="O18" i="10"/>
  <c r="AZ18" i="11"/>
  <c r="BP65" i="11"/>
  <c r="AE65" i="10"/>
  <c r="L65" i="10"/>
  <c r="AW65" i="11"/>
  <c r="BQ53" i="11"/>
  <c r="AF53" i="10"/>
  <c r="O53" i="10"/>
  <c r="AZ53" i="11"/>
  <c r="BM22" i="11"/>
  <c r="AB22" i="10"/>
  <c r="AB22" i="11"/>
  <c r="AW22" i="11"/>
  <c r="L22" i="10"/>
  <c r="BB54" i="11"/>
  <c r="Q54" i="10"/>
  <c r="M25" i="10"/>
  <c r="AX25" i="11"/>
  <c r="Q62" i="10"/>
  <c r="BB62" i="11"/>
  <c r="P13" i="10"/>
  <c r="BA13" i="11"/>
  <c r="BI63" i="11"/>
  <c r="X63" i="10"/>
  <c r="BK61" i="11"/>
  <c r="Z61" i="10"/>
  <c r="H61" i="10"/>
  <c r="AS61" i="11"/>
  <c r="Z39" i="10"/>
  <c r="BK39" i="11"/>
  <c r="Q39" i="10"/>
  <c r="BB39" i="11"/>
  <c r="AQ39" i="11"/>
  <c r="F39" i="10"/>
  <c r="BJ33" i="11"/>
  <c r="Y33" i="10"/>
  <c r="M72" i="10"/>
  <c r="AX72" i="11"/>
  <c r="AA70" i="10"/>
  <c r="BL70" i="11"/>
  <c r="BV51" i="11"/>
  <c r="AK51" i="10"/>
  <c r="Q51" i="10"/>
  <c r="BB51" i="11"/>
  <c r="BG74" i="11"/>
  <c r="V74" i="10"/>
  <c r="AF75" i="10"/>
  <c r="BQ75" i="11"/>
  <c r="V75" i="10"/>
  <c r="BG75" i="11"/>
  <c r="BB48" i="11"/>
  <c r="Q48" i="10"/>
  <c r="T11" i="10"/>
  <c r="BE11" i="11"/>
  <c r="BB23" i="11"/>
  <c r="Q23" i="10"/>
  <c r="AY47" i="11"/>
  <c r="N47" i="10"/>
  <c r="AB58" i="10"/>
  <c r="BM58" i="11"/>
  <c r="AE38" i="10"/>
  <c r="BP38" i="11"/>
  <c r="S19" i="10"/>
  <c r="BD19" i="11"/>
  <c r="AS73" i="11"/>
  <c r="H73" i="10"/>
  <c r="AH37" i="10"/>
  <c r="BS37" i="11"/>
  <c r="U50" i="10"/>
  <c r="BF50" i="11"/>
  <c r="BV15" i="11"/>
  <c r="AK15" i="10"/>
  <c r="O15" i="10"/>
  <c r="AZ15" i="11"/>
  <c r="AF9" i="10"/>
  <c r="BQ9" i="11"/>
  <c r="AZ9" i="11"/>
  <c r="O9" i="10"/>
  <c r="T59" i="10"/>
  <c r="BE59" i="11"/>
  <c r="W29" i="10"/>
  <c r="BH29" i="11"/>
  <c r="H29" i="10"/>
  <c r="AS29" i="11"/>
  <c r="AU70" i="11"/>
  <c r="J70" i="10"/>
  <c r="J70" i="11"/>
  <c r="AW51" i="11"/>
  <c r="L51" i="10"/>
  <c r="AZ27" i="11"/>
  <c r="O27" i="10"/>
  <c r="AE75" i="10"/>
  <c r="BP75" i="11"/>
  <c r="BJ75" i="11"/>
  <c r="Y75" i="10"/>
  <c r="BL52" i="11"/>
  <c r="AA52" i="10"/>
  <c r="AZ52" i="11"/>
  <c r="O52" i="10"/>
  <c r="BB36" i="11"/>
  <c r="Q36" i="10"/>
  <c r="AU36" i="11"/>
  <c r="J36" i="10"/>
  <c r="BR48" i="11"/>
  <c r="AG48" i="10"/>
  <c r="Y48" i="10"/>
  <c r="BJ48" i="11"/>
  <c r="AS48" i="11"/>
  <c r="H48" i="10"/>
  <c r="BR32" i="11"/>
  <c r="AG32" i="10"/>
  <c r="AB32" i="10"/>
  <c r="BM32" i="11"/>
  <c r="AU11" i="11"/>
  <c r="J11" i="10"/>
  <c r="AT43" i="11"/>
  <c r="I43" i="10"/>
  <c r="T35" i="10"/>
  <c r="BE35" i="11"/>
  <c r="AU47" i="11"/>
  <c r="J47" i="10"/>
  <c r="AX58" i="11"/>
  <c r="M58" i="10"/>
  <c r="P38" i="10"/>
  <c r="BA38" i="11"/>
  <c r="BN55" i="11"/>
  <c r="AC55" i="10"/>
  <c r="BW69" i="11"/>
  <c r="AL69" i="10"/>
  <c r="H69" i="10"/>
  <c r="AS69" i="11"/>
  <c r="L34" i="10"/>
  <c r="AW34" i="11"/>
  <c r="X42" i="10"/>
  <c r="BI42" i="11"/>
  <c r="BM16" i="11"/>
  <c r="AB16" i="10"/>
  <c r="Q45" i="10"/>
  <c r="BB45" i="11"/>
  <c r="AG49" i="10"/>
  <c r="BR49" i="11"/>
  <c r="Z26" i="10"/>
  <c r="BK26" i="11"/>
  <c r="R50" i="10"/>
  <c r="BC50" i="11"/>
  <c r="N56" i="10"/>
  <c r="AY56" i="11"/>
  <c r="BA15" i="11"/>
  <c r="P15" i="10"/>
  <c r="AC10" i="10"/>
  <c r="BN10" i="11"/>
  <c r="R10" i="10"/>
  <c r="BC10" i="11"/>
  <c r="AL8" i="10"/>
  <c r="BW8" i="11"/>
  <c r="BL8" i="11"/>
  <c r="AA8" i="10"/>
  <c r="T8" i="10"/>
  <c r="BE8" i="11"/>
  <c r="AU8" i="11"/>
  <c r="J8" i="10"/>
  <c r="AK14" i="10"/>
  <c r="BV14" i="11"/>
  <c r="BF14" i="11"/>
  <c r="U14" i="10"/>
  <c r="BS57" i="11"/>
  <c r="AH57" i="10"/>
  <c r="BA57" i="11"/>
  <c r="P57" i="10"/>
  <c r="AB17" i="10"/>
  <c r="BM17" i="11"/>
  <c r="P17" i="10"/>
  <c r="BA17" i="11"/>
  <c r="AD59" i="10"/>
  <c r="BO59" i="11"/>
  <c r="AW59" i="11"/>
  <c r="L59" i="10"/>
  <c r="BF68" i="11"/>
  <c r="U68" i="10"/>
  <c r="J24" i="26"/>
  <c r="K24" i="26" s="1"/>
  <c r="L24" i="26" s="1"/>
  <c r="N24" i="26" s="1"/>
  <c r="R37" i="26"/>
  <c r="P37" i="26"/>
  <c r="Q37" i="26" s="1"/>
  <c r="P34" i="26"/>
  <c r="Q34" i="26" s="1"/>
  <c r="R34" i="26"/>
  <c r="AS60" i="9"/>
  <c r="L60" i="10"/>
  <c r="AW60" i="11"/>
  <c r="T64" i="10"/>
  <c r="BE64" i="11"/>
  <c r="K28" i="10"/>
  <c r="AV28" i="11"/>
  <c r="BF67" i="11"/>
  <c r="U67" i="10"/>
  <c r="U67" i="11"/>
  <c r="N46" i="10"/>
  <c r="AY46" i="11"/>
  <c r="AS30" i="11"/>
  <c r="H30" i="10"/>
  <c r="AU40" i="11"/>
  <c r="J40" i="10"/>
  <c r="BJ60" i="11"/>
  <c r="Y60" i="10"/>
  <c r="F60" i="10"/>
  <c r="AQ60" i="11"/>
  <c r="F64" i="10"/>
  <c r="AQ64" i="11"/>
  <c r="T28" i="10"/>
  <c r="BE28" i="11"/>
  <c r="BR41" i="11"/>
  <c r="AG41" i="10"/>
  <c r="BE41" i="11"/>
  <c r="T41" i="10"/>
  <c r="BS30" i="11"/>
  <c r="AH30" i="10"/>
  <c r="I30" i="10"/>
  <c r="AT30" i="11"/>
  <c r="BQ40" i="11"/>
  <c r="AF40" i="10"/>
  <c r="S74" i="10"/>
  <c r="BD74" i="11"/>
  <c r="AV44" i="11"/>
  <c r="K44" i="10"/>
  <c r="BM71" i="11"/>
  <c r="AB71" i="10"/>
  <c r="Q21" i="10"/>
  <c r="BB21" i="11"/>
  <c r="U53" i="10"/>
  <c r="BF53" i="11"/>
  <c r="Y22" i="10"/>
  <c r="BJ22" i="11"/>
  <c r="AK54" i="10"/>
  <c r="BV54" i="11"/>
  <c r="BE25" i="11"/>
  <c r="T25" i="10"/>
  <c r="AU62" i="11"/>
  <c r="J62" i="10"/>
  <c r="BD13" i="11"/>
  <c r="S13" i="10"/>
  <c r="AL61" i="10"/>
  <c r="BW61" i="11"/>
  <c r="N33" i="10"/>
  <c r="AY33" i="11"/>
  <c r="BL29" i="11"/>
  <c r="AA29" i="10"/>
  <c r="AG51" i="10"/>
  <c r="BR51" i="11"/>
  <c r="AL27" i="10"/>
  <c r="BW27" i="11"/>
  <c r="AA44" i="10"/>
  <c r="BL44" i="11"/>
  <c r="O20" i="10"/>
  <c r="AZ20" i="11"/>
  <c r="AY66" i="11"/>
  <c r="N66" i="10"/>
  <c r="N18" i="10"/>
  <c r="AY18" i="11"/>
  <c r="K54" i="10"/>
  <c r="AV54" i="11"/>
  <c r="T13" i="10"/>
  <c r="BE13" i="11"/>
  <c r="BD63" i="11"/>
  <c r="S63" i="10"/>
  <c r="BN33" i="11"/>
  <c r="AC33" i="10"/>
  <c r="BE29" i="11"/>
  <c r="T29" i="10"/>
  <c r="BB71" i="11"/>
  <c r="Q71" i="10"/>
  <c r="X54" i="10"/>
  <c r="BI54" i="11"/>
  <c r="M52" i="10"/>
  <c r="AX52" i="11"/>
  <c r="BS11" i="11"/>
  <c r="AH11" i="10"/>
  <c r="AX11" i="11"/>
  <c r="M11" i="10"/>
  <c r="U43" i="10"/>
  <c r="BF43" i="11"/>
  <c r="BH35" i="11"/>
  <c r="W35" i="10"/>
  <c r="L35" i="10"/>
  <c r="AW35" i="11"/>
  <c r="Y23" i="10"/>
  <c r="BJ23" i="11"/>
  <c r="N23" i="10"/>
  <c r="AY23" i="11"/>
  <c r="BB47" i="11"/>
  <c r="Q47" i="10"/>
  <c r="S58" i="10"/>
  <c r="BD58" i="11"/>
  <c r="AA38" i="10"/>
  <c r="BL38" i="11"/>
  <c r="I55" i="10"/>
  <c r="AT55" i="11"/>
  <c r="BC69" i="11"/>
  <c r="R69" i="10"/>
  <c r="BH16" i="11"/>
  <c r="W16" i="10"/>
  <c r="AG19" i="10"/>
  <c r="BR19" i="11"/>
  <c r="BE45" i="11"/>
  <c r="T45" i="10"/>
  <c r="BK73" i="11"/>
  <c r="Z73" i="10"/>
  <c r="BG49" i="11"/>
  <c r="V49" i="10"/>
  <c r="AS49" i="11"/>
  <c r="H49" i="10"/>
  <c r="AA26" i="10"/>
  <c r="BL26" i="11"/>
  <c r="L26" i="10"/>
  <c r="AW26" i="11"/>
  <c r="BP37" i="11"/>
  <c r="AE37" i="10"/>
  <c r="I37" i="10"/>
  <c r="AT37" i="11"/>
  <c r="J50" i="10"/>
  <c r="AU50" i="11"/>
  <c r="I56" i="10"/>
  <c r="AT56" i="11"/>
  <c r="AC31" i="10"/>
  <c r="BN31" i="11"/>
  <c r="L58" i="10"/>
  <c r="AW58" i="11"/>
  <c r="AD69" i="10"/>
  <c r="BO69" i="11"/>
  <c r="W42" i="10"/>
  <c r="BH42" i="11"/>
  <c r="AS19" i="11"/>
  <c r="H19" i="10"/>
  <c r="L49" i="10"/>
  <c r="AW49" i="11"/>
  <c r="BW37" i="11"/>
  <c r="AL37" i="10"/>
  <c r="AH24" i="10"/>
  <c r="BS24" i="11"/>
  <c r="V36" i="10"/>
  <c r="BG36" i="11"/>
  <c r="H36" i="10"/>
  <c r="AS36" i="11"/>
  <c r="BG48" i="11"/>
  <c r="V48" i="10"/>
  <c r="AU48" i="11"/>
  <c r="J48" i="10"/>
  <c r="Y32" i="10"/>
  <c r="BJ32" i="11"/>
  <c r="M32" i="10"/>
  <c r="AX32" i="11"/>
  <c r="AE43" i="10"/>
  <c r="BP43" i="11"/>
  <c r="M35" i="10"/>
  <c r="AX35" i="11"/>
  <c r="BW23" i="11"/>
  <c r="AL23" i="10"/>
  <c r="BR38" i="11"/>
  <c r="AG38" i="10"/>
  <c r="AC16" i="10"/>
  <c r="BN16" i="11"/>
  <c r="AC19" i="10"/>
  <c r="BN19" i="11"/>
  <c r="AF37" i="10"/>
  <c r="BQ37" i="11"/>
  <c r="H37" i="10"/>
  <c r="AS37" i="11"/>
  <c r="Q15" i="10"/>
  <c r="BB15" i="11"/>
  <c r="BB57" i="11"/>
  <c r="Q57" i="10"/>
  <c r="AS9" i="11"/>
  <c r="H9" i="10"/>
  <c r="BS34" i="11"/>
  <c r="AH34" i="10"/>
  <c r="AQ34" i="11"/>
  <c r="F34" i="10"/>
  <c r="BE56" i="11"/>
  <c r="T56" i="10"/>
  <c r="N57" i="10"/>
  <c r="AY57" i="11"/>
  <c r="AA59" i="10"/>
  <c r="BL59" i="11"/>
  <c r="O59" i="10"/>
  <c r="AZ59" i="11"/>
  <c r="AS59" i="11"/>
  <c r="H59" i="10"/>
  <c r="AU32" i="11"/>
  <c r="J32" i="10"/>
  <c r="K38" i="10"/>
  <c r="AV38" i="11"/>
  <c r="BC34" i="11"/>
  <c r="R34" i="10"/>
  <c r="BQ42" i="11"/>
  <c r="AF42" i="10"/>
  <c r="BA73" i="11"/>
  <c r="P73" i="10"/>
  <c r="Y49" i="10"/>
  <c r="BJ49" i="11"/>
  <c r="BQ50" i="11"/>
  <c r="AF50" i="10"/>
  <c r="AX56" i="11"/>
  <c r="M56" i="10"/>
  <c r="BO15" i="11"/>
  <c r="AD15" i="10"/>
  <c r="BD15" i="11"/>
  <c r="S15" i="10"/>
  <c r="AX10" i="11"/>
  <c r="M10" i="10"/>
  <c r="AB8" i="10"/>
  <c r="BM8" i="11"/>
  <c r="AS8" i="11"/>
  <c r="H8" i="10"/>
  <c r="AA14" i="10"/>
  <c r="BL14" i="11"/>
  <c r="AH9" i="10"/>
  <c r="BS9" i="11"/>
  <c r="AG60" i="10"/>
  <c r="BR60" i="11"/>
  <c r="T60" i="10"/>
  <c r="BE60" i="11"/>
  <c r="I60" i="10"/>
  <c r="AT60" i="11"/>
  <c r="I64" i="10"/>
  <c r="AT64" i="11"/>
  <c r="AZ41" i="11"/>
  <c r="O41" i="10"/>
  <c r="J41" i="10"/>
  <c r="AU41" i="11"/>
  <c r="BO67" i="11"/>
  <c r="AD67" i="10"/>
  <c r="BA67" i="11"/>
  <c r="P67" i="10"/>
  <c r="T46" i="10"/>
  <c r="BE46" i="11"/>
  <c r="BH12" i="11"/>
  <c r="W12" i="10"/>
  <c r="Q40" i="10"/>
  <c r="BB40" i="11"/>
  <c r="BC21" i="11"/>
  <c r="R21" i="10"/>
  <c r="T66" i="10"/>
  <c r="BE66" i="11"/>
  <c r="P18" i="10"/>
  <c r="BA18" i="11"/>
  <c r="AL65" i="10"/>
  <c r="BW65" i="11"/>
  <c r="BF65" i="11"/>
  <c r="U65" i="10"/>
  <c r="AB28" i="10"/>
  <c r="BM28" i="11"/>
  <c r="BM41" i="11"/>
  <c r="AB41" i="10"/>
  <c r="BL60" i="11"/>
  <c r="AA60" i="10"/>
  <c r="AD64" i="10"/>
  <c r="BO64" i="11"/>
  <c r="BA12" i="11"/>
  <c r="P12" i="10"/>
  <c r="AQ30" i="11"/>
  <c r="F30" i="10"/>
  <c r="X71" i="10"/>
  <c r="BI71" i="11"/>
  <c r="BE18" i="11"/>
  <c r="T18" i="10"/>
  <c r="H53" i="10"/>
  <c r="AS53" i="11"/>
  <c r="BS54" i="11"/>
  <c r="AH54" i="10"/>
  <c r="R13" i="10"/>
  <c r="BC13" i="11"/>
  <c r="M33" i="10"/>
  <c r="AX33" i="11"/>
  <c r="BB29" i="11"/>
  <c r="Q29" i="10"/>
  <c r="BO70" i="11"/>
  <c r="AD70" i="10"/>
  <c r="AS70" i="11"/>
  <c r="H70" i="10"/>
  <c r="BJ27" i="11"/>
  <c r="Y27" i="10"/>
  <c r="AH66" i="10"/>
  <c r="BS66" i="11"/>
  <c r="BP22" i="11"/>
  <c r="AE22" i="10"/>
  <c r="BO54" i="11"/>
  <c r="AD54" i="10"/>
  <c r="H54" i="10"/>
  <c r="AS54" i="11"/>
  <c r="AV25" i="11"/>
  <c r="K25" i="10"/>
  <c r="V62" i="10"/>
  <c r="BG62" i="11"/>
  <c r="K63" i="10"/>
  <c r="AV63" i="11"/>
  <c r="AG61" i="10"/>
  <c r="BR61" i="11"/>
  <c r="BW39" i="11"/>
  <c r="AL39" i="10"/>
  <c r="AT39" i="11"/>
  <c r="I39" i="10"/>
  <c r="BG33" i="11"/>
  <c r="V33" i="10"/>
  <c r="AQ33" i="11"/>
  <c r="F33" i="10"/>
  <c r="BJ29" i="11"/>
  <c r="Y29" i="10"/>
  <c r="BD72" i="11"/>
  <c r="S72" i="10"/>
  <c r="L72" i="10"/>
  <c r="AW72" i="11"/>
  <c r="AX70" i="11"/>
  <c r="M70" i="10"/>
  <c r="BF51" i="11"/>
  <c r="U51" i="10"/>
  <c r="AH74" i="10"/>
  <c r="BS74" i="11"/>
  <c r="N27" i="10"/>
  <c r="AY27" i="11"/>
  <c r="BB24" i="11"/>
  <c r="Q24" i="10"/>
  <c r="AH36" i="10"/>
  <c r="BS36" i="11"/>
  <c r="S36" i="10"/>
  <c r="BD36" i="11"/>
  <c r="BI48" i="11"/>
  <c r="X48" i="10"/>
  <c r="AB11" i="10"/>
  <c r="BM11" i="11"/>
  <c r="AD35" i="10"/>
  <c r="BO35" i="11"/>
  <c r="BE38" i="11"/>
  <c r="T38" i="10"/>
  <c r="X55" i="10"/>
  <c r="BI55" i="11"/>
  <c r="AW69" i="11"/>
  <c r="L69" i="10"/>
  <c r="P16" i="10"/>
  <c r="BA16" i="11"/>
  <c r="BW19" i="11"/>
  <c r="AL19" i="10"/>
  <c r="AH73" i="10"/>
  <c r="BS73" i="11"/>
  <c r="AW73" i="11"/>
  <c r="L73" i="10"/>
  <c r="BW49" i="11"/>
  <c r="AL49" i="10"/>
  <c r="BH50" i="11"/>
  <c r="W50" i="10"/>
  <c r="BF56" i="11"/>
  <c r="U56" i="10"/>
  <c r="AV10" i="11"/>
  <c r="K10" i="10"/>
  <c r="AL14" i="10"/>
  <c r="BW14" i="11"/>
  <c r="AX57" i="11"/>
  <c r="M57" i="10"/>
  <c r="W17" i="10"/>
  <c r="BH17" i="11"/>
  <c r="BP68" i="11"/>
  <c r="AE68" i="10"/>
  <c r="AC22" i="10"/>
  <c r="BN22" i="11"/>
  <c r="H63" i="10"/>
  <c r="AS63" i="11"/>
  <c r="BC48" i="11"/>
  <c r="R48" i="10"/>
  <c r="BP42" i="11"/>
  <c r="AE42" i="10"/>
  <c r="AV73" i="11"/>
  <c r="K73" i="10"/>
  <c r="AB50" i="10"/>
  <c r="BM50" i="11"/>
  <c r="AE57" i="10"/>
  <c r="BP57" i="11"/>
  <c r="BH59" i="11"/>
  <c r="W59" i="10"/>
  <c r="N35" i="10"/>
  <c r="AY35" i="11"/>
  <c r="BG42" i="11"/>
  <c r="V42" i="10"/>
  <c r="F16" i="10"/>
  <c r="AQ16" i="11"/>
  <c r="BJ73" i="11"/>
  <c r="Y73" i="10"/>
  <c r="AC8" i="10"/>
  <c r="BN8" i="11"/>
  <c r="AY52" i="11"/>
  <c r="N52" i="10"/>
  <c r="F52" i="10"/>
  <c r="AQ52" i="11"/>
  <c r="BF36" i="11"/>
  <c r="U36" i="10"/>
  <c r="I48" i="10"/>
  <c r="AT48" i="11"/>
  <c r="BJ11" i="11"/>
  <c r="Y11" i="10"/>
  <c r="BR23" i="11"/>
  <c r="AG23" i="10"/>
  <c r="AV47" i="11"/>
  <c r="K47" i="10"/>
  <c r="F58" i="10"/>
  <c r="AQ58" i="11"/>
  <c r="Q55" i="10"/>
  <c r="BB55" i="11"/>
  <c r="F55" i="10"/>
  <c r="AQ55" i="11"/>
  <c r="AZ69" i="11"/>
  <c r="O69" i="10"/>
  <c r="BA19" i="11"/>
  <c r="P19" i="10"/>
  <c r="AA45" i="10"/>
  <c r="BL45" i="11"/>
  <c r="BQ73" i="11"/>
  <c r="AF73" i="10"/>
  <c r="BV49" i="11"/>
  <c r="AK49" i="10"/>
  <c r="BS26" i="11"/>
  <c r="AH26" i="10"/>
  <c r="BJ50" i="11"/>
  <c r="Y50" i="10"/>
  <c r="BL56" i="11"/>
  <c r="AA56" i="10"/>
  <c r="BP15" i="11"/>
  <c r="AE15" i="10"/>
  <c r="AD10" i="10"/>
  <c r="BO10" i="11"/>
  <c r="BJ14" i="11"/>
  <c r="Y14" i="10"/>
  <c r="V57" i="10"/>
  <c r="BG57" i="11"/>
  <c r="K17" i="10"/>
  <c r="AV17" i="11"/>
  <c r="AB68" i="10"/>
  <c r="BM68" i="11"/>
  <c r="K68" i="10"/>
  <c r="AV68" i="11"/>
  <c r="BW12" i="11"/>
  <c r="AL12" i="10"/>
  <c r="AU53" i="11"/>
  <c r="J53" i="10"/>
  <c r="I25" i="10"/>
  <c r="AT25" i="11"/>
  <c r="BF63" i="11"/>
  <c r="U63" i="10"/>
  <c r="BH32" i="11"/>
  <c r="W32" i="10"/>
  <c r="AT10" i="11"/>
  <c r="I10" i="10"/>
  <c r="AT14" i="11"/>
  <c r="I14" i="10"/>
  <c r="AD68" i="10"/>
  <c r="BO68" i="11"/>
  <c r="BG60" i="11"/>
  <c r="V60" i="10"/>
  <c r="AA12" i="10"/>
  <c r="BL12" i="11"/>
  <c r="AY12" i="11"/>
  <c r="N12" i="10"/>
  <c r="BF20" i="11"/>
  <c r="U20" i="10"/>
  <c r="BP21" i="11"/>
  <c r="AE21" i="10"/>
  <c r="R66" i="10"/>
  <c r="BC66" i="11"/>
  <c r="X18" i="10"/>
  <c r="BI18" i="11"/>
  <c r="BK53" i="11"/>
  <c r="Z53" i="10"/>
  <c r="AQ54" i="11"/>
  <c r="F54" i="10"/>
  <c r="Z70" i="10"/>
  <c r="BK70" i="11"/>
  <c r="BM75" i="11"/>
  <c r="AB75" i="10"/>
  <c r="Z36" i="10"/>
  <c r="BK36" i="11"/>
  <c r="V32" i="10"/>
  <c r="BG32" i="11"/>
  <c r="BR47" i="11"/>
  <c r="AG47" i="10"/>
  <c r="BP58" i="11"/>
  <c r="AE58" i="10"/>
  <c r="AB26" i="10"/>
  <c r="BM26" i="11"/>
  <c r="AQ56" i="11"/>
  <c r="F56" i="10"/>
  <c r="AZ31" i="11"/>
  <c r="O31" i="10"/>
  <c r="Z8" i="10"/>
  <c r="BK8" i="11"/>
  <c r="AY60" i="11"/>
  <c r="N60" i="10"/>
  <c r="BD60" i="11"/>
  <c r="S60" i="10"/>
  <c r="BN46" i="11"/>
  <c r="AC46" i="10"/>
  <c r="AK12" i="10"/>
  <c r="BV12" i="11"/>
  <c r="L71" i="10"/>
  <c r="AW71" i="11"/>
  <c r="AQ65" i="11"/>
  <c r="F65" i="10"/>
  <c r="V22" i="10"/>
  <c r="BG22" i="11"/>
  <c r="AB13" i="10"/>
  <c r="BM13" i="11"/>
  <c r="AG39" i="10"/>
  <c r="BR39" i="11"/>
  <c r="AH33" i="10"/>
  <c r="BS33" i="11"/>
  <c r="BG29" i="11"/>
  <c r="V29" i="10"/>
  <c r="BC51" i="11"/>
  <c r="R51" i="10"/>
  <c r="AV74" i="11"/>
  <c r="K74" i="10"/>
  <c r="BC75" i="11"/>
  <c r="R75" i="10"/>
  <c r="BJ52" i="11"/>
  <c r="Y52" i="10"/>
  <c r="BR24" i="11"/>
  <c r="AG24" i="10"/>
  <c r="BH24" i="11"/>
  <c r="W24" i="10"/>
  <c r="AG36" i="10"/>
  <c r="BR36" i="11"/>
  <c r="AA48" i="10"/>
  <c r="BL48" i="11"/>
  <c r="AC11" i="10"/>
  <c r="BN11" i="11"/>
  <c r="S43" i="10"/>
  <c r="BD43" i="11"/>
  <c r="AF46" i="10"/>
  <c r="BQ46" i="11"/>
  <c r="BM30" i="11"/>
  <c r="AB30" i="10"/>
  <c r="V71" i="10"/>
  <c r="BG71" i="11"/>
  <c r="BR21" i="11"/>
  <c r="AG21" i="10"/>
  <c r="T21" i="10"/>
  <c r="BE21" i="11"/>
  <c r="AU18" i="11"/>
  <c r="J18" i="10"/>
  <c r="BO25" i="11"/>
  <c r="AD25" i="10"/>
  <c r="W33" i="10"/>
  <c r="BH33" i="11"/>
  <c r="AS44" i="11"/>
  <c r="H44" i="10"/>
  <c r="BV52" i="11"/>
  <c r="AK52" i="10"/>
  <c r="BA52" i="11"/>
  <c r="P52" i="10"/>
  <c r="BO11" i="11"/>
  <c r="AD11" i="10"/>
  <c r="AW11" i="11"/>
  <c r="L11" i="10"/>
  <c r="BN23" i="11"/>
  <c r="AC23" i="10"/>
  <c r="AF16" i="10"/>
  <c r="BQ16" i="11"/>
  <c r="BM19" i="11"/>
  <c r="AB19" i="10"/>
  <c r="AZ73" i="11"/>
  <c r="O73" i="10"/>
  <c r="BV37" i="11"/>
  <c r="AK37" i="10"/>
  <c r="BQ10" i="11"/>
  <c r="AF10" i="10"/>
  <c r="K14" i="10"/>
  <c r="AV14" i="11"/>
  <c r="BK9" i="11"/>
  <c r="Z9" i="10"/>
  <c r="L38" i="10"/>
  <c r="AW38" i="11"/>
  <c r="M45" i="10"/>
  <c r="AX45" i="11"/>
  <c r="BB73" i="11"/>
  <c r="Q73" i="10"/>
  <c r="BR31" i="11"/>
  <c r="AG31" i="10"/>
  <c r="AG31" i="11"/>
  <c r="BG10" i="11"/>
  <c r="V10" i="10"/>
  <c r="M15" i="10"/>
  <c r="AX15" i="11"/>
  <c r="J34" i="10"/>
  <c r="AU34" i="11"/>
  <c r="U31" i="10"/>
  <c r="BF31" i="11"/>
  <c r="P62" i="10"/>
  <c r="BA62" i="11"/>
  <c r="AE70" i="10"/>
  <c r="BP70" i="11"/>
  <c r="BA35" i="11"/>
  <c r="P35" i="10"/>
  <c r="BL69" i="11"/>
  <c r="AA69" i="10"/>
  <c r="BI19" i="11"/>
  <c r="X19" i="10"/>
  <c r="BO50" i="11"/>
  <c r="AD50" i="10"/>
  <c r="P31" i="10"/>
  <c r="BA31" i="11"/>
  <c r="F67" i="10"/>
  <c r="AQ67" i="11"/>
  <c r="BW24" i="11"/>
  <c r="AL24" i="10"/>
  <c r="T34" i="10"/>
  <c r="T34" i="11"/>
  <c r="BE34" i="11"/>
  <c r="V19" i="10"/>
  <c r="BG19" i="11"/>
  <c r="AX66" i="11"/>
  <c r="M66" i="10"/>
  <c r="BM72" i="11"/>
  <c r="AB72" i="10"/>
  <c r="AG70" i="11"/>
  <c r="BR70" i="11"/>
  <c r="AG70" i="10"/>
  <c r="N48" i="10"/>
  <c r="AY48" i="11"/>
  <c r="Z45" i="10"/>
  <c r="BK45" i="11"/>
  <c r="AH31" i="10"/>
  <c r="BS31" i="11"/>
  <c r="O65" i="10"/>
  <c r="AZ65" i="11"/>
  <c r="Q56" i="10"/>
  <c r="BB56" i="11"/>
  <c r="AZ57" i="11"/>
  <c r="O57" i="10"/>
  <c r="BI23" i="11"/>
  <c r="X23" i="10"/>
  <c r="BV63" i="11"/>
  <c r="AK63" i="10"/>
  <c r="BJ41" i="11"/>
  <c r="Y41" i="10"/>
  <c r="BP12" i="11"/>
  <c r="AE12" i="10"/>
  <c r="Q53" i="10"/>
  <c r="BB53" i="11"/>
  <c r="AY25" i="11"/>
  <c r="N25" i="10"/>
  <c r="AK32" i="10"/>
  <c r="BV32" i="11"/>
  <c r="BD16" i="11"/>
  <c r="S16" i="10"/>
  <c r="BO49" i="11"/>
  <c r="AD49" i="10"/>
  <c r="BB9" i="11"/>
  <c r="Q9" i="10"/>
  <c r="AL44" i="10"/>
  <c r="AY44" i="11"/>
  <c r="N44" i="10"/>
  <c r="BG37" i="11"/>
  <c r="V37" i="10"/>
  <c r="BI17" i="11"/>
  <c r="X17" i="10"/>
  <c r="AS74" i="11"/>
  <c r="H74" i="10"/>
  <c r="BJ45" i="11"/>
  <c r="Y45" i="10"/>
  <c r="BV28" i="11"/>
  <c r="AK28" i="10"/>
  <c r="BJ24" i="11"/>
  <c r="Y24" i="10"/>
  <c r="BR66" i="11"/>
  <c r="AG66" i="10"/>
  <c r="AY63" i="11"/>
  <c r="N63" i="10"/>
  <c r="AA39" i="10"/>
  <c r="BL39" i="11"/>
  <c r="AC74" i="10"/>
  <c r="BN74" i="11"/>
  <c r="Q35" i="10"/>
  <c r="BB35" i="11"/>
  <c r="BQ58" i="11"/>
  <c r="AF58" i="10"/>
  <c r="Q69" i="10"/>
  <c r="BB69" i="11"/>
  <c r="AF26" i="11"/>
  <c r="BQ26" i="11"/>
  <c r="AF26" i="10"/>
  <c r="BC26" i="11"/>
  <c r="R26" i="10"/>
  <c r="V69" i="10"/>
  <c r="BG69" i="11"/>
  <c r="Y35" i="10"/>
  <c r="BJ35" i="11"/>
  <c r="W11" i="10"/>
  <c r="BH11" i="11"/>
  <c r="H24" i="10"/>
  <c r="AS24" i="11"/>
  <c r="BE27" i="11"/>
  <c r="T27" i="10"/>
  <c r="T27" i="11"/>
  <c r="BS70" i="11"/>
  <c r="AH70" i="10"/>
  <c r="M62" i="10"/>
  <c r="AX62" i="11"/>
  <c r="AA22" i="10"/>
  <c r="BL22" i="11"/>
  <c r="AQ40" i="11"/>
  <c r="F40" i="10"/>
  <c r="BW40" i="11"/>
  <c r="AL40" i="10"/>
  <c r="W30" i="10"/>
  <c r="BH30" i="11"/>
  <c r="Z12" i="10"/>
  <c r="BK12" i="11"/>
  <c r="AQ41" i="11"/>
  <c r="F41" i="10"/>
  <c r="BT23" i="11"/>
  <c r="AI23" i="10"/>
  <c r="AJ11" i="10"/>
  <c r="BU11" i="11"/>
  <c r="BU16" i="11"/>
  <c r="AJ16" i="10"/>
  <c r="BU21" i="11"/>
  <c r="AJ21" i="10"/>
  <c r="BU27" i="11"/>
  <c r="AJ27" i="10"/>
  <c r="BU32" i="11"/>
  <c r="AJ32" i="10"/>
  <c r="BU37" i="11"/>
  <c r="AJ37" i="10"/>
  <c r="BU43" i="11"/>
  <c r="AJ43" i="10"/>
  <c r="AJ48" i="10"/>
  <c r="BU48" i="11"/>
  <c r="AJ53" i="10"/>
  <c r="BU53" i="11"/>
  <c r="BU59" i="11"/>
  <c r="AJ59" i="10"/>
  <c r="BU64" i="11"/>
  <c r="AJ64" i="10"/>
  <c r="AJ69" i="10"/>
  <c r="BU69" i="11"/>
  <c r="AJ75" i="10"/>
  <c r="BU75" i="11"/>
  <c r="AJ75" i="11"/>
  <c r="AI11" i="10"/>
  <c r="BT11" i="11"/>
  <c r="AI18" i="10"/>
  <c r="BT18" i="11"/>
  <c r="AI28" i="10"/>
  <c r="BT28" i="11"/>
  <c r="AI34" i="10"/>
  <c r="BT34" i="11"/>
  <c r="BT43" i="11"/>
  <c r="AI43" i="10"/>
  <c r="BT48" i="11"/>
  <c r="AI48" i="10"/>
  <c r="BT54" i="11"/>
  <c r="AI54" i="10"/>
  <c r="BT59" i="11"/>
  <c r="AI59" i="10"/>
  <c r="BT64" i="11"/>
  <c r="AI64" i="10"/>
  <c r="BT70" i="11"/>
  <c r="AI70" i="10"/>
  <c r="BT75" i="11"/>
  <c r="AI75" i="10"/>
  <c r="L8" i="16"/>
  <c r="AS48" i="9"/>
  <c r="AS39" i="9"/>
  <c r="P67" i="28"/>
  <c r="Q67" i="28" s="1"/>
  <c r="R67" i="28"/>
  <c r="R51" i="27"/>
  <c r="P51" i="27"/>
  <c r="Q51" i="27" s="1"/>
  <c r="P30" i="27"/>
  <c r="Q30" i="27" s="1"/>
  <c r="R30" i="27"/>
  <c r="P10" i="27"/>
  <c r="Q10" i="27" s="1"/>
  <c r="R10" i="27"/>
  <c r="P40" i="28"/>
  <c r="Q40" i="28" s="1"/>
  <c r="R40" i="28"/>
  <c r="R49" i="26"/>
  <c r="P49" i="26"/>
  <c r="Q49" i="26" s="1"/>
  <c r="R66" i="26"/>
  <c r="P66" i="26"/>
  <c r="Q66" i="26" s="1"/>
  <c r="R28" i="26"/>
  <c r="P28" i="26"/>
  <c r="Q28" i="26" s="1"/>
  <c r="P53" i="28"/>
  <c r="Q53" i="28" s="1"/>
  <c r="R53" i="28"/>
  <c r="R36" i="28"/>
  <c r="P36" i="28"/>
  <c r="Q36" i="28" s="1"/>
  <c r="P56" i="26"/>
  <c r="Q56" i="26" s="1"/>
  <c r="R56" i="26"/>
  <c r="P41" i="27"/>
  <c r="Q41" i="27" s="1"/>
  <c r="R41" i="27"/>
  <c r="M12" i="29"/>
  <c r="AS55" i="9"/>
  <c r="BL41" i="11"/>
  <c r="AA41" i="10"/>
  <c r="AW46" i="11"/>
  <c r="L46" i="10"/>
  <c r="F12" i="10"/>
  <c r="AQ12" i="11"/>
  <c r="AL41" i="10"/>
  <c r="BW41" i="11"/>
  <c r="AS41" i="11"/>
  <c r="H41" i="10"/>
  <c r="U71" i="10"/>
  <c r="BF71" i="11"/>
  <c r="AW53" i="11"/>
  <c r="L53" i="10"/>
  <c r="F62" i="10"/>
  <c r="AQ62" i="11"/>
  <c r="O29" i="10"/>
  <c r="AZ29" i="11"/>
  <c r="AX74" i="11"/>
  <c r="M74" i="10"/>
  <c r="AQ27" i="11"/>
  <c r="F27" i="10"/>
  <c r="AU44" i="11"/>
  <c r="J44" i="10"/>
  <c r="AZ21" i="11"/>
  <c r="O21" i="10"/>
  <c r="BK25" i="11"/>
  <c r="Z25" i="10"/>
  <c r="AZ62" i="11"/>
  <c r="O62" i="10"/>
  <c r="O62" i="11"/>
  <c r="M13" i="10"/>
  <c r="AX13" i="11"/>
  <c r="M63" i="10"/>
  <c r="AX63" i="11"/>
  <c r="BE61" i="11"/>
  <c r="T61" i="10"/>
  <c r="AH72" i="10"/>
  <c r="BS72" i="11"/>
  <c r="BH74" i="11"/>
  <c r="W74" i="10"/>
  <c r="BI27" i="11"/>
  <c r="X27" i="10"/>
  <c r="BC38" i="11"/>
  <c r="R38" i="10"/>
  <c r="AC34" i="10"/>
  <c r="BN34" i="11"/>
  <c r="AE26" i="10"/>
  <c r="BP26" i="11"/>
  <c r="AK23" i="10"/>
  <c r="BV23" i="11"/>
  <c r="S38" i="10"/>
  <c r="BD38" i="11"/>
  <c r="AB42" i="10"/>
  <c r="BM42" i="11"/>
  <c r="AL45" i="10"/>
  <c r="BW45" i="11"/>
  <c r="AV49" i="11"/>
  <c r="K49" i="10"/>
  <c r="K37" i="10"/>
  <c r="AV37" i="11"/>
  <c r="BD32" i="11"/>
  <c r="S32" i="10"/>
  <c r="AH43" i="10"/>
  <c r="BS43" i="11"/>
  <c r="V47" i="10"/>
  <c r="BG47" i="11"/>
  <c r="AK55" i="10"/>
  <c r="BV55" i="11"/>
  <c r="BJ19" i="11"/>
  <c r="Y19" i="10"/>
  <c r="AQ49" i="11"/>
  <c r="F49" i="10"/>
  <c r="BB37" i="11"/>
  <c r="Q37" i="10"/>
  <c r="BQ56" i="11"/>
  <c r="AF56" i="10"/>
  <c r="BS17" i="11"/>
  <c r="AH17" i="10"/>
  <c r="AC59" i="10"/>
  <c r="BN59" i="11"/>
  <c r="BP60" i="11"/>
  <c r="AE60" i="10"/>
  <c r="AE41" i="10"/>
  <c r="BP41" i="11"/>
  <c r="S41" i="10"/>
  <c r="BD41" i="11"/>
  <c r="I41" i="10"/>
  <c r="AT41" i="11"/>
  <c r="BJ67" i="11"/>
  <c r="Y67" i="10"/>
  <c r="AZ40" i="11"/>
  <c r="O40" i="10"/>
  <c r="K20" i="10"/>
  <c r="AV20" i="11"/>
  <c r="BL71" i="11"/>
  <c r="AA71" i="10"/>
  <c r="BK21" i="11"/>
  <c r="Z21" i="10"/>
  <c r="V66" i="10"/>
  <c r="BG66" i="11"/>
  <c r="AF54" i="10"/>
  <c r="BQ54" i="11"/>
  <c r="I13" i="10"/>
  <c r="AT13" i="11"/>
  <c r="P64" i="28"/>
  <c r="Q64" i="28" s="1"/>
  <c r="R64" i="28"/>
  <c r="BD64" i="11"/>
  <c r="S64" i="10"/>
  <c r="BO28" i="11"/>
  <c r="AD28" i="10"/>
  <c r="BJ30" i="11"/>
  <c r="Y30" i="10"/>
  <c r="AY30" i="11"/>
  <c r="N30" i="10"/>
  <c r="H18" i="10"/>
  <c r="AS18" i="11"/>
  <c r="BE65" i="11"/>
  <c r="T65" i="10"/>
  <c r="J65" i="10"/>
  <c r="AU65" i="11"/>
  <c r="X53" i="10"/>
  <c r="BI53" i="11"/>
  <c r="AT53" i="11"/>
  <c r="I53" i="10"/>
  <c r="BH22" i="11"/>
  <c r="W22" i="10"/>
  <c r="AS22" i="11"/>
  <c r="H22" i="10"/>
  <c r="AX54" i="11"/>
  <c r="M54" i="10"/>
  <c r="AS25" i="11"/>
  <c r="H25" i="10"/>
  <c r="AV62" i="11"/>
  <c r="K62" i="10"/>
  <c r="BB63" i="11"/>
  <c r="Q63" i="10"/>
  <c r="BV61" i="11"/>
  <c r="AK61" i="10"/>
  <c r="AY61" i="11"/>
  <c r="N61" i="10"/>
  <c r="BS39" i="11"/>
  <c r="AH39" i="10"/>
  <c r="O39" i="10"/>
  <c r="AZ39" i="11"/>
  <c r="P33" i="10"/>
  <c r="BA33" i="11"/>
  <c r="AC72" i="10"/>
  <c r="BN72" i="11"/>
  <c r="R72" i="10"/>
  <c r="BC72" i="11"/>
  <c r="BW70" i="11"/>
  <c r="AL70" i="10"/>
  <c r="P70" i="10"/>
  <c r="BA70" i="11"/>
  <c r="AQ51" i="11"/>
  <c r="F51" i="10"/>
  <c r="AW74" i="11"/>
  <c r="L74" i="10"/>
  <c r="BM27" i="11"/>
  <c r="AB27" i="10"/>
  <c r="AK75" i="10"/>
  <c r="BV75" i="11"/>
  <c r="AY32" i="11"/>
  <c r="N32" i="10"/>
  <c r="R11" i="10"/>
  <c r="BC11" i="11"/>
  <c r="T43" i="10"/>
  <c r="BE43" i="11"/>
  <c r="AZ35" i="11"/>
  <c r="O35" i="10"/>
  <c r="AZ23" i="11"/>
  <c r="O23" i="10"/>
  <c r="T47" i="10"/>
  <c r="BE47" i="11"/>
  <c r="Q58" i="10"/>
  <c r="BB58" i="11"/>
  <c r="BJ38" i="11"/>
  <c r="Y38" i="10"/>
  <c r="H38" i="10"/>
  <c r="AS38" i="11"/>
  <c r="BC55" i="11"/>
  <c r="R55" i="10"/>
  <c r="BB19" i="11"/>
  <c r="Q19" i="10"/>
  <c r="BQ31" i="11"/>
  <c r="AF31" i="10"/>
  <c r="T31" i="10"/>
  <c r="BE31" i="11"/>
  <c r="BM15" i="11"/>
  <c r="AB15" i="10"/>
  <c r="BM9" i="11"/>
  <c r="AB9" i="10"/>
  <c r="AX59" i="11"/>
  <c r="M59" i="10"/>
  <c r="AE51" i="10"/>
  <c r="BP51" i="11"/>
  <c r="BW74" i="11"/>
  <c r="AL74" i="10"/>
  <c r="AC75" i="10"/>
  <c r="BN75" i="11"/>
  <c r="N75" i="10"/>
  <c r="AY75" i="11"/>
  <c r="BQ52" i="11"/>
  <c r="AF52" i="10"/>
  <c r="X52" i="10"/>
  <c r="BI52" i="11"/>
  <c r="AS52" i="11"/>
  <c r="H52" i="10"/>
  <c r="AY36" i="11"/>
  <c r="N36" i="10"/>
  <c r="AT36" i="11"/>
  <c r="I36" i="10"/>
  <c r="AQ48" i="11"/>
  <c r="F48" i="10"/>
  <c r="BQ32" i="11"/>
  <c r="AF32" i="10"/>
  <c r="Z32" i="10"/>
  <c r="BK32" i="11"/>
  <c r="AG11" i="10"/>
  <c r="BR11" i="11"/>
  <c r="I11" i="10"/>
  <c r="AT11" i="11"/>
  <c r="P23" i="10"/>
  <c r="BA23" i="11"/>
  <c r="Z55" i="10"/>
  <c r="BK55" i="11"/>
  <c r="AG69" i="10"/>
  <c r="BR69" i="11"/>
  <c r="T69" i="10"/>
  <c r="BE69" i="11"/>
  <c r="AW42" i="11"/>
  <c r="L42" i="10"/>
  <c r="M16" i="10"/>
  <c r="AX16" i="11"/>
  <c r="N45" i="10"/>
  <c r="AY45" i="11"/>
  <c r="AG73" i="10"/>
  <c r="BR73" i="11"/>
  <c r="AY73" i="11"/>
  <c r="N73" i="10"/>
  <c r="AT26" i="11"/>
  <c r="I26" i="10"/>
  <c r="S37" i="10"/>
  <c r="BD37" i="11"/>
  <c r="BN56" i="11"/>
  <c r="AC56" i="10"/>
  <c r="BG56" i="11"/>
  <c r="V56" i="10"/>
  <c r="I15" i="10"/>
  <c r="AT15" i="11"/>
  <c r="AA10" i="10"/>
  <c r="BL10" i="11"/>
  <c r="BA10" i="11"/>
  <c r="P10" i="10"/>
  <c r="BP14" i="11"/>
  <c r="AE14" i="10"/>
  <c r="AZ14" i="11"/>
  <c r="O14" i="10"/>
  <c r="AQ57" i="11"/>
  <c r="F57" i="10"/>
  <c r="BJ17" i="11"/>
  <c r="Y17" i="10"/>
  <c r="L17" i="10"/>
  <c r="AW17" i="11"/>
  <c r="BL9" i="11"/>
  <c r="AA9" i="10"/>
  <c r="P48" i="28"/>
  <c r="Q48" i="28" s="1"/>
  <c r="R48" i="28"/>
  <c r="BR64" i="11"/>
  <c r="AG64" i="10"/>
  <c r="BA64" i="11"/>
  <c r="P64" i="10"/>
  <c r="W41" i="10"/>
  <c r="BH41" i="11"/>
  <c r="O67" i="10"/>
  <c r="AZ67" i="11"/>
  <c r="AG46" i="10"/>
  <c r="BR46" i="11"/>
  <c r="AG46" i="11"/>
  <c r="AV46" i="11"/>
  <c r="K46" i="10"/>
  <c r="AD30" i="10"/>
  <c r="BO30" i="11"/>
  <c r="AS66" i="9"/>
  <c r="BF60" i="11"/>
  <c r="U60" i="10"/>
  <c r="BS64" i="11"/>
  <c r="AH64" i="10"/>
  <c r="BF64" i="11"/>
  <c r="U64" i="10"/>
  <c r="BW28" i="11"/>
  <c r="AL28" i="10"/>
  <c r="V67" i="10"/>
  <c r="BG67" i="11"/>
  <c r="AF12" i="10"/>
  <c r="BQ12" i="11"/>
  <c r="K40" i="10"/>
  <c r="AV40" i="11"/>
  <c r="F20" i="10"/>
  <c r="AQ20" i="11"/>
  <c r="BA61" i="11"/>
  <c r="P61" i="10"/>
  <c r="BA72" i="11"/>
  <c r="P72" i="10"/>
  <c r="T51" i="10"/>
  <c r="BE51" i="11"/>
  <c r="BA71" i="11"/>
  <c r="P71" i="10"/>
  <c r="Y66" i="10"/>
  <c r="BJ66" i="11"/>
  <c r="AC18" i="10"/>
  <c r="BN18" i="11"/>
  <c r="I65" i="10"/>
  <c r="AT65" i="11"/>
  <c r="AX22" i="11"/>
  <c r="M22" i="10"/>
  <c r="AB54" i="10"/>
  <c r="BM54" i="11"/>
  <c r="J25" i="10"/>
  <c r="AU25" i="11"/>
  <c r="BV13" i="11"/>
  <c r="AK13" i="10"/>
  <c r="AZ13" i="11"/>
  <c r="O13" i="10"/>
  <c r="V63" i="10"/>
  <c r="BG63" i="11"/>
  <c r="BM61" i="11"/>
  <c r="AB61" i="10"/>
  <c r="AL72" i="10"/>
  <c r="BW72" i="11"/>
  <c r="AD72" i="10"/>
  <c r="BO72" i="11"/>
  <c r="Y51" i="10"/>
  <c r="BJ51" i="11"/>
  <c r="R27" i="10"/>
  <c r="BC27" i="11"/>
  <c r="BI44" i="11"/>
  <c r="X44" i="10"/>
  <c r="BD75" i="11"/>
  <c r="S75" i="10"/>
  <c r="M75" i="10"/>
  <c r="AX75" i="11"/>
  <c r="AF71" i="10"/>
  <c r="BQ71" i="11"/>
  <c r="AS71" i="11"/>
  <c r="H71" i="11"/>
  <c r="H71" i="10"/>
  <c r="AX65" i="11"/>
  <c r="M65" i="10"/>
  <c r="BA53" i="11"/>
  <c r="P53" i="10"/>
  <c r="X62" i="10"/>
  <c r="BI62" i="11"/>
  <c r="AH63" i="10"/>
  <c r="BS63" i="11"/>
  <c r="AH63" i="11"/>
  <c r="I61" i="10"/>
  <c r="AT61" i="11"/>
  <c r="R39" i="10"/>
  <c r="BC39" i="11"/>
  <c r="K33" i="10"/>
  <c r="AV33" i="11"/>
  <c r="R70" i="10"/>
  <c r="BC70" i="11"/>
  <c r="AH44" i="10"/>
  <c r="BS44" i="11"/>
  <c r="BR75" i="11"/>
  <c r="AG75" i="10"/>
  <c r="W54" i="10"/>
  <c r="BH54" i="11"/>
  <c r="BB25" i="11"/>
  <c r="Q25" i="10"/>
  <c r="BQ51" i="11"/>
  <c r="AF51" i="10"/>
  <c r="K52" i="10"/>
  <c r="AV52" i="11"/>
  <c r="T36" i="10"/>
  <c r="BE36" i="11"/>
  <c r="AZ32" i="11"/>
  <c r="O32" i="10"/>
  <c r="AF11" i="10"/>
  <c r="BC43" i="11"/>
  <c r="R43" i="10"/>
  <c r="BG35" i="11"/>
  <c r="V35" i="10"/>
  <c r="AV35" i="11"/>
  <c r="K35" i="10"/>
  <c r="BL23" i="11"/>
  <c r="AA23" i="10"/>
  <c r="M23" i="10"/>
  <c r="N58" i="10"/>
  <c r="AY58" i="11"/>
  <c r="X38" i="10"/>
  <c r="Y55" i="10"/>
  <c r="K69" i="10"/>
  <c r="AV69" i="11"/>
  <c r="V34" i="10"/>
  <c r="BG34" i="11"/>
  <c r="Y42" i="10"/>
  <c r="BJ42" i="11"/>
  <c r="BE16" i="11"/>
  <c r="T16" i="10"/>
  <c r="Z19" i="10"/>
  <c r="BK19" i="11"/>
  <c r="S45" i="10"/>
  <c r="L45" i="10"/>
  <c r="BH49" i="11"/>
  <c r="W49" i="10"/>
  <c r="X26" i="10"/>
  <c r="BI26" i="11"/>
  <c r="Z37" i="10"/>
  <c r="BK37" i="11"/>
  <c r="AE50" i="10"/>
  <c r="BP50" i="11"/>
  <c r="BW56" i="11"/>
  <c r="AL56" i="10"/>
  <c r="W56" i="10"/>
  <c r="BH56" i="11"/>
  <c r="AG15" i="10"/>
  <c r="BR15" i="11"/>
  <c r="BI47" i="11"/>
  <c r="X47" i="10"/>
  <c r="I58" i="10"/>
  <c r="AT58" i="11"/>
  <c r="BD69" i="11"/>
  <c r="S69" i="10"/>
  <c r="BB42" i="11"/>
  <c r="Q42" i="10"/>
  <c r="AG16" i="10"/>
  <c r="BP49" i="11"/>
  <c r="AE49" i="10"/>
  <c r="BI37" i="11"/>
  <c r="X37" i="10"/>
  <c r="AG52" i="10"/>
  <c r="M36" i="10"/>
  <c r="U48" i="10"/>
  <c r="BF48" i="11"/>
  <c r="AX48" i="11"/>
  <c r="M48" i="10"/>
  <c r="H11" i="10"/>
  <c r="P43" i="10"/>
  <c r="BA43" i="11"/>
  <c r="AK35" i="10"/>
  <c r="X35" i="10"/>
  <c r="BI35" i="11"/>
  <c r="AS35" i="11"/>
  <c r="H35" i="10"/>
  <c r="BG23" i="11"/>
  <c r="V23" i="10"/>
  <c r="AZ38" i="11"/>
  <c r="O38" i="10"/>
  <c r="U45" i="10"/>
  <c r="BF45" i="11"/>
  <c r="N37" i="10"/>
  <c r="AY37" i="11"/>
  <c r="F37" i="10"/>
  <c r="BO56" i="11"/>
  <c r="AD56" i="10"/>
  <c r="AS15" i="11"/>
  <c r="H15" i="10"/>
  <c r="AD8" i="10"/>
  <c r="BO8" i="11"/>
  <c r="AA57" i="10"/>
  <c r="BL57" i="11"/>
  <c r="X34" i="10"/>
  <c r="AA42" i="10"/>
  <c r="BL42" i="11"/>
  <c r="BB26" i="11"/>
  <c r="Q26" i="10"/>
  <c r="H10" i="10"/>
  <c r="AS10" i="11"/>
  <c r="U8" i="10"/>
  <c r="BF8" i="11"/>
  <c r="J14" i="10"/>
  <c r="AH59" i="10"/>
  <c r="BS59" i="11"/>
  <c r="AY59" i="11"/>
  <c r="N59" i="10"/>
  <c r="S34" i="10"/>
  <c r="BD34" i="11"/>
  <c r="BP45" i="11"/>
  <c r="AE45" i="10"/>
  <c r="L50" i="10"/>
  <c r="AW50" i="11"/>
  <c r="O56" i="10"/>
  <c r="AZ56" i="11"/>
  <c r="BN15" i="11"/>
  <c r="AC15" i="10"/>
  <c r="AW15" i="11"/>
  <c r="L15" i="10"/>
  <c r="L10" i="10"/>
  <c r="AW10" i="11"/>
  <c r="BA14" i="11"/>
  <c r="P14" i="10"/>
  <c r="AK17" i="10"/>
  <c r="BV17" i="11"/>
  <c r="V17" i="10"/>
  <c r="BE9" i="11"/>
  <c r="T9" i="10"/>
  <c r="BK68" i="11"/>
  <c r="Z68" i="10"/>
  <c r="J68" i="10"/>
  <c r="AU68" i="11"/>
  <c r="AJ12" i="29"/>
  <c r="BQ60" i="11"/>
  <c r="AF60" i="10"/>
  <c r="H64" i="10"/>
  <c r="AS64" i="11"/>
  <c r="BG20" i="11"/>
  <c r="V20" i="10"/>
  <c r="R60" i="10"/>
  <c r="BC60" i="11"/>
  <c r="AA28" i="10"/>
  <c r="BL28" i="11"/>
  <c r="AF67" i="10"/>
  <c r="BQ67" i="11"/>
  <c r="AZ46" i="11"/>
  <c r="O46" i="10"/>
  <c r="K12" i="10"/>
  <c r="AF20" i="10"/>
  <c r="BQ20" i="11"/>
  <c r="AH71" i="10"/>
  <c r="BS71" i="11"/>
  <c r="M71" i="10"/>
  <c r="AS21" i="11"/>
  <c r="H21" i="10"/>
  <c r="BD66" i="11"/>
  <c r="S66" i="10"/>
  <c r="AL18" i="10"/>
  <c r="BW18" i="11"/>
  <c r="AX18" i="11"/>
  <c r="M18" i="10"/>
  <c r="AH65" i="10"/>
  <c r="BS65" i="11"/>
  <c r="BC65" i="11"/>
  <c r="R65" i="10"/>
  <c r="P28" i="10"/>
  <c r="BA28" i="11"/>
  <c r="AW67" i="11"/>
  <c r="L67" i="10"/>
  <c r="AS74" i="9"/>
  <c r="AS11" i="9"/>
  <c r="AS51" i="9"/>
  <c r="AS16" i="9"/>
  <c r="AL46" i="10"/>
  <c r="BW46" i="11"/>
  <c r="AK30" i="10"/>
  <c r="AB40" i="10"/>
  <c r="BM40" i="11"/>
  <c r="W71" i="10"/>
  <c r="BH71" i="11"/>
  <c r="AL66" i="10"/>
  <c r="BW66" i="11"/>
  <c r="AH22" i="10"/>
  <c r="AC54" i="10"/>
  <c r="BN54" i="11"/>
  <c r="BF25" i="11"/>
  <c r="U25" i="10"/>
  <c r="AQ13" i="11"/>
  <c r="F13" i="10"/>
  <c r="O61" i="10"/>
  <c r="AZ61" i="11"/>
  <c r="V39" i="10"/>
  <c r="R33" i="10"/>
  <c r="BC33" i="11"/>
  <c r="P29" i="10"/>
  <c r="BF70" i="11"/>
  <c r="U70" i="10"/>
  <c r="AC51" i="10"/>
  <c r="BN51" i="11"/>
  <c r="BK74" i="11"/>
  <c r="Z74" i="10"/>
  <c r="AX27" i="11"/>
  <c r="M27" i="10"/>
  <c r="AG44" i="10"/>
  <c r="BR44" i="11"/>
  <c r="AA66" i="10"/>
  <c r="BK22" i="11"/>
  <c r="Z22" i="10"/>
  <c r="BR25" i="11"/>
  <c r="AG25" i="10"/>
  <c r="AK62" i="10"/>
  <c r="BV62" i="11"/>
  <c r="S62" i="10"/>
  <c r="BD62" i="11"/>
  <c r="Z13" i="10"/>
  <c r="AC63" i="10"/>
  <c r="BN63" i="11"/>
  <c r="Q61" i="10"/>
  <c r="BB61" i="11"/>
  <c r="BI39" i="11"/>
  <c r="X39" i="10"/>
  <c r="AF33" i="10"/>
  <c r="BQ33" i="11"/>
  <c r="BF33" i="11"/>
  <c r="U33" i="10"/>
  <c r="BG70" i="11"/>
  <c r="V70" i="10"/>
  <c r="BW51" i="11"/>
  <c r="AL51" i="10"/>
  <c r="AY74" i="11"/>
  <c r="N74" i="10"/>
  <c r="BB72" i="11"/>
  <c r="Q72" i="10"/>
  <c r="P24" i="10"/>
  <c r="BA24" i="11"/>
  <c r="AF36" i="10"/>
  <c r="BQ36" i="11"/>
  <c r="AL48" i="10"/>
  <c r="BW48" i="11"/>
  <c r="AC35" i="10"/>
  <c r="BN35" i="11"/>
  <c r="BV47" i="11"/>
  <c r="AK47" i="10"/>
  <c r="AY38" i="11"/>
  <c r="N38" i="10"/>
  <c r="K55" i="10"/>
  <c r="AV55" i="11"/>
  <c r="AA34" i="10"/>
  <c r="BL34" i="11"/>
  <c r="O16" i="10"/>
  <c r="AZ16" i="11"/>
  <c r="AK19" i="10"/>
  <c r="BV19" i="11"/>
  <c r="BL73" i="11"/>
  <c r="AA73" i="10"/>
  <c r="N49" i="10"/>
  <c r="AV50" i="11"/>
  <c r="K50" i="10"/>
  <c r="AF8" i="10"/>
  <c r="BQ8" i="11"/>
  <c r="BQ14" i="11"/>
  <c r="AF14" i="10"/>
  <c r="BL17" i="11"/>
  <c r="AA17" i="10"/>
  <c r="Q17" i="10"/>
  <c r="BB17" i="11"/>
  <c r="S39" i="10"/>
  <c r="BD39" i="11"/>
  <c r="AL43" i="10"/>
  <c r="BW43" i="11"/>
  <c r="AU38" i="11"/>
  <c r="J38" i="10"/>
  <c r="BQ17" i="11"/>
  <c r="AF17" i="10"/>
  <c r="BA9" i="11"/>
  <c r="P9" i="10"/>
  <c r="BA59" i="11"/>
  <c r="P59" i="10"/>
  <c r="M68" i="10"/>
  <c r="AX68" i="11"/>
  <c r="L32" i="10"/>
  <c r="AW32" i="11"/>
  <c r="BW16" i="11"/>
  <c r="AL16" i="10"/>
  <c r="BL19" i="11"/>
  <c r="AA19" i="10"/>
  <c r="BH73" i="11"/>
  <c r="W73" i="10"/>
  <c r="R37" i="10"/>
  <c r="BC37" i="11"/>
  <c r="U15" i="10"/>
  <c r="BF15" i="11"/>
  <c r="Y57" i="10"/>
  <c r="BJ57" i="11"/>
  <c r="L75" i="10"/>
  <c r="AW75" i="11"/>
  <c r="BS52" i="11"/>
  <c r="AH52" i="10"/>
  <c r="BL32" i="11"/>
  <c r="AA32" i="10"/>
  <c r="BB11" i="11"/>
  <c r="Q11" i="10"/>
  <c r="BD23" i="11"/>
  <c r="S23" i="10"/>
  <c r="AC47" i="10"/>
  <c r="BN47" i="11"/>
  <c r="AQ38" i="11"/>
  <c r="F38" i="10"/>
  <c r="BH55" i="11"/>
  <c r="W55" i="10"/>
  <c r="F69" i="10"/>
  <c r="AQ69" i="11"/>
  <c r="AU16" i="11"/>
  <c r="J16" i="10"/>
  <c r="AZ19" i="11"/>
  <c r="O19" i="10"/>
  <c r="T73" i="10"/>
  <c r="BE73" i="11"/>
  <c r="BH26" i="11"/>
  <c r="W26" i="10"/>
  <c r="H50" i="10"/>
  <c r="AS50" i="11"/>
  <c r="X56" i="10"/>
  <c r="BI56" i="11"/>
  <c r="S8" i="10"/>
  <c r="BD8" i="11"/>
  <c r="V14" i="10"/>
  <c r="BG14" i="11"/>
  <c r="AS45" i="9"/>
  <c r="AU28" i="11"/>
  <c r="J28" i="10"/>
  <c r="AL71" i="10"/>
  <c r="BW71" i="11"/>
  <c r="AU21" i="11"/>
  <c r="J21" i="10"/>
  <c r="BK65" i="11"/>
  <c r="Z65" i="10"/>
  <c r="BR63" i="11"/>
  <c r="AG63" i="10"/>
  <c r="I63" i="10"/>
  <c r="AT63" i="11"/>
  <c r="Q33" i="10"/>
  <c r="BB33" i="11"/>
  <c r="BS51" i="11"/>
  <c r="AH51" i="10"/>
  <c r="AE31" i="10"/>
  <c r="BP31" i="11"/>
  <c r="AK8" i="10"/>
  <c r="BV8" i="11"/>
  <c r="AH41" i="10"/>
  <c r="BS41" i="11"/>
  <c r="Q30" i="10"/>
  <c r="BB30" i="11"/>
  <c r="BI40" i="11"/>
  <c r="X40" i="10"/>
  <c r="S20" i="10"/>
  <c r="BD20" i="11"/>
  <c r="V21" i="10"/>
  <c r="BG21" i="11"/>
  <c r="P66" i="10"/>
  <c r="BA66" i="11"/>
  <c r="K22" i="10"/>
  <c r="AV22" i="11"/>
  <c r="BQ25" i="11"/>
  <c r="AF25" i="10"/>
  <c r="BG13" i="11"/>
  <c r="V13" i="10"/>
  <c r="AH61" i="10"/>
  <c r="BS61" i="11"/>
  <c r="O51" i="10"/>
  <c r="AZ51" i="11"/>
  <c r="BQ48" i="11"/>
  <c r="AF48" i="10"/>
  <c r="BA32" i="11"/>
  <c r="P32" i="10"/>
  <c r="AV43" i="11"/>
  <c r="K43" i="10"/>
  <c r="AH55" i="10"/>
  <c r="BS55" i="11"/>
  <c r="BM34" i="11"/>
  <c r="AB34" i="10"/>
  <c r="AG37" i="10"/>
  <c r="BR37" i="11"/>
  <c r="AA50" i="10"/>
  <c r="BL50" i="11"/>
  <c r="BI31" i="11"/>
  <c r="X31" i="10"/>
  <c r="W8" i="10"/>
  <c r="BH8" i="11"/>
  <c r="O17" i="10"/>
  <c r="AZ17" i="11"/>
  <c r="AU59" i="11"/>
  <c r="J59" i="10"/>
  <c r="BH64" i="11"/>
  <c r="W64" i="10"/>
  <c r="AS75" i="9"/>
  <c r="AK67" i="10"/>
  <c r="BV67" i="11"/>
  <c r="V46" i="10"/>
  <c r="BG46" i="11"/>
  <c r="BO40" i="11"/>
  <c r="AD40" i="10"/>
  <c r="AX20" i="11"/>
  <c r="M20" i="10"/>
  <c r="BQ66" i="11"/>
  <c r="AF66" i="10"/>
  <c r="R18" i="10"/>
  <c r="BC18" i="11"/>
  <c r="AY53" i="11"/>
  <c r="N53" i="10"/>
  <c r="BE22" i="11"/>
  <c r="T22" i="10"/>
  <c r="AY54" i="11"/>
  <c r="N54" i="10"/>
  <c r="BH25" i="11"/>
  <c r="W25" i="10"/>
  <c r="AC61" i="10"/>
  <c r="BN61" i="11"/>
  <c r="AA33" i="10"/>
  <c r="BL33" i="11"/>
  <c r="AQ29" i="11"/>
  <c r="F29" i="10"/>
  <c r="AA72" i="10"/>
  <c r="BL72" i="11"/>
  <c r="BO74" i="11"/>
  <c r="AD74" i="10"/>
  <c r="BF27" i="11"/>
  <c r="U27" i="10"/>
  <c r="O75" i="10"/>
  <c r="AZ75" i="11"/>
  <c r="U52" i="10"/>
  <c r="BF52" i="11"/>
  <c r="AF24" i="10"/>
  <c r="BQ24" i="11"/>
  <c r="T24" i="10"/>
  <c r="BE24" i="11"/>
  <c r="AD36" i="10"/>
  <c r="BO36" i="11"/>
  <c r="Z48" i="10"/>
  <c r="BK48" i="11"/>
  <c r="AA11" i="10"/>
  <c r="BL11" i="11"/>
  <c r="AZ43" i="11"/>
  <c r="O43" i="10"/>
  <c r="R12" i="10"/>
  <c r="BC12" i="11"/>
  <c r="AX30" i="11"/>
  <c r="M30" i="10"/>
  <c r="AZ71" i="11"/>
  <c r="O71" i="10"/>
  <c r="BM21" i="11"/>
  <c r="AB21" i="10"/>
  <c r="AS65" i="11"/>
  <c r="H65" i="10"/>
  <c r="Y25" i="10"/>
  <c r="BJ25" i="11"/>
  <c r="BD44" i="11"/>
  <c r="S44" i="10"/>
  <c r="AQ44" i="11"/>
  <c r="F44" i="10"/>
  <c r="AE52" i="10"/>
  <c r="BP52" i="11"/>
  <c r="BK11" i="11"/>
  <c r="Z11" i="10"/>
  <c r="Y58" i="10"/>
  <c r="BJ58" i="11"/>
  <c r="P34" i="10"/>
  <c r="BA34" i="11"/>
  <c r="BR45" i="11"/>
  <c r="AG45" i="10"/>
  <c r="Q10" i="10"/>
  <c r="BB10" i="11"/>
  <c r="AD14" i="10"/>
  <c r="BO14" i="11"/>
  <c r="AL57" i="10"/>
  <c r="BW57" i="11"/>
  <c r="BC9" i="11"/>
  <c r="R9" i="10"/>
  <c r="AX34" i="11"/>
  <c r="M34" i="10"/>
  <c r="AC26" i="10"/>
  <c r="BN26" i="11"/>
  <c r="BM31" i="11"/>
  <c r="AB31" i="10"/>
  <c r="U10" i="10"/>
  <c r="BF10" i="11"/>
  <c r="S14" i="10"/>
  <c r="BD14" i="11"/>
  <c r="AU9" i="11"/>
  <c r="J9" i="10"/>
  <c r="AX9" i="11"/>
  <c r="M9" i="10"/>
  <c r="BS58" i="11"/>
  <c r="AH58" i="10"/>
  <c r="AE34" i="10"/>
  <c r="BP34" i="11"/>
  <c r="BK42" i="11"/>
  <c r="Z42" i="10"/>
  <c r="AQ70" i="11"/>
  <c r="F70" i="10"/>
  <c r="BH58" i="11"/>
  <c r="W58" i="10"/>
  <c r="F50" i="10"/>
  <c r="AQ50" i="11"/>
  <c r="AQ31" i="11"/>
  <c r="F31" i="10"/>
  <c r="BP24" i="11"/>
  <c r="AE24" i="10"/>
  <c r="AA55" i="10"/>
  <c r="BL55" i="11"/>
  <c r="BB50" i="11"/>
  <c r="Q50" i="10"/>
  <c r="P68" i="10"/>
  <c r="BA68" i="11"/>
  <c r="AT66" i="11"/>
  <c r="I66" i="10"/>
  <c r="Z23" i="10"/>
  <c r="BK23" i="11"/>
  <c r="K19" i="10"/>
  <c r="AV19" i="11"/>
  <c r="BG61" i="11"/>
  <c r="V61" i="10"/>
  <c r="X51" i="10"/>
  <c r="BI51" i="11"/>
  <c r="X45" i="10"/>
  <c r="BI45" i="11"/>
  <c r="BM73" i="11"/>
  <c r="AB73" i="10"/>
  <c r="AB10" i="10"/>
  <c r="BM10" i="11"/>
  <c r="BC57" i="11"/>
  <c r="R57" i="10"/>
  <c r="BQ18" i="11"/>
  <c r="AF18" i="10"/>
  <c r="AE47" i="10"/>
  <c r="BP47" i="11"/>
  <c r="W63" i="10"/>
  <c r="BH63" i="11"/>
  <c r="BW60" i="11"/>
  <c r="AL60" i="10"/>
  <c r="AX28" i="11"/>
  <c r="M28" i="10"/>
  <c r="M28" i="11"/>
  <c r="BK71" i="11"/>
  <c r="Z71" i="10"/>
  <c r="AY65" i="11"/>
  <c r="N65" i="10"/>
  <c r="K53" i="10"/>
  <c r="AV53" i="11"/>
  <c r="AS62" i="11"/>
  <c r="H62" i="10"/>
  <c r="AW20" i="11"/>
  <c r="L20" i="10"/>
  <c r="AE32" i="10"/>
  <c r="BP32" i="11"/>
  <c r="BD42" i="11"/>
  <c r="S42" i="10"/>
  <c r="BN73" i="11"/>
  <c r="AC73" i="10"/>
  <c r="AQ9" i="11"/>
  <c r="F9" i="10"/>
  <c r="BI24" i="11"/>
  <c r="X24" i="10"/>
  <c r="P8" i="10"/>
  <c r="BA8" i="11"/>
  <c r="J57" i="10"/>
  <c r="AU57" i="11"/>
  <c r="S11" i="10"/>
  <c r="BD11" i="11"/>
  <c r="Z59" i="10"/>
  <c r="BK59" i="11"/>
  <c r="AB66" i="10"/>
  <c r="BM66" i="11"/>
  <c r="AF65" i="10"/>
  <c r="BQ65" i="11"/>
  <c r="BN66" i="11"/>
  <c r="AC66" i="10"/>
  <c r="X74" i="10"/>
  <c r="BI74" i="11"/>
  <c r="BN58" i="11"/>
  <c r="AC58" i="10"/>
  <c r="AU26" i="11"/>
  <c r="J26" i="10"/>
  <c r="I31" i="10"/>
  <c r="AT31" i="11"/>
  <c r="Q49" i="10"/>
  <c r="BB49" i="11"/>
  <c r="AE69" i="10"/>
  <c r="BP69" i="11"/>
  <c r="AQ43" i="11"/>
  <c r="F43" i="10"/>
  <c r="BI11" i="11"/>
  <c r="X11" i="10"/>
  <c r="BC24" i="11"/>
  <c r="R24" i="10"/>
  <c r="BE74" i="11"/>
  <c r="T74" i="10"/>
  <c r="N72" i="10"/>
  <c r="AY72" i="11"/>
  <c r="AF62" i="10"/>
  <c r="BQ62" i="11"/>
  <c r="S53" i="10"/>
  <c r="BD53" i="11"/>
  <c r="AT40" i="11"/>
  <c r="I40" i="10"/>
  <c r="BR30" i="11"/>
  <c r="AG30" i="10"/>
  <c r="M41" i="10"/>
  <c r="AX41" i="11"/>
  <c r="AI36" i="10"/>
  <c r="BT36" i="11"/>
  <c r="BT12" i="11"/>
  <c r="AI12" i="10"/>
  <c r="BU12" i="11"/>
  <c r="AJ12" i="10"/>
  <c r="AJ17" i="10"/>
  <c r="BU17" i="11"/>
  <c r="BU23" i="11"/>
  <c r="AJ23" i="10"/>
  <c r="AJ28" i="10"/>
  <c r="BU28" i="11"/>
  <c r="BU33" i="11"/>
  <c r="AJ33" i="10"/>
  <c r="BU39" i="11"/>
  <c r="AJ39" i="10"/>
  <c r="AJ44" i="10"/>
  <c r="BU44" i="11"/>
  <c r="BU49" i="11"/>
  <c r="AJ49" i="10"/>
  <c r="BU55" i="11"/>
  <c r="AJ55" i="10"/>
  <c r="BU60" i="11"/>
  <c r="AJ60" i="10"/>
  <c r="AJ65" i="10"/>
  <c r="BU65" i="11"/>
  <c r="BU71" i="11"/>
  <c r="AJ71" i="10"/>
  <c r="BT14" i="11"/>
  <c r="AI14" i="10"/>
  <c r="AI22" i="10"/>
  <c r="BT22" i="11"/>
  <c r="AI30" i="10"/>
  <c r="BT30" i="11"/>
  <c r="AI38" i="10"/>
  <c r="BT38" i="11"/>
  <c r="AI44" i="10"/>
  <c r="BT44" i="11"/>
  <c r="BT50" i="11"/>
  <c r="AI50" i="10"/>
  <c r="AI55" i="10"/>
  <c r="BT55" i="11"/>
  <c r="AI60" i="10"/>
  <c r="BT60" i="11"/>
  <c r="BT66" i="11"/>
  <c r="AI66" i="10"/>
  <c r="BT71" i="11"/>
  <c r="AI71" i="10"/>
  <c r="AS10" i="9"/>
  <c r="AS73" i="9"/>
  <c r="P53" i="26"/>
  <c r="Q53" i="26" s="1"/>
  <c r="R53" i="26"/>
  <c r="AS26" i="9"/>
  <c r="R72" i="27"/>
  <c r="P72" i="27"/>
  <c r="Q72" i="27" s="1"/>
  <c r="AS18" i="9"/>
  <c r="P41" i="28"/>
  <c r="Q41" i="28" s="1"/>
  <c r="R41" i="28"/>
  <c r="AS33" i="9"/>
  <c r="AS64" i="9"/>
  <c r="AS53" i="9"/>
  <c r="AS22" i="9"/>
  <c r="AS56" i="9"/>
  <c r="AS69" i="9"/>
  <c r="AS72" i="9"/>
  <c r="R67" i="26"/>
  <c r="P67" i="26"/>
  <c r="Q67" i="26" s="1"/>
  <c r="P51" i="28"/>
  <c r="Q51" i="28" s="1"/>
  <c r="R51" i="28"/>
  <c r="R39" i="28"/>
  <c r="P39" i="28"/>
  <c r="Q39" i="28" s="1"/>
  <c r="R74" i="28"/>
  <c r="P74" i="28"/>
  <c r="Q74" i="28" s="1"/>
  <c r="P21" i="27"/>
  <c r="Q21" i="27" s="1"/>
  <c r="R21" i="27"/>
  <c r="P40" i="26"/>
  <c r="Q40" i="26" s="1"/>
  <c r="R40" i="26"/>
  <c r="R15" i="27"/>
  <c r="P15" i="27"/>
  <c r="Q15" i="27" s="1"/>
  <c r="P42" i="26"/>
  <c r="Q42" i="26" s="1"/>
  <c r="R42" i="26"/>
  <c r="K7" i="27"/>
  <c r="P36" i="26"/>
  <c r="Q36" i="26" s="1"/>
  <c r="R36" i="26"/>
  <c r="P12" i="27"/>
  <c r="Q12" i="27" s="1"/>
  <c r="R12" i="27"/>
  <c r="AJ14" i="29"/>
  <c r="K64" i="10"/>
  <c r="AV64" i="11"/>
  <c r="AW28" i="11"/>
  <c r="L28" i="10"/>
  <c r="AV41" i="11"/>
  <c r="K41" i="10"/>
  <c r="BV46" i="11"/>
  <c r="AK46" i="10"/>
  <c r="AH12" i="10"/>
  <c r="BS12" i="11"/>
  <c r="BN30" i="11"/>
  <c r="AC30" i="10"/>
  <c r="J60" i="10"/>
  <c r="AU60" i="11"/>
  <c r="BJ64" i="11"/>
  <c r="Y64" i="10"/>
  <c r="BL67" i="11"/>
  <c r="AA67" i="10"/>
  <c r="BC20" i="11"/>
  <c r="R20" i="10"/>
  <c r="AE18" i="10"/>
  <c r="BP18" i="11"/>
  <c r="AV65" i="11"/>
  <c r="K65" i="10"/>
  <c r="BD22" i="11"/>
  <c r="S22" i="10"/>
  <c r="AH62" i="10"/>
  <c r="BS62" i="11"/>
  <c r="BB13" i="11"/>
  <c r="Q13" i="10"/>
  <c r="T63" i="10"/>
  <c r="BE63" i="11"/>
  <c r="BL61" i="11"/>
  <c r="AA61" i="10"/>
  <c r="AC70" i="10"/>
  <c r="BN70" i="11"/>
  <c r="BR74" i="11"/>
  <c r="AG74" i="10"/>
  <c r="BV27" i="11"/>
  <c r="AK27" i="10"/>
  <c r="AE44" i="10"/>
  <c r="BP44" i="11"/>
  <c r="J30" i="10"/>
  <c r="AU30" i="11"/>
  <c r="V40" i="10"/>
  <c r="BG40" i="11"/>
  <c r="BH20" i="11"/>
  <c r="W20" i="10"/>
  <c r="BP66" i="11"/>
  <c r="AE66" i="10"/>
  <c r="AW18" i="11"/>
  <c r="L18" i="10"/>
  <c r="BR53" i="11"/>
  <c r="AG53" i="10"/>
  <c r="AL22" i="10"/>
  <c r="BW22" i="11"/>
  <c r="BC25" i="11"/>
  <c r="R25" i="10"/>
  <c r="BV39" i="11"/>
  <c r="AK39" i="10"/>
  <c r="H39" i="10"/>
  <c r="AS39" i="11"/>
  <c r="BW29" i="11"/>
  <c r="AL29" i="10"/>
  <c r="BG72" i="11"/>
  <c r="V72" i="10"/>
  <c r="AZ74" i="11"/>
  <c r="O74" i="10"/>
  <c r="S27" i="10"/>
  <c r="BD27" i="11"/>
  <c r="BV44" i="11"/>
  <c r="AK44" i="10"/>
  <c r="Q32" i="10"/>
  <c r="BB32" i="11"/>
  <c r="N43" i="10"/>
  <c r="AY43" i="11"/>
  <c r="AE55" i="10"/>
  <c r="BP55" i="11"/>
  <c r="U34" i="10"/>
  <c r="BF34" i="11"/>
  <c r="U19" i="10"/>
  <c r="BF19" i="11"/>
  <c r="BF26" i="11"/>
  <c r="U26" i="10"/>
  <c r="BW35" i="11"/>
  <c r="AL35" i="10"/>
  <c r="BF23" i="11"/>
  <c r="U23" i="10"/>
  <c r="O42" i="10"/>
  <c r="AZ42" i="11"/>
  <c r="BL37" i="11"/>
  <c r="AA37" i="10"/>
  <c r="BV50" i="11"/>
  <c r="AK50" i="10"/>
  <c r="AE23" i="10"/>
  <c r="BP23" i="11"/>
  <c r="Z58" i="10"/>
  <c r="BK58" i="11"/>
  <c r="Z34" i="10"/>
  <c r="BK34" i="11"/>
  <c r="BV73" i="11"/>
  <c r="AK73" i="10"/>
  <c r="AH49" i="10"/>
  <c r="BS49" i="11"/>
  <c r="BJ26" i="11"/>
  <c r="Y26" i="10"/>
  <c r="K11" i="10"/>
  <c r="AV11" i="11"/>
  <c r="BB59" i="11"/>
  <c r="Q59" i="10"/>
  <c r="AX17" i="11"/>
  <c r="M17" i="10"/>
  <c r="BJ59" i="11"/>
  <c r="Y59" i="10"/>
  <c r="AJ7" i="29"/>
  <c r="AI9" i="29"/>
  <c r="W60" i="10"/>
  <c r="BH60" i="11"/>
  <c r="BK41" i="11"/>
  <c r="Z41" i="10"/>
  <c r="AY41" i="11"/>
  <c r="N41" i="10"/>
  <c r="AL67" i="10"/>
  <c r="BW67" i="11"/>
  <c r="T67" i="10"/>
  <c r="BE67" i="11"/>
  <c r="M67" i="10"/>
  <c r="AX67" i="11"/>
  <c r="BO46" i="11"/>
  <c r="AD46" i="10"/>
  <c r="BO12" i="11"/>
  <c r="AD12" i="10"/>
  <c r="AC40" i="10"/>
  <c r="BN40" i="11"/>
  <c r="BP20" i="11"/>
  <c r="AE20" i="10"/>
  <c r="BC71" i="11"/>
  <c r="R71" i="10"/>
  <c r="R71" i="11"/>
  <c r="BH21" i="11"/>
  <c r="W21" i="10"/>
  <c r="AZ66" i="11"/>
  <c r="O66" i="10"/>
  <c r="BK54" i="11"/>
  <c r="Z54" i="10"/>
  <c r="AL13" i="10"/>
  <c r="BW13" i="11"/>
  <c r="R65" i="27"/>
  <c r="P65" i="27"/>
  <c r="Q65" i="27" s="1"/>
  <c r="AS50" i="9"/>
  <c r="AL64" i="10"/>
  <c r="BW64" i="11"/>
  <c r="BL64" i="11"/>
  <c r="AA64" i="10"/>
  <c r="Q64" i="10"/>
  <c r="BB64" i="11"/>
  <c r="L64" i="10"/>
  <c r="AW64" i="11"/>
  <c r="U28" i="10"/>
  <c r="BF28" i="11"/>
  <c r="BA46" i="11"/>
  <c r="P46" i="10"/>
  <c r="H12" i="10"/>
  <c r="AS12" i="11"/>
  <c r="BG30" i="11"/>
  <c r="V30" i="10"/>
  <c r="AK18" i="10"/>
  <c r="BV18" i="11"/>
  <c r="AA65" i="10"/>
  <c r="BL65" i="11"/>
  <c r="P65" i="10"/>
  <c r="BA65" i="11"/>
  <c r="BP53" i="11"/>
  <c r="AE53" i="10"/>
  <c r="BH53" i="11"/>
  <c r="W53" i="10"/>
  <c r="BV22" i="11"/>
  <c r="AK22" i="10"/>
  <c r="Q22" i="10"/>
  <c r="BB22" i="11"/>
  <c r="AE54" i="10"/>
  <c r="BP54" i="11"/>
  <c r="AK25" i="10"/>
  <c r="BV25" i="11"/>
  <c r="BO62" i="11"/>
  <c r="AD62" i="10"/>
  <c r="AC13" i="10"/>
  <c r="BN13" i="11"/>
  <c r="AL63" i="10"/>
  <c r="BW63" i="11"/>
  <c r="F63" i="10"/>
  <c r="AQ63" i="11"/>
  <c r="BP61" i="11"/>
  <c r="AE61" i="10"/>
  <c r="BH61" i="11"/>
  <c r="W61" i="10"/>
  <c r="R61" i="10"/>
  <c r="BC61" i="11"/>
  <c r="T39" i="10"/>
  <c r="BE39" i="11"/>
  <c r="AU33" i="11"/>
  <c r="J33" i="10"/>
  <c r="BJ72" i="11"/>
  <c r="Y72" i="10"/>
  <c r="AU72" i="11"/>
  <c r="J72" i="10"/>
  <c r="AF70" i="10"/>
  <c r="BQ70" i="11"/>
  <c r="S70" i="10"/>
  <c r="BD70" i="11"/>
  <c r="Z51" i="10"/>
  <c r="BK51" i="11"/>
  <c r="AW44" i="11"/>
  <c r="L44" i="10"/>
  <c r="AH75" i="10"/>
  <c r="BS75" i="11"/>
  <c r="X75" i="10"/>
  <c r="BI75" i="11"/>
  <c r="AE48" i="10"/>
  <c r="BP48" i="11"/>
  <c r="BG11" i="11"/>
  <c r="V11" i="10"/>
  <c r="AZ11" i="11"/>
  <c r="O11" i="10"/>
  <c r="BQ43" i="11"/>
  <c r="AF43" i="10"/>
  <c r="Q43" i="10"/>
  <c r="BB43" i="11"/>
  <c r="K23" i="10"/>
  <c r="AV23" i="11"/>
  <c r="R47" i="10"/>
  <c r="BC47" i="11"/>
  <c r="BV58" i="11"/>
  <c r="AK58" i="10"/>
  <c r="BE58" i="11"/>
  <c r="T58" i="10"/>
  <c r="BH38" i="11"/>
  <c r="W38" i="10"/>
  <c r="AZ55" i="11"/>
  <c r="O55" i="10"/>
  <c r="AH42" i="10"/>
  <c r="BS42" i="11"/>
  <c r="BO45" i="11"/>
  <c r="AD45" i="10"/>
  <c r="K45" i="10"/>
  <c r="AV45" i="11"/>
  <c r="BP73" i="11"/>
  <c r="AE73" i="10"/>
  <c r="I50" i="10"/>
  <c r="AT50" i="11"/>
  <c r="BK31" i="11"/>
  <c r="Z31" i="10"/>
  <c r="L31" i="10"/>
  <c r="AW31" i="11"/>
  <c r="X9" i="10"/>
  <c r="BI9" i="11"/>
  <c r="I9" i="10"/>
  <c r="AT9" i="11"/>
  <c r="AC68" i="10"/>
  <c r="BN68" i="11"/>
  <c r="BD29" i="11"/>
  <c r="S29" i="10"/>
  <c r="BM51" i="11"/>
  <c r="AB51" i="10"/>
  <c r="AT75" i="11"/>
  <c r="I75" i="10"/>
  <c r="BE52" i="11"/>
  <c r="T52" i="10"/>
  <c r="AW36" i="11"/>
  <c r="L36" i="10"/>
  <c r="AQ36" i="11"/>
  <c r="F36" i="10"/>
  <c r="AC48" i="10"/>
  <c r="BN48" i="11"/>
  <c r="S48" i="10"/>
  <c r="BD48" i="11"/>
  <c r="AL32" i="10"/>
  <c r="BW32" i="11"/>
  <c r="AD32" i="10"/>
  <c r="BO32" i="11"/>
  <c r="BI32" i="11"/>
  <c r="X32" i="10"/>
  <c r="BM43" i="11"/>
  <c r="AB43" i="10"/>
  <c r="AG35" i="10"/>
  <c r="BR35" i="11"/>
  <c r="AT35" i="11"/>
  <c r="I35" i="10"/>
  <c r="T23" i="10"/>
  <c r="BE23" i="11"/>
  <c r="J23" i="10"/>
  <c r="AU23" i="11"/>
  <c r="BL58" i="11"/>
  <c r="AA58" i="10"/>
  <c r="BW38" i="11"/>
  <c r="AL38" i="10"/>
  <c r="AT38" i="11"/>
  <c r="I38" i="10"/>
  <c r="BW34" i="11"/>
  <c r="AL34" i="10"/>
  <c r="AT34" i="11"/>
  <c r="I34" i="10"/>
  <c r="AE16" i="10"/>
  <c r="BP16" i="11"/>
  <c r="BQ19" i="11"/>
  <c r="AF19" i="10"/>
  <c r="AD73" i="10"/>
  <c r="BO73" i="11"/>
  <c r="BI49" i="11"/>
  <c r="X49" i="10"/>
  <c r="AL26" i="10"/>
  <c r="BW26" i="11"/>
  <c r="P37" i="10"/>
  <c r="BA37" i="11"/>
  <c r="H56" i="10"/>
  <c r="AS56" i="11"/>
  <c r="AA31" i="10"/>
  <c r="BL31" i="11"/>
  <c r="M31" i="10"/>
  <c r="AX31" i="11"/>
  <c r="BG15" i="11"/>
  <c r="V15" i="10"/>
  <c r="T10" i="10"/>
  <c r="BE10" i="11"/>
  <c r="AE8" i="10"/>
  <c r="BP8" i="11"/>
  <c r="X8" i="10"/>
  <c r="BI8" i="11"/>
  <c r="BB8" i="11"/>
  <c r="Q8" i="10"/>
  <c r="AW8" i="11"/>
  <c r="L8" i="10"/>
  <c r="Z14" i="10"/>
  <c r="BK14" i="11"/>
  <c r="L14" i="10"/>
  <c r="AW14" i="11"/>
  <c r="BO57" i="11"/>
  <c r="AD57" i="10"/>
  <c r="L57" i="10"/>
  <c r="AW57" i="11"/>
  <c r="BR17" i="11"/>
  <c r="AG17" i="10"/>
  <c r="BE17" i="11"/>
  <c r="T17" i="10"/>
  <c r="BD9" i="11"/>
  <c r="S9" i="10"/>
  <c r="BI59" i="11"/>
  <c r="X59" i="10"/>
  <c r="AH68" i="10"/>
  <c r="BS68" i="11"/>
  <c r="AW68" i="11"/>
  <c r="L68" i="10"/>
  <c r="AF41" i="10"/>
  <c r="BQ41" i="11"/>
  <c r="L41" i="10"/>
  <c r="AW41" i="11"/>
  <c r="BR67" i="11"/>
  <c r="AG67" i="10"/>
  <c r="BK46" i="11"/>
  <c r="Z46" i="10"/>
  <c r="H46" i="10"/>
  <c r="AS46" i="11"/>
  <c r="BI30" i="11"/>
  <c r="X30" i="10"/>
  <c r="AA40" i="10"/>
  <c r="BL40" i="11"/>
  <c r="AD20" i="10"/>
  <c r="BO20" i="11"/>
  <c r="BR28" i="11"/>
  <c r="AG28" i="10"/>
  <c r="N28" i="10"/>
  <c r="AY28" i="11"/>
  <c r="BS67" i="11"/>
  <c r="AH67" i="10"/>
  <c r="AS67" i="11"/>
  <c r="H67" i="10"/>
  <c r="W46" i="10"/>
  <c r="BH46" i="11"/>
  <c r="BD12" i="11"/>
  <c r="S12" i="10"/>
  <c r="W40" i="10"/>
  <c r="BH40" i="11"/>
  <c r="BV20" i="11"/>
  <c r="AK20" i="10"/>
  <c r="AG18" i="10"/>
  <c r="BR18" i="11"/>
  <c r="AD63" i="10"/>
  <c r="BO63" i="11"/>
  <c r="AW61" i="11"/>
  <c r="L61" i="10"/>
  <c r="BQ74" i="11"/>
  <c r="AF74" i="10"/>
  <c r="AH27" i="10"/>
  <c r="BS27" i="11"/>
  <c r="BB20" i="11"/>
  <c r="Q20" i="10"/>
  <c r="AH21" i="10"/>
  <c r="BS21" i="11"/>
  <c r="BG65" i="11"/>
  <c r="V65" i="10"/>
  <c r="AH53" i="10"/>
  <c r="BS53" i="11"/>
  <c r="AU22" i="11"/>
  <c r="J22" i="10"/>
  <c r="BD54" i="11"/>
  <c r="S54" i="10"/>
  <c r="AG62" i="10"/>
  <c r="BR62" i="11"/>
  <c r="H13" i="10"/>
  <c r="AS13" i="11"/>
  <c r="J63" i="10"/>
  <c r="AU63" i="11"/>
  <c r="Y61" i="10"/>
  <c r="BJ61" i="11"/>
  <c r="AX39" i="11"/>
  <c r="M39" i="10"/>
  <c r="AT33" i="11"/>
  <c r="I33" i="10"/>
  <c r="BK72" i="11"/>
  <c r="Z72" i="10"/>
  <c r="AS72" i="11"/>
  <c r="H72" i="10"/>
  <c r="AZ70" i="11"/>
  <c r="O70" i="10"/>
  <c r="AY51" i="11"/>
  <c r="N51" i="10"/>
  <c r="Q27" i="10"/>
  <c r="BB27" i="11"/>
  <c r="AC44" i="10"/>
  <c r="BN44" i="11"/>
  <c r="BH75" i="11"/>
  <c r="W75" i="10"/>
  <c r="AG20" i="10"/>
  <c r="BR20" i="11"/>
  <c r="N21" i="10"/>
  <c r="AY21" i="11"/>
  <c r="BS18" i="11"/>
  <c r="AH18" i="10"/>
  <c r="AQ18" i="11"/>
  <c r="F18" i="10"/>
  <c r="BO53" i="11"/>
  <c r="AD53" i="10"/>
  <c r="AY62" i="11"/>
  <c r="N62" i="10"/>
  <c r="AE63" i="10"/>
  <c r="BP63" i="11"/>
  <c r="AE39" i="10"/>
  <c r="BP39" i="11"/>
  <c r="BV29" i="11"/>
  <c r="AK29" i="10"/>
  <c r="J74" i="10"/>
  <c r="AU74" i="11"/>
  <c r="K27" i="10"/>
  <c r="AV27" i="11"/>
  <c r="BF44" i="11"/>
  <c r="U44" i="10"/>
  <c r="Z67" i="10"/>
  <c r="BK67" i="11"/>
  <c r="BQ22" i="11"/>
  <c r="AF22" i="10"/>
  <c r="AH25" i="10"/>
  <c r="BS25" i="11"/>
  <c r="AA62" i="10"/>
  <c r="BL62" i="11"/>
  <c r="BO51" i="11"/>
  <c r="AD51" i="10"/>
  <c r="O36" i="10"/>
  <c r="AZ36" i="11"/>
  <c r="AE11" i="10"/>
  <c r="BP11" i="11"/>
  <c r="U35" i="10"/>
  <c r="BF35" i="11"/>
  <c r="AD23" i="10"/>
  <c r="BO23" i="11"/>
  <c r="BM47" i="11"/>
  <c r="AB47" i="10"/>
  <c r="H47" i="10"/>
  <c r="AS47" i="11"/>
  <c r="AH38" i="10"/>
  <c r="BS38" i="11"/>
  <c r="BF38" i="11"/>
  <c r="U38" i="10"/>
  <c r="BK69" i="11"/>
  <c r="Z69" i="10"/>
  <c r="J69" i="10"/>
  <c r="AU69" i="11"/>
  <c r="BA42" i="11"/>
  <c r="P42" i="10"/>
  <c r="AT45" i="11"/>
  <c r="I45" i="10"/>
  <c r="I49" i="10"/>
  <c r="AT49" i="11"/>
  <c r="V26" i="10"/>
  <c r="BG26" i="11"/>
  <c r="AZ37" i="11"/>
  <c r="O37" i="10"/>
  <c r="AW56" i="11"/>
  <c r="L56" i="10"/>
  <c r="BJ31" i="11"/>
  <c r="Y31" i="10"/>
  <c r="BF47" i="11"/>
  <c r="U47" i="10"/>
  <c r="BR34" i="11"/>
  <c r="AG34" i="10"/>
  <c r="H42" i="10"/>
  <c r="AS42" i="11"/>
  <c r="Q16" i="10"/>
  <c r="BB16" i="11"/>
  <c r="BG45" i="11"/>
  <c r="V45" i="10"/>
  <c r="BF73" i="11"/>
  <c r="U73" i="10"/>
  <c r="Z49" i="10"/>
  <c r="BK49" i="11"/>
  <c r="BV26" i="11"/>
  <c r="AK26" i="10"/>
  <c r="BC36" i="11"/>
  <c r="R36" i="10"/>
  <c r="T48" i="10"/>
  <c r="BE48" i="11"/>
  <c r="BA48" i="11"/>
  <c r="P48" i="10"/>
  <c r="AK43" i="10"/>
  <c r="BV43" i="11"/>
  <c r="X43" i="10"/>
  <c r="BI43" i="11"/>
  <c r="AH35" i="10"/>
  <c r="BS35" i="11"/>
  <c r="BK35" i="11"/>
  <c r="Z35" i="10"/>
  <c r="AT23" i="11"/>
  <c r="I23" i="10"/>
  <c r="AH45" i="10"/>
  <c r="BS45" i="11"/>
  <c r="BA45" i="11"/>
  <c r="P45" i="10"/>
  <c r="AX37" i="11"/>
  <c r="M37" i="10"/>
  <c r="AL50" i="10"/>
  <c r="BW50" i="11"/>
  <c r="AE10" i="10"/>
  <c r="BP10" i="11"/>
  <c r="BS14" i="11"/>
  <c r="AH14" i="10"/>
  <c r="BG9" i="11"/>
  <c r="V9" i="10"/>
  <c r="BH34" i="11"/>
  <c r="W34" i="10"/>
  <c r="M42" i="10"/>
  <c r="AX42" i="11"/>
  <c r="V50" i="10"/>
  <c r="BG50" i="11"/>
  <c r="AK10" i="10"/>
  <c r="BV10" i="11"/>
  <c r="AH8" i="10"/>
  <c r="BS8" i="11"/>
  <c r="AB57" i="10"/>
  <c r="BM57" i="11"/>
  <c r="AE17" i="10"/>
  <c r="BP17" i="11"/>
  <c r="BP9" i="11"/>
  <c r="AE9" i="10"/>
  <c r="AG59" i="10"/>
  <c r="BR59" i="11"/>
  <c r="BG59" i="11"/>
  <c r="V59" i="10"/>
  <c r="K59" i="10"/>
  <c r="AV59" i="11"/>
  <c r="BJ68" i="11"/>
  <c r="Y68" i="10"/>
  <c r="AB36" i="10"/>
  <c r="BM36" i="11"/>
  <c r="P47" i="10"/>
  <c r="BA47" i="11"/>
  <c r="BQ34" i="11"/>
  <c r="AF34" i="10"/>
  <c r="AK42" i="10"/>
  <c r="BV42" i="11"/>
  <c r="J73" i="10"/>
  <c r="AU73" i="11"/>
  <c r="T26" i="10"/>
  <c r="BE26" i="11"/>
  <c r="Z15" i="10"/>
  <c r="BK15" i="11"/>
  <c r="K15" i="10"/>
  <c r="AV15" i="11"/>
  <c r="AX14" i="11"/>
  <c r="M14" i="10"/>
  <c r="BK57" i="11"/>
  <c r="Z57" i="10"/>
  <c r="N9" i="10"/>
  <c r="AY9" i="11"/>
  <c r="L7" i="16"/>
  <c r="K9" i="16"/>
  <c r="R26" i="27"/>
  <c r="P26" i="27"/>
  <c r="Q26" i="27" s="1"/>
  <c r="BF21" i="11"/>
  <c r="U21" i="10"/>
  <c r="AX60" i="11"/>
  <c r="M60" i="10"/>
  <c r="BN64" i="11"/>
  <c r="AC64" i="10"/>
  <c r="AE28" i="10"/>
  <c r="BP28" i="11"/>
  <c r="BN12" i="11"/>
  <c r="AC12" i="11"/>
  <c r="AC12" i="10"/>
  <c r="BP30" i="11"/>
  <c r="AE30" i="10"/>
  <c r="S40" i="10"/>
  <c r="BD40" i="11"/>
  <c r="AS40" i="11"/>
  <c r="H40" i="10"/>
  <c r="BJ20" i="11"/>
  <c r="Y20" i="10"/>
  <c r="F71" i="10"/>
  <c r="AQ71" i="11"/>
  <c r="BO66" i="11"/>
  <c r="AD66" i="10"/>
  <c r="AV66" i="11"/>
  <c r="K66" i="10"/>
  <c r="Z18" i="10"/>
  <c r="BK18" i="11"/>
  <c r="BM65" i="11"/>
  <c r="AB65" i="10"/>
  <c r="V64" i="10"/>
  <c r="BG64" i="11"/>
  <c r="AS28" i="11"/>
  <c r="H28" i="10"/>
  <c r="Y46" i="10"/>
  <c r="BJ46" i="11"/>
  <c r="AW30" i="11"/>
  <c r="L30" i="10"/>
  <c r="BK66" i="11"/>
  <c r="Z66" i="10"/>
  <c r="V53" i="10"/>
  <c r="BG53" i="11"/>
  <c r="AG22" i="10"/>
  <c r="BR22" i="11"/>
  <c r="Z63" i="10"/>
  <c r="BK63" i="11"/>
  <c r="AF39" i="10"/>
  <c r="BQ39" i="11"/>
  <c r="L29" i="10"/>
  <c r="AW29" i="11"/>
  <c r="T72" i="10"/>
  <c r="BE72" i="11"/>
  <c r="AV70" i="11"/>
  <c r="K70" i="10"/>
  <c r="AU27" i="11"/>
  <c r="J27" i="10"/>
  <c r="BG44" i="11"/>
  <c r="V44" i="10"/>
  <c r="BK75" i="11"/>
  <c r="Z75" i="10"/>
  <c r="AV18" i="11"/>
  <c r="K18" i="10"/>
  <c r="BC22" i="11"/>
  <c r="R22" i="10"/>
  <c r="BJ54" i="11"/>
  <c r="Y54" i="10"/>
  <c r="AC62" i="10"/>
  <c r="BN62" i="11"/>
  <c r="AH13" i="10"/>
  <c r="BS13" i="11"/>
  <c r="AY13" i="11"/>
  <c r="N13" i="10"/>
  <c r="AQ61" i="11"/>
  <c r="F61" i="10"/>
  <c r="F61" i="11"/>
  <c r="BM33" i="11"/>
  <c r="AB33" i="10"/>
  <c r="O33" i="10"/>
  <c r="AZ33" i="11"/>
  <c r="AC29" i="10"/>
  <c r="BN29" i="11"/>
  <c r="AA27" i="10"/>
  <c r="BL27" i="11"/>
  <c r="BI70" i="11"/>
  <c r="X70" i="10"/>
  <c r="AB24" i="10"/>
  <c r="BM24" i="11"/>
  <c r="AT24" i="11"/>
  <c r="I24" i="10"/>
  <c r="AK48" i="10"/>
  <c r="BV48" i="11"/>
  <c r="AA35" i="10"/>
  <c r="BL35" i="11"/>
  <c r="BL47" i="11"/>
  <c r="AA47" i="10"/>
  <c r="BN38" i="11"/>
  <c r="AC38" i="10"/>
  <c r="AS55" i="11"/>
  <c r="H55" i="10"/>
  <c r="AY42" i="11"/>
  <c r="N42" i="10"/>
  <c r="AX19" i="11"/>
  <c r="M19" i="10"/>
  <c r="AT73" i="11"/>
  <c r="I73" i="10"/>
  <c r="BC31" i="11"/>
  <c r="R31" i="10"/>
  <c r="BJ8" i="11"/>
  <c r="Y8" i="10"/>
  <c r="BV57" i="11"/>
  <c r="AK57" i="10"/>
  <c r="BW9" i="11"/>
  <c r="AL9" i="10"/>
  <c r="BW68" i="11"/>
  <c r="AL68" i="10"/>
  <c r="W68" i="10"/>
  <c r="BH68" i="11"/>
  <c r="S25" i="10"/>
  <c r="BD25" i="11"/>
  <c r="J39" i="10"/>
  <c r="AU39" i="11"/>
  <c r="AD48" i="10"/>
  <c r="BO48" i="11"/>
  <c r="AB35" i="10"/>
  <c r="BM35" i="11"/>
  <c r="BW55" i="11"/>
  <c r="AL55" i="10"/>
  <c r="AG26" i="10"/>
  <c r="BR26" i="11"/>
  <c r="F10" i="10"/>
  <c r="AQ10" i="11"/>
  <c r="AK59" i="10"/>
  <c r="BV59" i="11"/>
  <c r="BQ68" i="11"/>
  <c r="AF68" i="10"/>
  <c r="BH47" i="11"/>
  <c r="W47" i="10"/>
  <c r="K16" i="10"/>
  <c r="AV16" i="11"/>
  <c r="S73" i="10"/>
  <c r="BD73" i="11"/>
  <c r="P56" i="10"/>
  <c r="BA56" i="11"/>
  <c r="BG52" i="11"/>
  <c r="V52" i="10"/>
  <c r="J52" i="10"/>
  <c r="AU52" i="11"/>
  <c r="AY24" i="11"/>
  <c r="N24" i="10"/>
  <c r="AQ32" i="11"/>
  <c r="F32" i="10"/>
  <c r="BA11" i="11"/>
  <c r="P11" i="10"/>
  <c r="BQ55" i="11"/>
  <c r="AF55" i="10"/>
  <c r="M55" i="10"/>
  <c r="AX55" i="11"/>
  <c r="BH19" i="11"/>
  <c r="W19" i="10"/>
  <c r="X73" i="10"/>
  <c r="BI73" i="11"/>
  <c r="BN49" i="11"/>
  <c r="AC49" i="10"/>
  <c r="R49" i="10"/>
  <c r="BC49" i="11"/>
  <c r="O26" i="10"/>
  <c r="AZ26" i="11"/>
  <c r="AE56" i="10"/>
  <c r="BP56" i="11"/>
  <c r="N31" i="10"/>
  <c r="AY31" i="11"/>
  <c r="BC15" i="11"/>
  <c r="R15" i="10"/>
  <c r="O8" i="10"/>
  <c r="AZ8" i="11"/>
  <c r="F14" i="10"/>
  <c r="AQ14" i="11"/>
  <c r="BN17" i="11"/>
  <c r="AC17" i="10"/>
  <c r="AK9" i="10"/>
  <c r="BV9" i="11"/>
  <c r="U9" i="10"/>
  <c r="BF9" i="11"/>
  <c r="X68" i="10"/>
  <c r="BI68" i="11"/>
  <c r="BC64" i="11"/>
  <c r="R64" i="10"/>
  <c r="AZ28" i="11"/>
  <c r="O28" i="10"/>
  <c r="Y53" i="10"/>
  <c r="BJ53" i="11"/>
  <c r="AB20" i="10"/>
  <c r="BM20" i="11"/>
  <c r="AB20" i="11"/>
  <c r="P21" i="10"/>
  <c r="BA21" i="11"/>
  <c r="S65" i="10"/>
  <c r="BD65" i="11"/>
  <c r="T54" i="10"/>
  <c r="BE54" i="11"/>
  <c r="BI61" i="11"/>
  <c r="X61" i="10"/>
  <c r="AG29" i="10"/>
  <c r="BR29" i="11"/>
  <c r="Z27" i="10"/>
  <c r="BK27" i="11"/>
  <c r="BF75" i="11"/>
  <c r="U75" i="10"/>
  <c r="Z38" i="10"/>
  <c r="BK38" i="11"/>
  <c r="J31" i="10"/>
  <c r="AU31" i="11"/>
  <c r="N8" i="10"/>
  <c r="AY8" i="11"/>
  <c r="BO17" i="11"/>
  <c r="AD17" i="10"/>
  <c r="O64" i="10"/>
  <c r="AZ64" i="11"/>
  <c r="AA46" i="10"/>
  <c r="BL46" i="11"/>
  <c r="AZ30" i="11"/>
  <c r="O30" i="10"/>
  <c r="L40" i="10"/>
  <c r="AW40" i="11"/>
  <c r="BD21" i="11"/>
  <c r="S21" i="10"/>
  <c r="AQ66" i="11"/>
  <c r="F66" i="10"/>
  <c r="V54" i="10"/>
  <c r="BG54" i="11"/>
  <c r="P25" i="10"/>
  <c r="BA25" i="11"/>
  <c r="L13" i="10"/>
  <c r="AW13" i="11"/>
  <c r="BM39" i="11"/>
  <c r="AB39" i="10"/>
  <c r="AB29" i="10"/>
  <c r="BM29" i="11"/>
  <c r="K51" i="10"/>
  <c r="AV51" i="11"/>
  <c r="BO75" i="11"/>
  <c r="AD75" i="10"/>
  <c r="BV36" i="11"/>
  <c r="AK36" i="10"/>
  <c r="K48" i="10"/>
  <c r="AV48" i="11"/>
  <c r="AS32" i="11"/>
  <c r="H32" i="10"/>
  <c r="AS43" i="11"/>
  <c r="H43" i="10"/>
  <c r="S55" i="10"/>
  <c r="BD55" i="11"/>
  <c r="Z16" i="10"/>
  <c r="BK16" i="11"/>
  <c r="BS56" i="11"/>
  <c r="AH56" i="10"/>
  <c r="BH31" i="11"/>
  <c r="W31" i="10"/>
  <c r="AT17" i="11"/>
  <c r="I17" i="10"/>
  <c r="W28" i="10"/>
  <c r="BH28" i="11"/>
  <c r="W28" i="11"/>
  <c r="BG28" i="11"/>
  <c r="V28" i="10"/>
  <c r="BI67" i="11"/>
  <c r="X67" i="10"/>
  <c r="R46" i="10"/>
  <c r="BC46" i="11"/>
  <c r="BC53" i="11"/>
  <c r="R53" i="11"/>
  <c r="R53" i="10"/>
  <c r="AY22" i="11"/>
  <c r="N22" i="10"/>
  <c r="AT62" i="11"/>
  <c r="I62" i="10"/>
  <c r="BH39" i="11"/>
  <c r="W39" i="10"/>
  <c r="BV72" i="11"/>
  <c r="AK72" i="10"/>
  <c r="Q70" i="10"/>
  <c r="BB70" i="11"/>
  <c r="Q74" i="10"/>
  <c r="BB74" i="11"/>
  <c r="AV75" i="11"/>
  <c r="K75" i="10"/>
  <c r="AW52" i="11"/>
  <c r="L52" i="10"/>
  <c r="BO24" i="11"/>
  <c r="AD24" i="10"/>
  <c r="AV24" i="11"/>
  <c r="K24" i="10"/>
  <c r="AC36" i="10"/>
  <c r="BN36" i="11"/>
  <c r="L43" i="10"/>
  <c r="AW43" i="11"/>
  <c r="AH20" i="10"/>
  <c r="BS20" i="11"/>
  <c r="AK71" i="10"/>
  <c r="BV71" i="11"/>
  <c r="AA21" i="10"/>
  <c r="BL21" i="11"/>
  <c r="AB18" i="10"/>
  <c r="BM18" i="11"/>
  <c r="O25" i="10"/>
  <c r="AZ25" i="11"/>
  <c r="P63" i="10"/>
  <c r="BA63" i="11"/>
  <c r="Y39" i="10"/>
  <c r="BJ39" i="11"/>
  <c r="T70" i="10"/>
  <c r="BE70" i="11"/>
  <c r="AX44" i="11"/>
  <c r="M44" i="10"/>
  <c r="W52" i="10"/>
  <c r="BH52" i="11"/>
  <c r="P58" i="10"/>
  <c r="BA58" i="11"/>
  <c r="AC42" i="10"/>
  <c r="BN42" i="11"/>
  <c r="BG16" i="11"/>
  <c r="V16" i="10"/>
  <c r="AB49" i="10"/>
  <c r="BM49" i="11"/>
  <c r="AX50" i="11"/>
  <c r="M50" i="10"/>
  <c r="N15" i="10"/>
  <c r="AY15" i="11"/>
  <c r="AX8" i="11"/>
  <c r="M8" i="10"/>
  <c r="BH14" i="11"/>
  <c r="W14" i="10"/>
  <c r="BR57" i="11"/>
  <c r="AG57" i="10"/>
  <c r="AD42" i="10"/>
  <c r="BO42" i="11"/>
  <c r="AQ45" i="11"/>
  <c r="F45" i="10"/>
  <c r="S26" i="10"/>
  <c r="BD26" i="11"/>
  <c r="BB31" i="11"/>
  <c r="Q31" i="10"/>
  <c r="BR8" i="11"/>
  <c r="AG8" i="10"/>
  <c r="T14" i="10"/>
  <c r="BE14" i="11"/>
  <c r="BG68" i="11"/>
  <c r="V68" i="10"/>
  <c r="BO43" i="11"/>
  <c r="AD43" i="10"/>
  <c r="AD43" i="11"/>
  <c r="AW47" i="11"/>
  <c r="L47" i="10"/>
  <c r="AD58" i="10"/>
  <c r="BO58" i="11"/>
  <c r="BB34" i="11"/>
  <c r="Q34" i="10"/>
  <c r="AE19" i="10"/>
  <c r="BP19" i="11"/>
  <c r="U72" i="10"/>
  <c r="BF72" i="11"/>
  <c r="BN43" i="11"/>
  <c r="AC43" i="10"/>
  <c r="T55" i="10"/>
  <c r="BE55" i="11"/>
  <c r="X16" i="10"/>
  <c r="BI16" i="11"/>
  <c r="L19" i="10"/>
  <c r="AW19" i="11"/>
  <c r="AC24" i="10"/>
  <c r="BN24" i="11"/>
  <c r="AW55" i="11"/>
  <c r="L55" i="10"/>
  <c r="AL31" i="10"/>
  <c r="BW31" i="11"/>
  <c r="AT57" i="11"/>
  <c r="I57" i="10"/>
  <c r="BW47" i="11"/>
  <c r="AL47" i="10"/>
  <c r="AC9" i="10"/>
  <c r="BN9" i="11"/>
  <c r="AT20" i="11"/>
  <c r="I20" i="10"/>
  <c r="M61" i="10"/>
  <c r="AX61" i="11"/>
  <c r="V55" i="10"/>
  <c r="BG55" i="11"/>
  <c r="N50" i="10"/>
  <c r="AY50" i="11"/>
  <c r="AL15" i="10"/>
  <c r="BW15" i="11"/>
  <c r="AF15" i="10"/>
  <c r="BQ15" i="11"/>
  <c r="AC57" i="10"/>
  <c r="BN57" i="11"/>
  <c r="H57" i="10"/>
  <c r="AS57" i="11"/>
  <c r="Y44" i="10"/>
  <c r="BJ44" i="11"/>
  <c r="AU35" i="11"/>
  <c r="J35" i="10"/>
  <c r="Z47" i="10"/>
  <c r="BK47" i="11"/>
  <c r="BA41" i="11"/>
  <c r="P41" i="10"/>
  <c r="Q65" i="10"/>
  <c r="BB65" i="11"/>
  <c r="U54" i="10"/>
  <c r="BF54" i="11"/>
  <c r="AQ42" i="11"/>
  <c r="F42" i="10"/>
  <c r="K26" i="10"/>
  <c r="AV26" i="11"/>
  <c r="BO61" i="11"/>
  <c r="AD61" i="10"/>
  <c r="AF44" i="10"/>
  <c r="BQ44" i="11"/>
  <c r="AW24" i="11"/>
  <c r="L24" i="10"/>
  <c r="AT8" i="11"/>
  <c r="I8" i="10"/>
  <c r="AL17" i="10"/>
  <c r="BW17" i="11"/>
  <c r="I19" i="10"/>
  <c r="AT19" i="11"/>
  <c r="BJ18" i="11"/>
  <c r="Y18" i="10"/>
  <c r="BC59" i="11"/>
  <c r="R59" i="10"/>
  <c r="BL68" i="11"/>
  <c r="AA68" i="10"/>
  <c r="AV29" i="11"/>
  <c r="K29" i="10"/>
  <c r="X66" i="10"/>
  <c r="BI66" i="11"/>
  <c r="X66" i="11"/>
  <c r="M21" i="10"/>
  <c r="AX21" i="11"/>
  <c r="T32" i="10"/>
  <c r="BE32" i="11"/>
  <c r="BO47" i="11"/>
  <c r="AD47" i="10"/>
  <c r="U58" i="10"/>
  <c r="BF58" i="11"/>
  <c r="AL10" i="10"/>
  <c r="BW10" i="11"/>
  <c r="AS26" i="11"/>
  <c r="H26" i="10"/>
  <c r="I69" i="10"/>
  <c r="AT69" i="11"/>
  <c r="AC69" i="10"/>
  <c r="BN69" i="11"/>
  <c r="BR43" i="11"/>
  <c r="AG43" i="10"/>
  <c r="BV11" i="11"/>
  <c r="AK11" i="10"/>
  <c r="BD24" i="11"/>
  <c r="S24" i="10"/>
  <c r="P74" i="10"/>
  <c r="BA74" i="11"/>
  <c r="AH29" i="10"/>
  <c r="BS29" i="11"/>
  <c r="AL62" i="10"/>
  <c r="BW62" i="11"/>
  <c r="J20" i="10"/>
  <c r="AU20" i="11"/>
  <c r="BK40" i="11"/>
  <c r="Z40" i="10"/>
  <c r="AZ12" i="11"/>
  <c r="O12" i="10"/>
  <c r="AU67" i="11"/>
  <c r="J67" i="10"/>
  <c r="AK64" i="10"/>
  <c r="BV64" i="11"/>
  <c r="BT39" i="11"/>
  <c r="AI39" i="10"/>
  <c r="AI20" i="10"/>
  <c r="BT20" i="11"/>
  <c r="AI27" i="10"/>
  <c r="BT27" i="11"/>
  <c r="AJ8" i="10"/>
  <c r="BU8" i="11"/>
  <c r="BU13" i="11"/>
  <c r="AJ13" i="10"/>
  <c r="AJ19" i="10"/>
  <c r="BU19" i="11"/>
  <c r="AJ24" i="10"/>
  <c r="BU24" i="11"/>
  <c r="BU29" i="11"/>
  <c r="AJ29" i="10"/>
  <c r="AJ35" i="10"/>
  <c r="BU35" i="11"/>
  <c r="BU40" i="11"/>
  <c r="AJ40" i="10"/>
  <c r="BU45" i="11"/>
  <c r="AJ45" i="10"/>
  <c r="AJ51" i="10"/>
  <c r="BU51" i="11"/>
  <c r="BU56" i="11"/>
  <c r="AJ56" i="10"/>
  <c r="AJ61" i="10"/>
  <c r="BU61" i="11"/>
  <c r="BU67" i="11"/>
  <c r="AJ67" i="10"/>
  <c r="BU72" i="11"/>
  <c r="AJ72" i="10"/>
  <c r="BT15" i="11"/>
  <c r="AI15" i="10"/>
  <c r="AI24" i="10"/>
  <c r="BT24" i="11"/>
  <c r="BT32" i="11"/>
  <c r="AI32" i="10"/>
  <c r="AI40" i="10"/>
  <c r="BT40" i="11"/>
  <c r="AI46" i="10"/>
  <c r="BT46" i="11"/>
  <c r="AI51" i="10"/>
  <c r="BT51" i="11"/>
  <c r="AI56" i="10"/>
  <c r="BT56" i="11"/>
  <c r="BT62" i="11"/>
  <c r="AI62" i="10"/>
  <c r="AI67" i="10"/>
  <c r="BT67" i="11"/>
  <c r="AI72" i="10"/>
  <c r="BT72" i="11"/>
  <c r="AJ15" i="29"/>
  <c r="AR8" i="9"/>
  <c r="AR54" i="9"/>
  <c r="J54" i="27"/>
  <c r="K54" i="27" s="1"/>
  <c r="L54" i="27" s="1"/>
  <c r="N54" i="27" s="1"/>
  <c r="J63" i="27"/>
  <c r="K63" i="27" s="1"/>
  <c r="L63" i="27" s="1"/>
  <c r="N63" i="27" s="1"/>
  <c r="J15" i="28"/>
  <c r="K15" i="28" s="1"/>
  <c r="L15" i="28" s="1"/>
  <c r="N15" i="28" s="1"/>
  <c r="J18" i="27"/>
  <c r="K18" i="27" s="1"/>
  <c r="L18" i="27" s="1"/>
  <c r="N18" i="27" s="1"/>
  <c r="J65" i="28"/>
  <c r="K65" i="28" s="1"/>
  <c r="L65" i="28" s="1"/>
  <c r="N65" i="28" s="1"/>
  <c r="J70" i="27"/>
  <c r="K70" i="27" s="1"/>
  <c r="L70" i="27" s="1"/>
  <c r="N70" i="27" s="1"/>
  <c r="J50" i="28"/>
  <c r="K50" i="28" s="1"/>
  <c r="L50" i="28" s="1"/>
  <c r="N50" i="28" s="1"/>
  <c r="J56" i="28"/>
  <c r="K56" i="28" s="1"/>
  <c r="L56" i="28" s="1"/>
  <c r="N56" i="28" s="1"/>
  <c r="J22" i="28"/>
  <c r="K22" i="28" s="1"/>
  <c r="L22" i="28" s="1"/>
  <c r="N22" i="28" s="1"/>
  <c r="J27" i="28"/>
  <c r="K27" i="28" s="1"/>
  <c r="L27" i="28" s="1"/>
  <c r="N27" i="28" s="1"/>
  <c r="L7" i="29"/>
  <c r="J11" i="27"/>
  <c r="K11" i="27" s="1"/>
  <c r="L11" i="27" s="1"/>
  <c r="N11" i="27" s="1"/>
  <c r="J13" i="27"/>
  <c r="K13" i="27" s="1"/>
  <c r="L13" i="27" s="1"/>
  <c r="N13" i="27" s="1"/>
  <c r="J10" i="26"/>
  <c r="K10" i="26" s="1"/>
  <c r="L10" i="26" s="1"/>
  <c r="N10" i="26" s="1"/>
  <c r="J22" i="27"/>
  <c r="K22" i="27" s="1"/>
  <c r="L22" i="27" s="1"/>
  <c r="N22" i="27" s="1"/>
  <c r="J75" i="28"/>
  <c r="K75" i="28" s="1"/>
  <c r="L75" i="28" s="1"/>
  <c r="N75" i="28" s="1"/>
  <c r="J32" i="28"/>
  <c r="K32" i="28" s="1"/>
  <c r="L32" i="28" s="1"/>
  <c r="N32" i="28" s="1"/>
  <c r="J70" i="28"/>
  <c r="K70" i="28" s="1"/>
  <c r="L70" i="28" s="1"/>
  <c r="N70" i="28" s="1"/>
  <c r="J66" i="27"/>
  <c r="K66" i="27" s="1"/>
  <c r="L66" i="27" s="1"/>
  <c r="N66" i="27" s="1"/>
  <c r="J31" i="28"/>
  <c r="K31" i="28" s="1"/>
  <c r="L31" i="28" s="1"/>
  <c r="N31" i="28" s="1"/>
  <c r="J43" i="27"/>
  <c r="K43" i="27" s="1"/>
  <c r="L43" i="27" s="1"/>
  <c r="N43" i="27" s="1"/>
  <c r="J65" i="26"/>
  <c r="K65" i="26" s="1"/>
  <c r="L65" i="26" s="1"/>
  <c r="N65" i="26" s="1"/>
  <c r="L14" i="29"/>
  <c r="J14" i="26"/>
  <c r="K14" i="26" s="1"/>
  <c r="L14" i="26" s="1"/>
  <c r="N14" i="26" s="1"/>
  <c r="L8" i="29"/>
  <c r="J68" i="28"/>
  <c r="K68" i="28" s="1"/>
  <c r="L68" i="28" s="1"/>
  <c r="N68" i="28" s="1"/>
  <c r="J50" i="27"/>
  <c r="K50" i="27" s="1"/>
  <c r="L50" i="27" s="1"/>
  <c r="N50" i="27" s="1"/>
  <c r="L13" i="29"/>
  <c r="AR68" i="9"/>
  <c r="AR38" i="9"/>
  <c r="AR25" i="9"/>
  <c r="AR63" i="9"/>
  <c r="AR65" i="9"/>
  <c r="J61" i="27"/>
  <c r="K61" i="27" s="1"/>
  <c r="L61" i="27" s="1"/>
  <c r="N61" i="27" s="1"/>
  <c r="J30" i="26"/>
  <c r="K30" i="26" s="1"/>
  <c r="L30" i="26" s="1"/>
  <c r="N30" i="26" s="1"/>
  <c r="J43" i="28"/>
  <c r="K43" i="28" s="1"/>
  <c r="L43" i="28" s="1"/>
  <c r="N43" i="28" s="1"/>
  <c r="J58" i="27"/>
  <c r="K58" i="27" s="1"/>
  <c r="L58" i="27" s="1"/>
  <c r="N58" i="27" s="1"/>
  <c r="J68" i="26"/>
  <c r="K68" i="26" s="1"/>
  <c r="L68" i="26" s="1"/>
  <c r="N68" i="26" s="1"/>
  <c r="J49" i="27"/>
  <c r="K49" i="27" s="1"/>
  <c r="L49" i="27" s="1"/>
  <c r="N49" i="27" s="1"/>
  <c r="J52" i="26"/>
  <c r="K52" i="26" s="1"/>
  <c r="L52" i="26" s="1"/>
  <c r="N52" i="26" s="1"/>
  <c r="J69" i="26"/>
  <c r="K69" i="26" s="1"/>
  <c r="L69" i="26" s="1"/>
  <c r="N69" i="26" s="1"/>
  <c r="J9" i="26"/>
  <c r="K9" i="26" s="1"/>
  <c r="L9" i="26" s="1"/>
  <c r="N9" i="26" s="1"/>
  <c r="J13" i="28"/>
  <c r="K13" i="28" s="1"/>
  <c r="L13" i="28" s="1"/>
  <c r="N13" i="28" s="1"/>
  <c r="J11" i="26"/>
  <c r="K11" i="26" s="1"/>
  <c r="L11" i="26" s="1"/>
  <c r="N11" i="26" s="1"/>
  <c r="J48" i="27"/>
  <c r="K48" i="27" s="1"/>
  <c r="L48" i="27" s="1"/>
  <c r="N48" i="27" s="1"/>
  <c r="J63" i="26"/>
  <c r="K63" i="26" s="1"/>
  <c r="L63" i="26" s="1"/>
  <c r="N63" i="26" s="1"/>
  <c r="J16" i="27"/>
  <c r="K16" i="27" s="1"/>
  <c r="L16" i="27" s="1"/>
  <c r="N16" i="27" s="1"/>
  <c r="J38" i="26"/>
  <c r="K38" i="26" s="1"/>
  <c r="L38" i="26" s="1"/>
  <c r="N38" i="26" s="1"/>
  <c r="J19" i="26"/>
  <c r="K19" i="26" s="1"/>
  <c r="L19" i="26" s="1"/>
  <c r="N19" i="26" s="1"/>
  <c r="J18" i="28"/>
  <c r="K18" i="28" s="1"/>
  <c r="L18" i="28" s="1"/>
  <c r="N18" i="28" s="1"/>
  <c r="J35" i="27"/>
  <c r="K35" i="27" s="1"/>
  <c r="L35" i="27" s="1"/>
  <c r="N35" i="27" s="1"/>
  <c r="J44" i="28"/>
  <c r="K44" i="28" s="1"/>
  <c r="L44" i="28" s="1"/>
  <c r="N44" i="28" s="1"/>
  <c r="J7" i="28"/>
  <c r="AR43" i="9"/>
  <c r="AR61" i="9"/>
  <c r="AR31" i="9"/>
  <c r="J51" i="26"/>
  <c r="K51" i="26" s="1"/>
  <c r="L51" i="26" s="1"/>
  <c r="N51" i="26" s="1"/>
  <c r="J61" i="28"/>
  <c r="K61" i="28" s="1"/>
  <c r="L61" i="28" s="1"/>
  <c r="N61" i="28" s="1"/>
  <c r="J74" i="27"/>
  <c r="K74" i="27" s="1"/>
  <c r="L74" i="27" s="1"/>
  <c r="N74" i="27" s="1"/>
  <c r="J43" i="26"/>
  <c r="K43" i="26" s="1"/>
  <c r="L43" i="26" s="1"/>
  <c r="N43" i="26" s="1"/>
  <c r="J26" i="26"/>
  <c r="K26" i="26" s="1"/>
  <c r="L26" i="26" s="1"/>
  <c r="N26" i="26" s="1"/>
  <c r="J21" i="28"/>
  <c r="K21" i="28" s="1"/>
  <c r="L21" i="28" s="1"/>
  <c r="N21" i="28" s="1"/>
  <c r="J69" i="27"/>
  <c r="K69" i="27" s="1"/>
  <c r="L69" i="27" s="1"/>
  <c r="N69" i="27" s="1"/>
  <c r="J13" i="26"/>
  <c r="K13" i="26" s="1"/>
  <c r="L13" i="26" s="1"/>
  <c r="N13" i="26" s="1"/>
  <c r="J28" i="28"/>
  <c r="K28" i="28" s="1"/>
  <c r="L28" i="28" s="1"/>
  <c r="N28" i="28" s="1"/>
  <c r="J15" i="26"/>
  <c r="K15" i="26" s="1"/>
  <c r="L15" i="26" s="1"/>
  <c r="N15" i="26" s="1"/>
  <c r="J55" i="28"/>
  <c r="K55" i="28" s="1"/>
  <c r="L55" i="28" s="1"/>
  <c r="N55" i="28" s="1"/>
  <c r="J39" i="27"/>
  <c r="K39" i="27" s="1"/>
  <c r="L39" i="27" s="1"/>
  <c r="N39" i="27" s="1"/>
  <c r="J58" i="26"/>
  <c r="K58" i="26" s="1"/>
  <c r="L58" i="26" s="1"/>
  <c r="N58" i="26" s="1"/>
  <c r="J44" i="26"/>
  <c r="K44" i="26" s="1"/>
  <c r="L44" i="26" s="1"/>
  <c r="N44" i="26" s="1"/>
  <c r="J35" i="26"/>
  <c r="K35" i="26" s="1"/>
  <c r="L35" i="26" s="1"/>
  <c r="N35" i="26" s="1"/>
  <c r="J27" i="27"/>
  <c r="K27" i="27" s="1"/>
  <c r="L27" i="27" s="1"/>
  <c r="N27" i="27" s="1"/>
  <c r="J62" i="26"/>
  <c r="K62" i="26" s="1"/>
  <c r="L62" i="26" s="1"/>
  <c r="N62" i="26" s="1"/>
  <c r="J62" i="28"/>
  <c r="K62" i="28" s="1"/>
  <c r="L62" i="28" s="1"/>
  <c r="N62" i="28" s="1"/>
  <c r="J17" i="27"/>
  <c r="K17" i="27" s="1"/>
  <c r="L17" i="27" s="1"/>
  <c r="N17" i="27" s="1"/>
  <c r="J17" i="28"/>
  <c r="K17" i="28" s="1"/>
  <c r="L17" i="28" s="1"/>
  <c r="N17" i="28" s="1"/>
  <c r="J29" i="28"/>
  <c r="K29" i="28" s="1"/>
  <c r="L29" i="28" s="1"/>
  <c r="N29" i="28" s="1"/>
  <c r="J29" i="27"/>
  <c r="K29" i="27" s="1"/>
  <c r="L29" i="27" s="1"/>
  <c r="N29" i="27" s="1"/>
  <c r="L11" i="29"/>
  <c r="J8" i="28"/>
  <c r="K8" i="28" s="1"/>
  <c r="L8" i="28" s="1"/>
  <c r="N8" i="28" s="1"/>
  <c r="J8" i="27"/>
  <c r="K8" i="27" s="1"/>
  <c r="L8" i="27" s="1"/>
  <c r="N8" i="27" s="1"/>
  <c r="J25" i="26"/>
  <c r="K25" i="26" s="1"/>
  <c r="L25" i="26" s="1"/>
  <c r="N25" i="26" s="1"/>
  <c r="J25" i="28"/>
  <c r="K25" i="28" s="1"/>
  <c r="L25" i="28" s="1"/>
  <c r="N25" i="28" s="1"/>
  <c r="J75" i="27"/>
  <c r="K75" i="27" s="1"/>
  <c r="L75" i="27" s="1"/>
  <c r="N75" i="27" s="1"/>
  <c r="J42" i="28"/>
  <c r="K42" i="28" s="1"/>
  <c r="L42" i="28" s="1"/>
  <c r="N42" i="28" s="1"/>
  <c r="J42" i="27"/>
  <c r="K42" i="27" s="1"/>
  <c r="L42" i="27" s="1"/>
  <c r="N42" i="27" s="1"/>
  <c r="J71" i="28"/>
  <c r="K71" i="28" s="1"/>
  <c r="L71" i="28" s="1"/>
  <c r="N71" i="28" s="1"/>
  <c r="J71" i="26"/>
  <c r="K71" i="26" s="1"/>
  <c r="L71" i="26" s="1"/>
  <c r="N71" i="26" s="1"/>
  <c r="J71" i="27"/>
  <c r="K71" i="27" s="1"/>
  <c r="L71" i="27" s="1"/>
  <c r="N71" i="27" s="1"/>
  <c r="AR9" i="9"/>
  <c r="J45" i="28"/>
  <c r="K45" i="28" s="1"/>
  <c r="L45" i="28" s="1"/>
  <c r="N45" i="28" s="1"/>
  <c r="AR40" i="9"/>
  <c r="AR42" i="9"/>
  <c r="J16" i="28"/>
  <c r="K16" i="28" s="1"/>
  <c r="L16" i="28" s="1"/>
  <c r="N16" i="28" s="1"/>
  <c r="AR52" i="9"/>
  <c r="AR13" i="9"/>
  <c r="J45" i="27"/>
  <c r="K45" i="27" s="1"/>
  <c r="L45" i="27" s="1"/>
  <c r="N45" i="27" s="1"/>
  <c r="J45" i="26"/>
  <c r="K45" i="26" s="1"/>
  <c r="L45" i="26" s="1"/>
  <c r="N45" i="26" s="1"/>
  <c r="J14" i="28"/>
  <c r="K14" i="28" s="1"/>
  <c r="L14" i="28" s="1"/>
  <c r="N14" i="28" s="1"/>
  <c r="J14" i="27"/>
  <c r="K14" i="27" s="1"/>
  <c r="L14" i="27" s="1"/>
  <c r="N14" i="27" s="1"/>
  <c r="J60" i="28"/>
  <c r="K60" i="28" s="1"/>
  <c r="L60" i="28" s="1"/>
  <c r="N60" i="28" s="1"/>
  <c r="J60" i="27"/>
  <c r="K60" i="27" s="1"/>
  <c r="L60" i="27" s="1"/>
  <c r="N60" i="27" s="1"/>
  <c r="AR34" i="9"/>
  <c r="J19" i="27"/>
  <c r="K19" i="27" s="1"/>
  <c r="L19" i="27" s="1"/>
  <c r="N19" i="27" s="1"/>
  <c r="J75" i="26"/>
  <c r="K75" i="26" s="1"/>
  <c r="L75" i="26" s="1"/>
  <c r="N75" i="26" s="1"/>
  <c r="J38" i="28"/>
  <c r="K38" i="28" s="1"/>
  <c r="L38" i="28" s="1"/>
  <c r="N38" i="28" s="1"/>
  <c r="J38" i="27"/>
  <c r="K38" i="27" s="1"/>
  <c r="L38" i="27" s="1"/>
  <c r="N38" i="27" s="1"/>
  <c r="J24" i="28"/>
  <c r="K24" i="28" s="1"/>
  <c r="L24" i="28" s="1"/>
  <c r="N24" i="28" s="1"/>
  <c r="J24" i="27"/>
  <c r="K24" i="27" s="1"/>
  <c r="L24" i="27" s="1"/>
  <c r="N24" i="27" s="1"/>
  <c r="J37" i="28"/>
  <c r="K37" i="28" s="1"/>
  <c r="L37" i="28" s="1"/>
  <c r="N37" i="28" s="1"/>
  <c r="J37" i="27"/>
  <c r="K37" i="27" s="1"/>
  <c r="L37" i="27" s="1"/>
  <c r="N37" i="27" s="1"/>
  <c r="J34" i="28"/>
  <c r="K34" i="28" s="1"/>
  <c r="L34" i="28" s="1"/>
  <c r="N34" i="28" s="1"/>
  <c r="J34" i="27"/>
  <c r="K34" i="27" s="1"/>
  <c r="L34" i="27" s="1"/>
  <c r="N34" i="27" s="1"/>
  <c r="J46" i="28"/>
  <c r="K46" i="28" s="1"/>
  <c r="L46" i="28" s="1"/>
  <c r="N46" i="28" s="1"/>
  <c r="J46" i="27"/>
  <c r="K46" i="27" s="1"/>
  <c r="L46" i="27" s="1"/>
  <c r="N46" i="27" s="1"/>
  <c r="AR19" i="9"/>
  <c r="AR58" i="9"/>
  <c r="AR49" i="9"/>
  <c r="J62" i="27"/>
  <c r="K62" i="27" s="1"/>
  <c r="L62" i="27" s="1"/>
  <c r="N62" i="27" s="1"/>
  <c r="J27" i="26"/>
  <c r="K27" i="26" s="1"/>
  <c r="L27" i="26" s="1"/>
  <c r="N27" i="26" s="1"/>
  <c r="J55" i="27"/>
  <c r="K55" i="27" s="1"/>
  <c r="L55" i="27" s="1"/>
  <c r="N55" i="27" s="1"/>
  <c r="J11" i="28"/>
  <c r="K11" i="28" s="1"/>
  <c r="L11" i="28" s="1"/>
  <c r="N11" i="28" s="1"/>
  <c r="J19" i="28"/>
  <c r="K19" i="28" s="1"/>
  <c r="L19" i="28" s="1"/>
  <c r="N19" i="28" s="1"/>
  <c r="J53" i="27"/>
  <c r="K53" i="27" s="1"/>
  <c r="L53" i="27" s="1"/>
  <c r="N53" i="27" s="1"/>
  <c r="J47" i="26"/>
  <c r="K47" i="26" s="1"/>
  <c r="L47" i="26" s="1"/>
  <c r="N47" i="26" s="1"/>
  <c r="J36" i="27"/>
  <c r="K36" i="27" s="1"/>
  <c r="L36" i="27" s="1"/>
  <c r="N36" i="27" s="1"/>
  <c r="J70" i="26"/>
  <c r="K70" i="26" s="1"/>
  <c r="L70" i="26" s="1"/>
  <c r="N70" i="26" s="1"/>
  <c r="J52" i="28"/>
  <c r="K52" i="28" s="1"/>
  <c r="L52" i="28" s="1"/>
  <c r="N52" i="28" s="1"/>
  <c r="J33" i="27"/>
  <c r="K33" i="27" s="1"/>
  <c r="L33" i="27" s="1"/>
  <c r="N33" i="27" s="1"/>
  <c r="J47" i="27"/>
  <c r="K47" i="27" s="1"/>
  <c r="L47" i="27" s="1"/>
  <c r="N47" i="27" s="1"/>
  <c r="J57" i="26"/>
  <c r="K57" i="26" s="1"/>
  <c r="L57" i="26" s="1"/>
  <c r="N57" i="26" s="1"/>
  <c r="J32" i="27"/>
  <c r="K32" i="27" s="1"/>
  <c r="L32" i="27" s="1"/>
  <c r="N32" i="27" s="1"/>
  <c r="J72" i="26"/>
  <c r="K72" i="26" s="1"/>
  <c r="L72" i="26" s="1"/>
  <c r="N72" i="26" s="1"/>
  <c r="J25" i="27"/>
  <c r="K25" i="27" s="1"/>
  <c r="L25" i="27" s="1"/>
  <c r="N25" i="27" s="1"/>
  <c r="J33" i="28"/>
  <c r="K33" i="28" s="1"/>
  <c r="L33" i="28" s="1"/>
  <c r="N33" i="28" s="1"/>
  <c r="J35" i="28"/>
  <c r="K35" i="28" s="1"/>
  <c r="L35" i="28" s="1"/>
  <c r="N35" i="28" s="1"/>
  <c r="J26" i="28"/>
  <c r="K26" i="28" s="1"/>
  <c r="L26" i="28" s="1"/>
  <c r="N26" i="28" s="1"/>
  <c r="J10" i="28"/>
  <c r="K10" i="28" s="1"/>
  <c r="L10" i="28" s="1"/>
  <c r="N10" i="28" s="1"/>
  <c r="J40" i="27"/>
  <c r="K40" i="27" s="1"/>
  <c r="L40" i="27" s="1"/>
  <c r="N40" i="27" s="1"/>
  <c r="J23" i="27"/>
  <c r="K23" i="27" s="1"/>
  <c r="L23" i="27" s="1"/>
  <c r="N23" i="27" s="1"/>
  <c r="J31" i="26"/>
  <c r="K31" i="26" s="1"/>
  <c r="L31" i="26" s="1"/>
  <c r="N31" i="26" s="1"/>
  <c r="J31" i="27"/>
  <c r="K31" i="27" s="1"/>
  <c r="L31" i="27" s="1"/>
  <c r="N31" i="27" s="1"/>
  <c r="J59" i="26"/>
  <c r="K59" i="26" s="1"/>
  <c r="L59" i="26" s="1"/>
  <c r="N59" i="26" s="1"/>
  <c r="J59" i="27"/>
  <c r="K59" i="27" s="1"/>
  <c r="L59" i="27" s="1"/>
  <c r="N59" i="27" s="1"/>
  <c r="L15" i="29"/>
  <c r="R29" i="26" l="1"/>
  <c r="R60" i="26"/>
  <c r="P28" i="27"/>
  <c r="Q28" i="27" s="1"/>
  <c r="P64" i="27"/>
  <c r="Q64" i="27" s="1"/>
  <c r="AI17" i="29"/>
  <c r="AI19" i="29" s="1"/>
  <c r="P54" i="28"/>
  <c r="Q54" i="28" s="1"/>
  <c r="R57" i="27"/>
  <c r="P23" i="26"/>
  <c r="Q23" i="26" s="1"/>
  <c r="P12" i="28"/>
  <c r="Q12" i="28" s="1"/>
  <c r="R22" i="26"/>
  <c r="V54" i="11"/>
  <c r="AB57" i="11"/>
  <c r="X43" i="11"/>
  <c r="W60" i="11"/>
  <c r="K11" i="11"/>
  <c r="Z21" i="11"/>
  <c r="L61" i="11"/>
  <c r="R28" i="11"/>
  <c r="AB60" i="11"/>
  <c r="O26" i="11"/>
  <c r="X73" i="11"/>
  <c r="J52" i="11"/>
  <c r="V65" i="11"/>
  <c r="X75" i="11"/>
  <c r="AI38" i="11"/>
  <c r="AI30" i="11"/>
  <c r="W50" i="11"/>
  <c r="S19" i="11"/>
  <c r="P27" i="11"/>
  <c r="AE33" i="11"/>
  <c r="R56" i="11"/>
  <c r="J22" i="11"/>
  <c r="AF74" i="11"/>
  <c r="O11" i="11"/>
  <c r="AK67" i="11"/>
  <c r="L32" i="11"/>
  <c r="M35" i="11"/>
  <c r="T70" i="11"/>
  <c r="AE56" i="11"/>
  <c r="Z18" i="11"/>
  <c r="M14" i="11"/>
  <c r="F18" i="11"/>
  <c r="I50" i="11"/>
  <c r="R20" i="11"/>
  <c r="AE34" i="11"/>
  <c r="V13" i="11"/>
  <c r="O52" i="11"/>
  <c r="P74" i="11"/>
  <c r="K26" i="11"/>
  <c r="AH68" i="11"/>
  <c r="AK18" i="11"/>
  <c r="V30" i="11"/>
  <c r="V40" i="11"/>
  <c r="N53" i="11"/>
  <c r="L15" i="11"/>
  <c r="AF52" i="11"/>
  <c r="AI54" i="11"/>
  <c r="AH33" i="11"/>
  <c r="J36" i="11"/>
  <c r="AJ30" i="11"/>
  <c r="AA24" i="11"/>
  <c r="S56" i="11"/>
  <c r="AG40" i="11"/>
  <c r="Y10" i="11"/>
  <c r="Z50" i="11"/>
  <c r="M47" i="11"/>
  <c r="AD22" i="11"/>
  <c r="Z22" i="11"/>
  <c r="V35" i="11"/>
  <c r="AB61" i="11"/>
  <c r="N36" i="11"/>
  <c r="AH72" i="11"/>
  <c r="F65" i="11"/>
  <c r="AB17" i="11"/>
  <c r="AJ52" i="11"/>
  <c r="I59" i="11"/>
  <c r="AE72" i="11"/>
  <c r="W65" i="11"/>
  <c r="Y71" i="11"/>
  <c r="P49" i="11"/>
  <c r="T62" i="11"/>
  <c r="U40" i="11"/>
  <c r="R45" i="11"/>
  <c r="Z44" i="11"/>
  <c r="L33" i="11"/>
  <c r="AJ61" i="11"/>
  <c r="AJ51" i="11"/>
  <c r="Z47" i="11"/>
  <c r="AD17" i="11"/>
  <c r="V45" i="11"/>
  <c r="AG62" i="11"/>
  <c r="T23" i="11"/>
  <c r="S29" i="11"/>
  <c r="S70" i="11"/>
  <c r="T67" i="11"/>
  <c r="O74" i="11"/>
  <c r="L18" i="11"/>
  <c r="S22" i="11"/>
  <c r="X74" i="11"/>
  <c r="Z48" i="11"/>
  <c r="F29" i="11"/>
  <c r="AH61" i="11"/>
  <c r="AF20" i="11"/>
  <c r="Z19" i="11"/>
  <c r="Y17" i="11"/>
  <c r="P10" i="11"/>
  <c r="V47" i="11"/>
  <c r="AI23" i="11"/>
  <c r="W30" i="11"/>
  <c r="R75" i="11"/>
  <c r="K17" i="11"/>
  <c r="H63" i="11"/>
  <c r="AH36" i="11"/>
  <c r="AG51" i="11"/>
  <c r="AB32" i="11"/>
  <c r="AF75" i="11"/>
  <c r="AK51" i="11"/>
  <c r="M72" i="11"/>
  <c r="N40" i="11"/>
  <c r="AJ38" i="11"/>
  <c r="AI58" i="11"/>
  <c r="AI16" i="11"/>
  <c r="AG55" i="11"/>
  <c r="AA18" i="11"/>
  <c r="W57" i="11"/>
  <c r="AD38" i="11"/>
  <c r="I16" i="11"/>
  <c r="AD39" i="11"/>
  <c r="R54" i="11"/>
  <c r="Y18" i="11"/>
  <c r="W39" i="11"/>
  <c r="AA58" i="11"/>
  <c r="AI22" i="11"/>
  <c r="H62" i="11"/>
  <c r="Z71" i="11"/>
  <c r="Q17" i="11"/>
  <c r="U25" i="11"/>
  <c r="X44" i="11"/>
  <c r="AB9" i="11"/>
  <c r="F41" i="11"/>
  <c r="M45" i="11"/>
  <c r="N60" i="11"/>
  <c r="K73" i="11"/>
  <c r="I39" i="11"/>
  <c r="M52" i="11"/>
  <c r="Q71" i="11"/>
  <c r="AC55" i="11"/>
  <c r="AE27" i="11"/>
  <c r="AI61" i="11"/>
  <c r="AJ9" i="11"/>
  <c r="V38" i="11"/>
  <c r="H75" i="11"/>
  <c r="P51" i="11"/>
  <c r="N26" i="11"/>
  <c r="AJ19" i="11"/>
  <c r="AJ8" i="11"/>
  <c r="U58" i="11"/>
  <c r="K29" i="11"/>
  <c r="L43" i="11"/>
  <c r="K48" i="11"/>
  <c r="Z63" i="11"/>
  <c r="L56" i="11"/>
  <c r="AL26" i="11"/>
  <c r="F36" i="11"/>
  <c r="I31" i="11"/>
  <c r="J26" i="11"/>
  <c r="AC66" i="11"/>
  <c r="Q30" i="11"/>
  <c r="J38" i="11"/>
  <c r="W71" i="11"/>
  <c r="O32" i="11"/>
  <c r="W22" i="11"/>
  <c r="AK55" i="11"/>
  <c r="AE12" i="11"/>
  <c r="I48" i="11"/>
  <c r="AE57" i="11"/>
  <c r="Y49" i="11"/>
  <c r="X54" i="11"/>
  <c r="T25" i="11"/>
  <c r="U14" i="11"/>
  <c r="H20" i="11"/>
  <c r="AI45" i="11"/>
  <c r="AJ74" i="11"/>
  <c r="AJ66" i="11"/>
  <c r="AJ62" i="11"/>
  <c r="AJ41" i="11"/>
  <c r="AG14" i="11"/>
  <c r="V31" i="11"/>
  <c r="O10" i="11"/>
  <c r="H58" i="11"/>
  <c r="AD27" i="11"/>
  <c r="K13" i="11"/>
  <c r="T68" i="11"/>
  <c r="AG27" i="11"/>
  <c r="AL75" i="11"/>
  <c r="I67" i="11"/>
  <c r="AB37" i="11"/>
  <c r="AI62" i="11"/>
  <c r="AC17" i="11"/>
  <c r="AC49" i="11"/>
  <c r="Z75" i="11"/>
  <c r="N9" i="11"/>
  <c r="J73" i="11"/>
  <c r="P47" i="11"/>
  <c r="W38" i="11"/>
  <c r="T39" i="11"/>
  <c r="AE53" i="11"/>
  <c r="AA65" i="11"/>
  <c r="AL67" i="11"/>
  <c r="N43" i="11"/>
  <c r="AA67" i="11"/>
  <c r="AF62" i="11"/>
  <c r="L20" i="11"/>
  <c r="AA33" i="11"/>
  <c r="AH51" i="11"/>
  <c r="AD8" i="11"/>
  <c r="Q42" i="11"/>
  <c r="I61" i="11"/>
  <c r="M22" i="11"/>
  <c r="O67" i="11"/>
  <c r="AG11" i="11"/>
  <c r="AE51" i="11"/>
  <c r="P70" i="11"/>
  <c r="AK23" i="11"/>
  <c r="AE26" i="11"/>
  <c r="T61" i="11"/>
  <c r="M74" i="11"/>
  <c r="AI75" i="11"/>
  <c r="P35" i="11"/>
  <c r="AD11" i="11"/>
  <c r="V22" i="11"/>
  <c r="S60" i="11"/>
  <c r="I14" i="11"/>
  <c r="I10" i="11"/>
  <c r="W32" i="11"/>
  <c r="AD10" i="11"/>
  <c r="P16" i="11"/>
  <c r="AB11" i="11"/>
  <c r="F33" i="11"/>
  <c r="AD70" i="11"/>
  <c r="AD67" i="11"/>
  <c r="N23" i="11"/>
  <c r="N46" i="11"/>
  <c r="T64" i="11"/>
  <c r="N56" i="11"/>
  <c r="L65" i="11"/>
  <c r="AB64" i="11"/>
  <c r="AF21" i="11"/>
  <c r="M49" i="11"/>
  <c r="AH40" i="11"/>
  <c r="AJ47" i="11"/>
  <c r="AB45" i="11"/>
  <c r="AA16" i="11"/>
  <c r="F47" i="11"/>
  <c r="L25" i="11"/>
  <c r="AC67" i="11"/>
  <c r="O49" i="11"/>
  <c r="W18" i="11"/>
  <c r="J10" i="11"/>
  <c r="F15" i="11"/>
  <c r="H27" i="11"/>
  <c r="S30" i="11"/>
  <c r="K21" i="11"/>
  <c r="Z20" i="11"/>
  <c r="Y40" i="11"/>
  <c r="AL10" i="11"/>
  <c r="M21" i="11"/>
  <c r="M61" i="11"/>
  <c r="I20" i="11"/>
  <c r="AK72" i="11"/>
  <c r="Z16" i="11"/>
  <c r="K51" i="11"/>
  <c r="AK9" i="11"/>
  <c r="R49" i="11"/>
  <c r="AK59" i="11"/>
  <c r="M19" i="11"/>
  <c r="T72" i="11"/>
  <c r="U47" i="11"/>
  <c r="O37" i="11"/>
  <c r="AG67" i="11"/>
  <c r="AL38" i="11"/>
  <c r="J23" i="11"/>
  <c r="L36" i="11"/>
  <c r="I9" i="11"/>
  <c r="O55" i="11"/>
  <c r="U34" i="11"/>
  <c r="AJ23" i="11"/>
  <c r="S44" i="11"/>
  <c r="AD36" i="11"/>
  <c r="I36" i="11"/>
  <c r="M63" i="11"/>
  <c r="X17" i="11"/>
  <c r="AC11" i="11"/>
  <c r="AG23" i="11"/>
  <c r="V42" i="11"/>
  <c r="F30" i="11"/>
  <c r="T45" i="11"/>
  <c r="J62" i="11"/>
  <c r="AK54" i="11"/>
  <c r="H48" i="11"/>
  <c r="H73" i="11"/>
  <c r="F17" i="11"/>
  <c r="F35" i="11"/>
  <c r="L23" i="11"/>
  <c r="K58" i="11"/>
  <c r="T75" i="11"/>
  <c r="I70" i="11"/>
  <c r="AA30" i="11"/>
  <c r="Z64" i="11"/>
  <c r="AC45" i="11"/>
  <c r="I42" i="11"/>
  <c r="AA51" i="11"/>
  <c r="F25" i="11"/>
  <c r="P40" i="11"/>
  <c r="F68" i="11"/>
  <c r="Y62" i="11"/>
  <c r="Y12" i="11"/>
  <c r="U55" i="11"/>
  <c r="AD23" i="11"/>
  <c r="H67" i="11"/>
  <c r="AH67" i="11"/>
  <c r="Z46" i="11"/>
  <c r="L41" i="11"/>
  <c r="Z14" i="11"/>
  <c r="L8" i="11"/>
  <c r="AH42" i="11"/>
  <c r="AE48" i="11"/>
  <c r="AH75" i="11"/>
  <c r="AD12" i="11"/>
  <c r="Y26" i="11"/>
  <c r="AH49" i="11"/>
  <c r="Z34" i="11"/>
  <c r="V72" i="11"/>
  <c r="AC70" i="11"/>
  <c r="F43" i="11"/>
  <c r="V46" i="11"/>
  <c r="AA50" i="11"/>
  <c r="K50" i="11"/>
  <c r="L10" i="11"/>
  <c r="AH59" i="11"/>
  <c r="O38" i="11"/>
  <c r="H35" i="11"/>
  <c r="X47" i="11"/>
  <c r="K35" i="11"/>
  <c r="Q25" i="11"/>
  <c r="AJ21" i="11"/>
  <c r="AH70" i="11"/>
  <c r="Z45" i="11"/>
  <c r="AB68" i="11"/>
  <c r="AE42" i="11"/>
  <c r="AC22" i="11"/>
  <c r="L73" i="11"/>
  <c r="M70" i="11"/>
  <c r="K63" i="11"/>
  <c r="X71" i="11"/>
  <c r="P17" i="11"/>
  <c r="AK14" i="11"/>
  <c r="I43" i="11"/>
  <c r="AF9" i="11"/>
  <c r="AE38" i="11"/>
  <c r="F59" i="11"/>
  <c r="S57" i="11"/>
  <c r="W37" i="11"/>
  <c r="AJ25" i="11"/>
  <c r="J45" i="11"/>
  <c r="L63" i="11"/>
  <c r="U29" i="11"/>
  <c r="J66" i="11"/>
  <c r="W10" i="11"/>
  <c r="AL42" i="11"/>
  <c r="AF69" i="11"/>
  <c r="K31" i="11"/>
  <c r="AC20" i="11"/>
  <c r="AI46" i="11"/>
  <c r="J35" i="11"/>
  <c r="U72" i="11"/>
  <c r="Q31" i="11"/>
  <c r="S26" i="11"/>
  <c r="AD42" i="11"/>
  <c r="W14" i="11"/>
  <c r="AB18" i="11"/>
  <c r="L40" i="11"/>
  <c r="J31" i="11"/>
  <c r="S65" i="11"/>
  <c r="AG22" i="11"/>
  <c r="V53" i="11"/>
  <c r="H28" i="11"/>
  <c r="AH35" i="11"/>
  <c r="AK43" i="11"/>
  <c r="AA62" i="11"/>
  <c r="M20" i="11"/>
  <c r="AE45" i="11"/>
  <c r="V23" i="11"/>
  <c r="F24" i="11"/>
  <c r="K39" i="11"/>
  <c r="AB21" i="11"/>
  <c r="AD40" i="11"/>
  <c r="AC47" i="11"/>
  <c r="BS22" i="11"/>
  <c r="AH22" i="11"/>
  <c r="AQ37" i="11"/>
  <c r="F37" i="11"/>
  <c r="AE49" i="11"/>
  <c r="BJ55" i="11"/>
  <c r="Y55" i="11"/>
  <c r="AH44" i="11"/>
  <c r="J20" i="11"/>
  <c r="I69" i="11"/>
  <c r="AF44" i="11"/>
  <c r="M44" i="11"/>
  <c r="H43" i="11"/>
  <c r="L13" i="11"/>
  <c r="F14" i="11"/>
  <c r="S73" i="11"/>
  <c r="F10" i="11"/>
  <c r="AC29" i="11"/>
  <c r="J33" i="11"/>
  <c r="Q32" i="11"/>
  <c r="H39" i="11"/>
  <c r="AJ17" i="11"/>
  <c r="AL43" i="11"/>
  <c r="BK13" i="11"/>
  <c r="BL66" i="11"/>
  <c r="AA66" i="11"/>
  <c r="BA29" i="11"/>
  <c r="BG17" i="11"/>
  <c r="V17" i="11"/>
  <c r="BV35" i="11"/>
  <c r="AK35" i="11"/>
  <c r="AX36" i="11"/>
  <c r="M36" i="11"/>
  <c r="AW45" i="11"/>
  <c r="L45" i="11"/>
  <c r="AJ72" i="11"/>
  <c r="L47" i="11"/>
  <c r="V68" i="11"/>
  <c r="M8" i="11"/>
  <c r="P63" i="11"/>
  <c r="AA21" i="11"/>
  <c r="AK71" i="11"/>
  <c r="U75" i="11"/>
  <c r="X61" i="11"/>
  <c r="X68" i="11"/>
  <c r="R15" i="11"/>
  <c r="AK57" i="11"/>
  <c r="N13" i="11"/>
  <c r="L30" i="11"/>
  <c r="Y20" i="11"/>
  <c r="AH14" i="11"/>
  <c r="R36" i="11"/>
  <c r="AG34" i="11"/>
  <c r="U44" i="11"/>
  <c r="I33" i="11"/>
  <c r="AG17" i="11"/>
  <c r="AD57" i="11"/>
  <c r="L14" i="11"/>
  <c r="AF19" i="11"/>
  <c r="X32" i="11"/>
  <c r="K45" i="11"/>
  <c r="J72" i="11"/>
  <c r="Y59" i="11"/>
  <c r="AA37" i="11"/>
  <c r="R25" i="11"/>
  <c r="AE44" i="11"/>
  <c r="AC30" i="11"/>
  <c r="AI60" i="11"/>
  <c r="AJ28" i="11"/>
  <c r="N72" i="11"/>
  <c r="T74" i="11"/>
  <c r="Z59" i="11"/>
  <c r="AC73" i="11"/>
  <c r="K19" i="11"/>
  <c r="W58" i="11"/>
  <c r="AL57" i="11"/>
  <c r="Z11" i="11"/>
  <c r="O71" i="11"/>
  <c r="O43" i="11"/>
  <c r="U27" i="11"/>
  <c r="O17" i="11"/>
  <c r="P32" i="11"/>
  <c r="V21" i="11"/>
  <c r="H50" i="11"/>
  <c r="AA32" i="11"/>
  <c r="W73" i="11"/>
  <c r="AF17" i="11"/>
  <c r="N74" i="11"/>
  <c r="AC63" i="11"/>
  <c r="Z74" i="11"/>
  <c r="BG39" i="11"/>
  <c r="V39" i="11"/>
  <c r="AL66" i="11"/>
  <c r="BV30" i="11"/>
  <c r="AK30" i="11"/>
  <c r="L67" i="11"/>
  <c r="AV12" i="11"/>
  <c r="R60" i="11"/>
  <c r="AU14" i="11"/>
  <c r="J14" i="11"/>
  <c r="BI34" i="11"/>
  <c r="AS11" i="11"/>
  <c r="H11" i="11"/>
  <c r="U48" i="11"/>
  <c r="BR16" i="11"/>
  <c r="AG16" i="11"/>
  <c r="BD45" i="11"/>
  <c r="BI38" i="11"/>
  <c r="X38" i="11"/>
  <c r="BQ11" i="11"/>
  <c r="AI51" i="11"/>
  <c r="AJ45" i="11"/>
  <c r="AF15" i="11"/>
  <c r="L19" i="11"/>
  <c r="T14" i="11"/>
  <c r="O25" i="11"/>
  <c r="L52" i="11"/>
  <c r="K75" i="11"/>
  <c r="I17" i="11"/>
  <c r="AK36" i="11"/>
  <c r="AG29" i="11"/>
  <c r="O8" i="11"/>
  <c r="K16" i="11"/>
  <c r="AL55" i="11"/>
  <c r="S25" i="11"/>
  <c r="X70" i="11"/>
  <c r="O33" i="11"/>
  <c r="AB33" i="11"/>
  <c r="V44" i="11"/>
  <c r="K66" i="11"/>
  <c r="AH8" i="11"/>
  <c r="P45" i="11"/>
  <c r="AH38" i="11"/>
  <c r="AE39" i="11"/>
  <c r="O70" i="11"/>
  <c r="M39" i="11"/>
  <c r="AK20" i="11"/>
  <c r="W40" i="11"/>
  <c r="X59" i="11"/>
  <c r="AE8" i="11"/>
  <c r="AE16" i="11"/>
  <c r="R47" i="11"/>
  <c r="V11" i="11"/>
  <c r="L44" i="11"/>
  <c r="AF70" i="11"/>
  <c r="F63" i="11"/>
  <c r="AL63" i="11"/>
  <c r="AD46" i="11"/>
  <c r="N41" i="11"/>
  <c r="AK39" i="11"/>
  <c r="AJ71" i="11"/>
  <c r="AI36" i="11"/>
  <c r="AG30" i="11"/>
  <c r="AE47" i="11"/>
  <c r="Q50" i="11"/>
  <c r="J9" i="11"/>
  <c r="R12" i="11"/>
  <c r="U52" i="11"/>
  <c r="AB34" i="11"/>
  <c r="S8" i="11"/>
  <c r="S23" i="11"/>
  <c r="AY49" i="11"/>
  <c r="AF33" i="11"/>
  <c r="AX71" i="11"/>
  <c r="M71" i="11"/>
  <c r="H10" i="11"/>
  <c r="BR52" i="11"/>
  <c r="AG52" i="11"/>
  <c r="AX23" i="11"/>
  <c r="M23" i="11"/>
  <c r="N27" i="11"/>
  <c r="H54" i="11"/>
  <c r="AD54" i="11"/>
  <c r="I64" i="11"/>
  <c r="Y32" i="11"/>
  <c r="J48" i="11"/>
  <c r="L60" i="11"/>
  <c r="Z26" i="11"/>
  <c r="T11" i="11"/>
  <c r="AH69" i="11"/>
  <c r="AJ26" i="11"/>
  <c r="AR44" i="9"/>
  <c r="AR21" i="9"/>
  <c r="AR28" i="9"/>
  <c r="AF12" i="11"/>
  <c r="M16" i="11"/>
  <c r="H52" i="11"/>
  <c r="N30" i="11"/>
  <c r="AL41" i="11"/>
  <c r="AL44" i="11"/>
  <c r="X19" i="11"/>
  <c r="L12" i="11"/>
  <c r="AK70" i="11"/>
  <c r="AD37" i="11"/>
  <c r="O58" i="11"/>
  <c r="R14" i="11"/>
  <c r="L37" i="11"/>
  <c r="AD44" i="11"/>
  <c r="V73" i="11"/>
  <c r="L27" i="11"/>
  <c r="AK74" i="11"/>
  <c r="AR7" i="9"/>
  <c r="AR32" i="9"/>
  <c r="AR67" i="9"/>
  <c r="K33" i="11"/>
  <c r="AH64" i="11"/>
  <c r="AA10" i="11"/>
  <c r="H38" i="11"/>
  <c r="L74" i="11"/>
  <c r="AL70" i="11"/>
  <c r="AH39" i="11"/>
  <c r="T65" i="11"/>
  <c r="Y30" i="11"/>
  <c r="AF56" i="11"/>
  <c r="AJ27" i="11"/>
  <c r="AJ11" i="11"/>
  <c r="R26" i="11"/>
  <c r="AF58" i="11"/>
  <c r="AG66" i="11"/>
  <c r="AA69" i="11"/>
  <c r="L11" i="11"/>
  <c r="W24" i="11"/>
  <c r="Y50" i="11"/>
  <c r="O69" i="11"/>
  <c r="Y73" i="11"/>
  <c r="AB50" i="11"/>
  <c r="M57" i="11"/>
  <c r="U56" i="11"/>
  <c r="T38" i="11"/>
  <c r="X48" i="11"/>
  <c r="L72" i="11"/>
  <c r="Y29" i="11"/>
  <c r="AH54" i="11"/>
  <c r="AL65" i="11"/>
  <c r="K38" i="11"/>
  <c r="H59" i="11"/>
  <c r="O59" i="11"/>
  <c r="AC19" i="11"/>
  <c r="AC16" i="11"/>
  <c r="AG38" i="11"/>
  <c r="AH24" i="11"/>
  <c r="Z73" i="11"/>
  <c r="O20" i="11"/>
  <c r="AF40" i="11"/>
  <c r="F64" i="11"/>
  <c r="Y60" i="11"/>
  <c r="Q45" i="11"/>
  <c r="AB16" i="11"/>
  <c r="T35" i="11"/>
  <c r="F39" i="11"/>
  <c r="AE65" i="11"/>
  <c r="T50" i="11"/>
  <c r="M69" i="11"/>
  <c r="T33" i="11"/>
  <c r="AC65" i="11"/>
  <c r="P39" i="11"/>
  <c r="AC28" i="11"/>
  <c r="AI73" i="11"/>
  <c r="AI9" i="11"/>
  <c r="AJ14" i="11"/>
  <c r="AI74" i="11"/>
  <c r="AI68" i="11"/>
  <c r="AI26" i="11"/>
  <c r="K67" i="11"/>
  <c r="U22" i="11"/>
  <c r="S18" i="11"/>
  <c r="K71" i="11"/>
  <c r="K60" i="11"/>
  <c r="T15" i="11"/>
  <c r="W66" i="11"/>
  <c r="P69" i="11"/>
  <c r="AB69" i="11"/>
  <c r="AF38" i="11"/>
  <c r="AD9" i="11"/>
  <c r="V43" i="11"/>
  <c r="J24" i="11"/>
  <c r="Z10" i="11"/>
  <c r="M73" i="11"/>
  <c r="AL11" i="11"/>
  <c r="O44" i="11"/>
  <c r="O22" i="11"/>
  <c r="O68" i="11"/>
  <c r="P50" i="11"/>
  <c r="AB52" i="11"/>
  <c r="O45" i="11"/>
  <c r="N11" i="11"/>
  <c r="AA36" i="11"/>
  <c r="AK65" i="11"/>
  <c r="AD65" i="11"/>
  <c r="AK40" i="11"/>
  <c r="N55" i="11"/>
  <c r="AG72" i="11"/>
  <c r="J58" i="11"/>
  <c r="U37" i="11"/>
  <c r="AB67" i="11"/>
  <c r="AR62" i="9"/>
  <c r="AR47" i="9"/>
  <c r="O56" i="11"/>
  <c r="N59" i="11"/>
  <c r="Y66" i="11"/>
  <c r="U60" i="11"/>
  <c r="AE14" i="11"/>
  <c r="S37" i="11"/>
  <c r="X52" i="11"/>
  <c r="T31" i="11"/>
  <c r="Q19" i="11"/>
  <c r="AB27" i="11"/>
  <c r="P33" i="11"/>
  <c r="O40" i="11"/>
  <c r="AE41" i="11"/>
  <c r="Q37" i="11"/>
  <c r="F49" i="11"/>
  <c r="F27" i="11"/>
  <c r="AA41" i="11"/>
  <c r="AI28" i="11"/>
  <c r="AJ32" i="11"/>
  <c r="F40" i="11"/>
  <c r="V69" i="11"/>
  <c r="N63" i="11"/>
  <c r="Q9" i="11"/>
  <c r="AD49" i="11"/>
  <c r="AK63" i="11"/>
  <c r="L38" i="11"/>
  <c r="AB19" i="11"/>
  <c r="W33" i="11"/>
  <c r="F56" i="11"/>
  <c r="X18" i="11"/>
  <c r="Y14" i="11"/>
  <c r="AA56" i="11"/>
  <c r="F55" i="11"/>
  <c r="F52" i="11"/>
  <c r="N52" i="11"/>
  <c r="AC8" i="11"/>
  <c r="AL19" i="11"/>
  <c r="X55" i="11"/>
  <c r="AB41" i="11"/>
  <c r="AB28" i="11"/>
  <c r="Q40" i="11"/>
  <c r="M10" i="11"/>
  <c r="H9" i="11"/>
  <c r="AF37" i="11"/>
  <c r="V48" i="11"/>
  <c r="V36" i="11"/>
  <c r="AH11" i="11"/>
  <c r="T29" i="11"/>
  <c r="AG41" i="11"/>
  <c r="F60" i="11"/>
  <c r="AL8" i="11"/>
  <c r="R50" i="11"/>
  <c r="Q36" i="11"/>
  <c r="Y75" i="11"/>
  <c r="Q62" i="11"/>
  <c r="AF30" i="11"/>
  <c r="F28" i="11"/>
  <c r="J64" i="11"/>
  <c r="T20" i="11"/>
  <c r="I29" i="11"/>
  <c r="Q44" i="11"/>
  <c r="AI25" i="11"/>
  <c r="AI17" i="11"/>
  <c r="AI33" i="11"/>
  <c r="X20" i="11"/>
  <c r="W13" i="11"/>
  <c r="X69" i="11"/>
  <c r="AC41" i="11"/>
  <c r="R68" i="11"/>
  <c r="S35" i="11"/>
  <c r="O34" i="11"/>
  <c r="AA15" i="11"/>
  <c r="I44" i="11"/>
  <c r="Z43" i="11"/>
  <c r="W67" i="11"/>
  <c r="X60" i="11"/>
  <c r="AD18" i="11"/>
  <c r="AK68" i="11"/>
  <c r="Z17" i="11"/>
  <c r="P55" i="11"/>
  <c r="X72" i="11"/>
  <c r="Z29" i="11"/>
  <c r="AB62" i="11"/>
  <c r="I18" i="11"/>
  <c r="AG42" i="11"/>
  <c r="N17" i="11"/>
  <c r="S10" i="11"/>
  <c r="P36" i="11"/>
  <c r="AK34" i="11"/>
  <c r="M51" i="11"/>
  <c r="Y70" i="11"/>
  <c r="X28" i="11"/>
  <c r="J12" i="11"/>
  <c r="R16" i="11"/>
  <c r="R58" i="11"/>
  <c r="AA75" i="11"/>
  <c r="W70" i="11"/>
  <c r="I68" i="11"/>
  <c r="AK56" i="11"/>
  <c r="AF47" i="11"/>
  <c r="AG65" i="11"/>
  <c r="AE67" i="11"/>
  <c r="AR17" i="9"/>
  <c r="AR12" i="9"/>
  <c r="AR23" i="9"/>
  <c r="AR70" i="9"/>
  <c r="AR30" i="9"/>
  <c r="R26" i="26"/>
  <c r="P26" i="26"/>
  <c r="Q26" i="26" s="1"/>
  <c r="P31" i="26"/>
  <c r="Q31" i="26" s="1"/>
  <c r="R31" i="26"/>
  <c r="R23" i="27"/>
  <c r="P23" i="27"/>
  <c r="Q23" i="27" s="1"/>
  <c r="P10" i="28"/>
  <c r="Q10" i="28" s="1"/>
  <c r="R10" i="28"/>
  <c r="M15" i="29"/>
  <c r="R59" i="27"/>
  <c r="P59" i="27"/>
  <c r="Q59" i="27" s="1"/>
  <c r="R26" i="28"/>
  <c r="P26" i="28"/>
  <c r="Q26" i="28" s="1"/>
  <c r="P72" i="26"/>
  <c r="Q72" i="26" s="1"/>
  <c r="R72" i="26"/>
  <c r="R57" i="26"/>
  <c r="P57" i="26"/>
  <c r="Q57" i="26" s="1"/>
  <c r="P52" i="28"/>
  <c r="Q52" i="28" s="1"/>
  <c r="R52" i="28"/>
  <c r="P47" i="26"/>
  <c r="Q47" i="26" s="1"/>
  <c r="R47" i="26"/>
  <c r="P11" i="28"/>
  <c r="Q11" i="28" s="1"/>
  <c r="R11" i="28"/>
  <c r="P62" i="27"/>
  <c r="Q62" i="27" s="1"/>
  <c r="R62" i="27"/>
  <c r="AS19" i="9"/>
  <c r="P37" i="28"/>
  <c r="Q37" i="28" s="1"/>
  <c r="R37" i="28"/>
  <c r="R38" i="27"/>
  <c r="P38" i="27"/>
  <c r="Q38" i="27" s="1"/>
  <c r="R75" i="26"/>
  <c r="P75" i="26"/>
  <c r="Q75" i="26" s="1"/>
  <c r="R14" i="27"/>
  <c r="P14" i="27"/>
  <c r="Q14" i="27" s="1"/>
  <c r="R16" i="28"/>
  <c r="P16" i="28"/>
  <c r="Q16" i="28" s="1"/>
  <c r="AS9" i="9"/>
  <c r="R71" i="27"/>
  <c r="P71" i="27"/>
  <c r="Q71" i="27" s="1"/>
  <c r="R42" i="28"/>
  <c r="P42" i="28"/>
  <c r="Q42" i="28" s="1"/>
  <c r="P8" i="27"/>
  <c r="Q8" i="27" s="1"/>
  <c r="R8" i="27"/>
  <c r="P29" i="27"/>
  <c r="Q29" i="27" s="1"/>
  <c r="R29" i="27"/>
  <c r="R62" i="28"/>
  <c r="P62" i="28"/>
  <c r="Q62" i="28" s="1"/>
  <c r="R35" i="26"/>
  <c r="P35" i="26"/>
  <c r="Q35" i="26" s="1"/>
  <c r="R21" i="28"/>
  <c r="P21" i="28"/>
  <c r="Q21" i="28" s="1"/>
  <c r="P61" i="28"/>
  <c r="Q61" i="28" s="1"/>
  <c r="R61" i="28"/>
  <c r="AS31" i="9"/>
  <c r="P13" i="28"/>
  <c r="Q13" i="28" s="1"/>
  <c r="R13" i="28"/>
  <c r="R58" i="27"/>
  <c r="P58" i="27"/>
  <c r="Q58" i="27" s="1"/>
  <c r="AS65" i="9"/>
  <c r="M13" i="29"/>
  <c r="M8" i="29"/>
  <c r="P65" i="26"/>
  <c r="Q65" i="26" s="1"/>
  <c r="R65" i="26"/>
  <c r="R13" i="27"/>
  <c r="P13" i="27"/>
  <c r="Q13" i="27" s="1"/>
  <c r="M7" i="29"/>
  <c r="L9" i="29"/>
  <c r="P70" i="27"/>
  <c r="Q70" i="27" s="1"/>
  <c r="R70" i="27"/>
  <c r="P63" i="27"/>
  <c r="Q63" i="27" s="1"/>
  <c r="R63" i="27"/>
  <c r="AI72" i="11"/>
  <c r="AI24" i="11"/>
  <c r="AI20" i="11"/>
  <c r="J67" i="11"/>
  <c r="AL62" i="11"/>
  <c r="AK11" i="11"/>
  <c r="H26" i="11"/>
  <c r="AA68" i="11"/>
  <c r="I8" i="11"/>
  <c r="AD61" i="11"/>
  <c r="Q65" i="11"/>
  <c r="H57" i="11"/>
  <c r="N50" i="11"/>
  <c r="AC9" i="11"/>
  <c r="Q34" i="11"/>
  <c r="AG8" i="11"/>
  <c r="AG57" i="11"/>
  <c r="AB49" i="11"/>
  <c r="K24" i="11"/>
  <c r="Q74" i="11"/>
  <c r="Q70" i="11"/>
  <c r="I62" i="11"/>
  <c r="X67" i="11"/>
  <c r="W31" i="11"/>
  <c r="H32" i="11"/>
  <c r="AD75" i="11"/>
  <c r="P25" i="11"/>
  <c r="O64" i="11"/>
  <c r="N8" i="11"/>
  <c r="Z27" i="11"/>
  <c r="O28" i="11"/>
  <c r="AN16" i="30"/>
  <c r="M55" i="11"/>
  <c r="AF55" i="11"/>
  <c r="P11" i="11"/>
  <c r="N24" i="11"/>
  <c r="AG26" i="11"/>
  <c r="J39" i="11"/>
  <c r="W68" i="11"/>
  <c r="AL9" i="11"/>
  <c r="Y8" i="11"/>
  <c r="AA35" i="11"/>
  <c r="R22" i="11"/>
  <c r="AF39" i="11"/>
  <c r="V64" i="11"/>
  <c r="AD66" i="11"/>
  <c r="AC64" i="11"/>
  <c r="M60" i="11"/>
  <c r="AN28" i="30"/>
  <c r="Z15" i="11"/>
  <c r="AB36" i="11"/>
  <c r="AE17" i="11"/>
  <c r="V50" i="11"/>
  <c r="M42" i="11"/>
  <c r="AL50" i="11"/>
  <c r="M37" i="11"/>
  <c r="I23" i="11"/>
  <c r="AK26" i="11"/>
  <c r="Q16" i="11"/>
  <c r="Y31" i="11"/>
  <c r="I49" i="11"/>
  <c r="Z69" i="11"/>
  <c r="O36" i="11"/>
  <c r="AF22" i="11"/>
  <c r="J74" i="11"/>
  <c r="N62" i="11"/>
  <c r="N21" i="11"/>
  <c r="N51" i="11"/>
  <c r="Z72" i="11"/>
  <c r="J63" i="11"/>
  <c r="Q20" i="11"/>
  <c r="AD63" i="11"/>
  <c r="S12" i="11"/>
  <c r="AG28" i="11"/>
  <c r="X30" i="11"/>
  <c r="H46" i="11"/>
  <c r="L68" i="11"/>
  <c r="M31" i="11"/>
  <c r="AA31" i="11"/>
  <c r="H56" i="11"/>
  <c r="AD73" i="11"/>
  <c r="I38" i="11"/>
  <c r="AB43" i="11"/>
  <c r="AB51" i="11"/>
  <c r="AC68" i="11"/>
  <c r="AE73" i="11"/>
  <c r="AD45" i="11"/>
  <c r="T58" i="11"/>
  <c r="Q43" i="11"/>
  <c r="Z51" i="11"/>
  <c r="Y72" i="11"/>
  <c r="AC13" i="11"/>
  <c r="AK25" i="11"/>
  <c r="P65" i="11"/>
  <c r="H12" i="11"/>
  <c r="Q64" i="11"/>
  <c r="W21" i="11"/>
  <c r="AE20" i="11"/>
  <c r="AC40" i="11"/>
  <c r="Z41" i="11"/>
  <c r="AK7" i="29"/>
  <c r="AJ9" i="29"/>
  <c r="M17" i="11"/>
  <c r="AK50" i="11"/>
  <c r="U26" i="11"/>
  <c r="AK44" i="11"/>
  <c r="AL22" i="11"/>
  <c r="J30" i="11"/>
  <c r="AK27" i="11"/>
  <c r="AH62" i="11"/>
  <c r="K65" i="11"/>
  <c r="Y64" i="11"/>
  <c r="AK46" i="11"/>
  <c r="K41" i="11"/>
  <c r="AK14" i="29"/>
  <c r="AT56" i="9"/>
  <c r="AW56" i="9" s="1"/>
  <c r="AT10" i="9"/>
  <c r="AW10" i="9" s="1"/>
  <c r="AI71" i="11"/>
  <c r="AI66" i="11"/>
  <c r="AI14" i="11"/>
  <c r="AJ39" i="11"/>
  <c r="AI12" i="11"/>
  <c r="S53" i="11"/>
  <c r="Q49" i="11"/>
  <c r="AB66" i="11"/>
  <c r="P8" i="11"/>
  <c r="X51" i="11"/>
  <c r="I66" i="11"/>
  <c r="P68" i="11"/>
  <c r="AE24" i="11"/>
  <c r="F50" i="11"/>
  <c r="S14" i="11"/>
  <c r="U10" i="11"/>
  <c r="M34" i="11"/>
  <c r="R9" i="11"/>
  <c r="Q10" i="11"/>
  <c r="F44" i="11"/>
  <c r="M30" i="11"/>
  <c r="O75" i="11"/>
  <c r="W25" i="11"/>
  <c r="T22" i="11"/>
  <c r="J59" i="11"/>
  <c r="AH55" i="11"/>
  <c r="K22" i="11"/>
  <c r="P66" i="11"/>
  <c r="AE31" i="11"/>
  <c r="AG63" i="11"/>
  <c r="J21" i="11"/>
  <c r="W55" i="11"/>
  <c r="Q11" i="11"/>
  <c r="Y57" i="11"/>
  <c r="AA19" i="11"/>
  <c r="AA17" i="11"/>
  <c r="AA73" i="11"/>
  <c r="Q61" i="11"/>
  <c r="AK62" i="11"/>
  <c r="O61" i="11"/>
  <c r="AL46" i="11"/>
  <c r="AT51" i="9"/>
  <c r="AW51" i="9" s="1"/>
  <c r="R65" i="11"/>
  <c r="M18" i="11"/>
  <c r="S66" i="11"/>
  <c r="O46" i="11"/>
  <c r="AA28" i="11"/>
  <c r="AF60" i="11"/>
  <c r="T9" i="11"/>
  <c r="AA42" i="11"/>
  <c r="AN32" i="30"/>
  <c r="X35" i="11"/>
  <c r="S69" i="11"/>
  <c r="W56" i="11"/>
  <c r="X26" i="11"/>
  <c r="K69" i="11"/>
  <c r="K52" i="11"/>
  <c r="R70" i="11"/>
  <c r="R39" i="11"/>
  <c r="M75" i="11"/>
  <c r="Y51" i="11"/>
  <c r="AL72" i="11"/>
  <c r="V63" i="11"/>
  <c r="AB54" i="11"/>
  <c r="P71" i="11"/>
  <c r="P61" i="11"/>
  <c r="F20" i="11"/>
  <c r="V67" i="11"/>
  <c r="AL28" i="11"/>
  <c r="P64" i="11"/>
  <c r="L17" i="11"/>
  <c r="F57" i="11"/>
  <c r="I15" i="11"/>
  <c r="N73" i="11"/>
  <c r="L42" i="11"/>
  <c r="P23" i="11"/>
  <c r="I11" i="11"/>
  <c r="AC75" i="11"/>
  <c r="M59" i="11"/>
  <c r="Y38" i="11"/>
  <c r="Q58" i="11"/>
  <c r="AK75" i="11"/>
  <c r="F51" i="11"/>
  <c r="AC72" i="11"/>
  <c r="O39" i="11"/>
  <c r="N61" i="11"/>
  <c r="H25" i="11"/>
  <c r="H18" i="11"/>
  <c r="S64" i="11"/>
  <c r="AF54" i="11"/>
  <c r="K20" i="11"/>
  <c r="S41" i="11"/>
  <c r="AE60" i="11"/>
  <c r="AH17" i="11"/>
  <c r="Y19" i="11"/>
  <c r="X27" i="11"/>
  <c r="L53" i="11"/>
  <c r="H41" i="11"/>
  <c r="F12" i="11"/>
  <c r="AT48" i="9"/>
  <c r="AW48" i="9" s="1"/>
  <c r="AI70" i="11"/>
  <c r="AI48" i="11"/>
  <c r="AI34" i="11"/>
  <c r="AJ64" i="11"/>
  <c r="AJ43" i="11"/>
  <c r="AC74" i="11"/>
  <c r="AN14" i="30"/>
  <c r="Y45" i="11"/>
  <c r="N44" i="11"/>
  <c r="S16" i="11"/>
  <c r="Y41" i="11"/>
  <c r="AN20" i="30"/>
  <c r="O65" i="11"/>
  <c r="AD50" i="11"/>
  <c r="M15" i="11"/>
  <c r="V10" i="11"/>
  <c r="AF10" i="11"/>
  <c r="O73" i="11"/>
  <c r="AF16" i="11"/>
  <c r="H44" i="11"/>
  <c r="AD25" i="11"/>
  <c r="V71" i="11"/>
  <c r="AF46" i="11"/>
  <c r="AG24" i="11"/>
  <c r="R51" i="11"/>
  <c r="V29" i="11"/>
  <c r="AB13" i="11"/>
  <c r="AK12" i="11"/>
  <c r="Z8" i="11"/>
  <c r="O31" i="11"/>
  <c r="AE58" i="11"/>
  <c r="V32" i="11"/>
  <c r="F54" i="11"/>
  <c r="V60" i="11"/>
  <c r="I25" i="11"/>
  <c r="AH26" i="11"/>
  <c r="P19" i="11"/>
  <c r="F58" i="11"/>
  <c r="AL14" i="11"/>
  <c r="AL49" i="11"/>
  <c r="AD35" i="11"/>
  <c r="Q24" i="11"/>
  <c r="U51" i="11"/>
  <c r="AL39" i="11"/>
  <c r="K25" i="11"/>
  <c r="AH66" i="11"/>
  <c r="Q29" i="11"/>
  <c r="H53" i="11"/>
  <c r="T18" i="11"/>
  <c r="P12" i="11"/>
  <c r="T66" i="11"/>
  <c r="R21" i="11"/>
  <c r="T46" i="11"/>
  <c r="O41" i="11"/>
  <c r="I60" i="11"/>
  <c r="AG60" i="11"/>
  <c r="AA14" i="11"/>
  <c r="S15" i="11"/>
  <c r="AD15" i="11"/>
  <c r="AA59" i="11"/>
  <c r="H37" i="11"/>
  <c r="AL23" i="11"/>
  <c r="H36" i="11"/>
  <c r="L49" i="11"/>
  <c r="AC31" i="11"/>
  <c r="I56" i="11"/>
  <c r="I37" i="11"/>
  <c r="AG19" i="11"/>
  <c r="R69" i="11"/>
  <c r="W35" i="11"/>
  <c r="M11" i="11"/>
  <c r="N18" i="11"/>
  <c r="AL27" i="11"/>
  <c r="AL61" i="11"/>
  <c r="S13" i="11"/>
  <c r="Y22" i="11"/>
  <c r="U53" i="11"/>
  <c r="I30" i="11"/>
  <c r="T41" i="11"/>
  <c r="T28" i="11"/>
  <c r="K28" i="11"/>
  <c r="AD59" i="11"/>
  <c r="T8" i="11"/>
  <c r="AA8" i="11"/>
  <c r="AL69" i="11"/>
  <c r="M58" i="11"/>
  <c r="J47" i="11"/>
  <c r="J11" i="11"/>
  <c r="Y48" i="11"/>
  <c r="Q51" i="11"/>
  <c r="AA70" i="11"/>
  <c r="Y33" i="11"/>
  <c r="Q39" i="11"/>
  <c r="Z39" i="11"/>
  <c r="X63" i="11"/>
  <c r="Q54" i="11"/>
  <c r="L22" i="11"/>
  <c r="AF53" i="11"/>
  <c r="U30" i="11"/>
  <c r="M38" i="11"/>
  <c r="AA43" i="11"/>
  <c r="F72" i="11"/>
  <c r="AC21" i="11"/>
  <c r="K72" i="11"/>
  <c r="Y13" i="11"/>
  <c r="AS35" i="9"/>
  <c r="AJ70" i="11"/>
  <c r="AI47" i="11"/>
  <c r="AJ63" i="11"/>
  <c r="AJ20" i="11"/>
  <c r="AI19" i="11"/>
  <c r="K30" i="11"/>
  <c r="AE40" i="11"/>
  <c r="R74" i="11"/>
  <c r="F11" i="11"/>
  <c r="U69" i="11"/>
  <c r="F26" i="11"/>
  <c r="AB46" i="11"/>
  <c r="AF23" i="11"/>
  <c r="R17" i="11"/>
  <c r="AH46" i="11"/>
  <c r="O72" i="11"/>
  <c r="AN9" i="30"/>
  <c r="AK31" i="11"/>
  <c r="I72" i="11"/>
  <c r="AN11" i="30"/>
  <c r="H31" i="11"/>
  <c r="J15" i="11"/>
  <c r="AK16" i="11"/>
  <c r="I51" i="11"/>
  <c r="S67" i="11"/>
  <c r="AK24" i="11"/>
  <c r="U74" i="11"/>
  <c r="K61" i="11"/>
  <c r="L9" i="11"/>
  <c r="N69" i="11"/>
  <c r="AC53" i="11"/>
  <c r="M46" i="11"/>
  <c r="AK53" i="11"/>
  <c r="S68" i="11"/>
  <c r="AC14" i="11"/>
  <c r="N19" i="11"/>
  <c r="V24" i="11"/>
  <c r="AL73" i="11"/>
  <c r="R62" i="11"/>
  <c r="F73" i="11"/>
  <c r="L16" i="11"/>
  <c r="W36" i="11"/>
  <c r="V51" i="11"/>
  <c r="X33" i="11"/>
  <c r="AF13" i="11"/>
  <c r="I27" i="11"/>
  <c r="AK33" i="11"/>
  <c r="J61" i="11"/>
  <c r="AB12" i="11"/>
  <c r="U18" i="11"/>
  <c r="Y21" i="11"/>
  <c r="Q41" i="11"/>
  <c r="AD60" i="11"/>
  <c r="AG68" i="11"/>
  <c r="AB14" i="11"/>
  <c r="X10" i="11"/>
  <c r="H68" i="11"/>
  <c r="V58" i="11"/>
  <c r="I32" i="11"/>
  <c r="X36" i="11"/>
  <c r="P26" i="11"/>
  <c r="F19" i="11"/>
  <c r="AD26" i="11"/>
  <c r="AL58" i="11"/>
  <c r="AG54" i="11"/>
  <c r="Y63" i="11"/>
  <c r="U66" i="11"/>
  <c r="L70" i="11"/>
  <c r="AE29" i="11"/>
  <c r="AF27" i="11"/>
  <c r="I12" i="11"/>
  <c r="AN21" i="30"/>
  <c r="H14" i="11"/>
  <c r="W69" i="11"/>
  <c r="AC32" i="11"/>
  <c r="S51" i="11"/>
  <c r="R41" i="11"/>
  <c r="AN12" i="30"/>
  <c r="U17" i="11"/>
  <c r="R19" i="11"/>
  <c r="L7" i="26"/>
  <c r="K76" i="26"/>
  <c r="K84" i="26" s="1"/>
  <c r="AT36" i="9"/>
  <c r="AW36" i="9" s="1"/>
  <c r="AT59" i="9"/>
  <c r="AW59" i="9" s="1"/>
  <c r="R59" i="26"/>
  <c r="P59" i="26"/>
  <c r="Q59" i="26" s="1"/>
  <c r="P31" i="27"/>
  <c r="Q31" i="27" s="1"/>
  <c r="R31" i="27"/>
  <c r="R35" i="28"/>
  <c r="P35" i="28"/>
  <c r="Q35" i="28" s="1"/>
  <c r="P47" i="27"/>
  <c r="Q47" i="27" s="1"/>
  <c r="R47" i="27"/>
  <c r="R53" i="27"/>
  <c r="P53" i="27"/>
  <c r="Q53" i="27" s="1"/>
  <c r="R55" i="27"/>
  <c r="P55" i="27"/>
  <c r="Q55" i="27" s="1"/>
  <c r="AS49" i="9"/>
  <c r="R34" i="27"/>
  <c r="P34" i="27"/>
  <c r="Q34" i="27" s="1"/>
  <c r="R38" i="28"/>
  <c r="P38" i="28"/>
  <c r="Q38" i="28" s="1"/>
  <c r="AS34" i="9"/>
  <c r="R60" i="27"/>
  <c r="P60" i="27"/>
  <c r="Q60" i="27" s="1"/>
  <c r="P14" i="28"/>
  <c r="Q14" i="28" s="1"/>
  <c r="R14" i="28"/>
  <c r="AS13" i="9"/>
  <c r="P71" i="26"/>
  <c r="Q71" i="26" s="1"/>
  <c r="R71" i="26"/>
  <c r="R8" i="28"/>
  <c r="P8" i="28"/>
  <c r="Q8" i="28" s="1"/>
  <c r="M11" i="29"/>
  <c r="L17" i="29"/>
  <c r="P29" i="28"/>
  <c r="Q29" i="28" s="1"/>
  <c r="R29" i="28"/>
  <c r="P62" i="26"/>
  <c r="Q62" i="26" s="1"/>
  <c r="R62" i="26"/>
  <c r="R27" i="27"/>
  <c r="P27" i="27"/>
  <c r="Q27" i="27" s="1"/>
  <c r="P44" i="26"/>
  <c r="Q44" i="26" s="1"/>
  <c r="R44" i="26"/>
  <c r="P13" i="26"/>
  <c r="Q13" i="26" s="1"/>
  <c r="R13" i="26"/>
  <c r="R51" i="26"/>
  <c r="P51" i="26"/>
  <c r="Q51" i="26" s="1"/>
  <c r="R35" i="27"/>
  <c r="P35" i="27"/>
  <c r="Q35" i="27" s="1"/>
  <c r="R38" i="26"/>
  <c r="P38" i="26"/>
  <c r="Q38" i="26" s="1"/>
  <c r="R63" i="26"/>
  <c r="P63" i="26"/>
  <c r="Q63" i="26" s="1"/>
  <c r="P9" i="26"/>
  <c r="Q9" i="26" s="1"/>
  <c r="R9" i="26"/>
  <c r="R49" i="27"/>
  <c r="P49" i="27"/>
  <c r="Q49" i="27" s="1"/>
  <c r="P43" i="28"/>
  <c r="Q43" i="28" s="1"/>
  <c r="R43" i="28"/>
  <c r="AS63" i="9"/>
  <c r="AS38" i="9"/>
  <c r="P50" i="27"/>
  <c r="Q50" i="27" s="1"/>
  <c r="R50" i="27"/>
  <c r="P68" i="28"/>
  <c r="Q68" i="28" s="1"/>
  <c r="R68" i="28"/>
  <c r="P22" i="27"/>
  <c r="Q22" i="27" s="1"/>
  <c r="R22" i="27"/>
  <c r="P11" i="27"/>
  <c r="Q11" i="27" s="1"/>
  <c r="R11" i="27"/>
  <c r="R22" i="28"/>
  <c r="P22" i="28"/>
  <c r="Q22" i="28" s="1"/>
  <c r="R65" i="28"/>
  <c r="P65" i="28"/>
  <c r="Q65" i="28" s="1"/>
  <c r="AS54" i="9"/>
  <c r="AI27" i="11"/>
  <c r="AK64" i="11"/>
  <c r="I19" i="11"/>
  <c r="AL15" i="11"/>
  <c r="AL31" i="11"/>
  <c r="L55" i="11"/>
  <c r="X16" i="11"/>
  <c r="AE19" i="11"/>
  <c r="AN13" i="30"/>
  <c r="P58" i="11"/>
  <c r="AC36" i="11"/>
  <c r="R46" i="11"/>
  <c r="S21" i="11"/>
  <c r="AA46" i="11"/>
  <c r="Y53" i="11"/>
  <c r="AN39" i="30"/>
  <c r="AK48" i="11"/>
  <c r="I24" i="11"/>
  <c r="AA27" i="11"/>
  <c r="J27" i="11"/>
  <c r="AE28" i="11"/>
  <c r="M7" i="16"/>
  <c r="L9" i="16"/>
  <c r="K15" i="11"/>
  <c r="T26" i="11"/>
  <c r="AK10" i="11"/>
  <c r="AN17" i="30"/>
  <c r="AH45" i="11"/>
  <c r="J69" i="11"/>
  <c r="H47" i="11"/>
  <c r="AE11" i="11"/>
  <c r="AH25" i="11"/>
  <c r="AE63" i="11"/>
  <c r="Y61" i="11"/>
  <c r="AH21" i="11"/>
  <c r="AN27" i="30"/>
  <c r="AL32" i="11"/>
  <c r="T52" i="11"/>
  <c r="Z31" i="11"/>
  <c r="K23" i="11"/>
  <c r="R61" i="11"/>
  <c r="L64" i="11"/>
  <c r="AT50" i="9"/>
  <c r="AW50" i="9" s="1"/>
  <c r="AL13" i="11"/>
  <c r="Z54" i="11"/>
  <c r="AN35" i="30"/>
  <c r="AN30" i="30"/>
  <c r="U23" i="11"/>
  <c r="U19" i="11"/>
  <c r="W20" i="11"/>
  <c r="AH12" i="11"/>
  <c r="K64" i="11"/>
  <c r="AT69" i="9"/>
  <c r="AW69" i="9" s="1"/>
  <c r="AT22" i="9"/>
  <c r="AW22" i="9" s="1"/>
  <c r="AT64" i="9"/>
  <c r="AW64" i="9" s="1"/>
  <c r="AT73" i="9"/>
  <c r="AW73" i="9" s="1"/>
  <c r="AI55" i="11"/>
  <c r="AI50" i="11"/>
  <c r="AJ65" i="11"/>
  <c r="AJ60" i="11"/>
  <c r="AJ44" i="11"/>
  <c r="AE69" i="11"/>
  <c r="AF65" i="11"/>
  <c r="J57" i="11"/>
  <c r="S42" i="11"/>
  <c r="AL60" i="11"/>
  <c r="AN15" i="30"/>
  <c r="AB10" i="11"/>
  <c r="Z23" i="11"/>
  <c r="AA55" i="11"/>
  <c r="AN19" i="30"/>
  <c r="AC26" i="11"/>
  <c r="AD14" i="11"/>
  <c r="Y58" i="11"/>
  <c r="AA11" i="11"/>
  <c r="W64" i="11"/>
  <c r="S20" i="11"/>
  <c r="AK8" i="11"/>
  <c r="I63" i="11"/>
  <c r="AN10" i="30"/>
  <c r="V14" i="11"/>
  <c r="F69" i="11"/>
  <c r="L75" i="11"/>
  <c r="M68" i="11"/>
  <c r="AF8" i="11"/>
  <c r="AC35" i="11"/>
  <c r="AF36" i="11"/>
  <c r="V70" i="11"/>
  <c r="S62" i="11"/>
  <c r="AC51" i="11"/>
  <c r="AT74" i="9"/>
  <c r="AW74" i="9" s="1"/>
  <c r="P28" i="11"/>
  <c r="AL18" i="11"/>
  <c r="AH71" i="11"/>
  <c r="AF67" i="11"/>
  <c r="AK17" i="11"/>
  <c r="S34" i="11"/>
  <c r="U8" i="11"/>
  <c r="N37" i="11"/>
  <c r="X37" i="11"/>
  <c r="AG15" i="11"/>
  <c r="Z37" i="11"/>
  <c r="N58" i="11"/>
  <c r="R43" i="11"/>
  <c r="T36" i="11"/>
  <c r="W54" i="11"/>
  <c r="AG75" i="11"/>
  <c r="AF71" i="11"/>
  <c r="R27" i="11"/>
  <c r="AC18" i="11"/>
  <c r="AD30" i="11"/>
  <c r="K46" i="11"/>
  <c r="W41" i="11"/>
  <c r="V56" i="11"/>
  <c r="Z55" i="11"/>
  <c r="AF32" i="11"/>
  <c r="N75" i="11"/>
  <c r="T47" i="11"/>
  <c r="O23" i="11"/>
  <c r="R11" i="11"/>
  <c r="R72" i="11"/>
  <c r="I13" i="11"/>
  <c r="AC59" i="11"/>
  <c r="AH43" i="11"/>
  <c r="O21" i="11"/>
  <c r="F62" i="11"/>
  <c r="N12" i="29"/>
  <c r="AJ69" i="11"/>
  <c r="Z12" i="11"/>
  <c r="AA22" i="11"/>
  <c r="H24" i="11"/>
  <c r="Q35" i="11"/>
  <c r="N48" i="11"/>
  <c r="V19" i="11"/>
  <c r="P31" i="11"/>
  <c r="S43" i="11"/>
  <c r="AG39" i="11"/>
  <c r="L71" i="11"/>
  <c r="AB26" i="11"/>
  <c r="AE21" i="11"/>
  <c r="AA12" i="11"/>
  <c r="K68" i="11"/>
  <c r="AA45" i="11"/>
  <c r="Q55" i="11"/>
  <c r="S36" i="11"/>
  <c r="AH74" i="11"/>
  <c r="P18" i="11"/>
  <c r="T60" i="11"/>
  <c r="AH9" i="11"/>
  <c r="AH34" i="11"/>
  <c r="AE43" i="11"/>
  <c r="AD69" i="11"/>
  <c r="S58" i="11"/>
  <c r="L35" i="11"/>
  <c r="AC33" i="11"/>
  <c r="AA44" i="11"/>
  <c r="N33" i="11"/>
  <c r="Q21" i="11"/>
  <c r="AT60" i="9"/>
  <c r="AW60" i="9" s="1"/>
  <c r="AH57" i="11"/>
  <c r="R10" i="11"/>
  <c r="AG49" i="11"/>
  <c r="L34" i="11"/>
  <c r="P38" i="11"/>
  <c r="AE75" i="11"/>
  <c r="O27" i="11"/>
  <c r="H29" i="11"/>
  <c r="T59" i="11"/>
  <c r="Q23" i="11"/>
  <c r="M25" i="11"/>
  <c r="O53" i="11"/>
  <c r="O18" i="11"/>
  <c r="U46" i="11"/>
  <c r="V41" i="11"/>
  <c r="AK60" i="11"/>
  <c r="J19" i="11"/>
  <c r="U39" i="11"/>
  <c r="AL20" i="11"/>
  <c r="AF63" i="11"/>
  <c r="Z60" i="11"/>
  <c r="AT37" i="9"/>
  <c r="AW37" i="9" s="1"/>
  <c r="AI69" i="11"/>
  <c r="AI41" i="11"/>
  <c r="AJ58" i="11"/>
  <c r="AJ42" i="11"/>
  <c r="V12" i="11"/>
  <c r="M26" i="11"/>
  <c r="F21" i="11"/>
  <c r="AH48" i="11"/>
  <c r="M40" i="11"/>
  <c r="T37" i="11"/>
  <c r="R44" i="11"/>
  <c r="AN23" i="30"/>
  <c r="N14" i="11"/>
  <c r="H16" i="11"/>
  <c r="AE71" i="11"/>
  <c r="N39" i="11"/>
  <c r="U41" i="11"/>
  <c r="AE36" i="11"/>
  <c r="Z30" i="11"/>
  <c r="Q52" i="11"/>
  <c r="AC52" i="11"/>
  <c r="J56" i="11"/>
  <c r="AC50" i="11"/>
  <c r="N68" i="11"/>
  <c r="R35" i="11"/>
  <c r="X25" i="11"/>
  <c r="AC39" i="11"/>
  <c r="AE64" i="11"/>
  <c r="X65" i="11"/>
  <c r="X12" i="11"/>
  <c r="AF28" i="11"/>
  <c r="Y15" i="11"/>
  <c r="AH19" i="11"/>
  <c r="W43" i="11"/>
  <c r="Y69" i="11"/>
  <c r="Q75" i="11"/>
  <c r="AL54" i="11"/>
  <c r="AE74" i="11"/>
  <c r="S28" i="11"/>
  <c r="P30" i="11"/>
  <c r="X46" i="11"/>
  <c r="AG10" i="11"/>
  <c r="AD31" i="11"/>
  <c r="T49" i="11"/>
  <c r="Y34" i="11"/>
  <c r="AF35" i="11"/>
  <c r="AH32" i="11"/>
  <c r="R52" i="11"/>
  <c r="AN18" i="30"/>
  <c r="AG58" i="11"/>
  <c r="U11" i="11"/>
  <c r="AA54" i="11"/>
  <c r="V18" i="11"/>
  <c r="AL30" i="11"/>
  <c r="S46" i="11"/>
  <c r="H66" i="11"/>
  <c r="W44" i="11"/>
  <c r="X22" i="11"/>
  <c r="N71" i="11"/>
  <c r="W27" i="11"/>
  <c r="AA74" i="11"/>
  <c r="AD13" i="11"/>
  <c r="W62" i="11"/>
  <c r="Q18" i="11"/>
  <c r="AL21" i="11"/>
  <c r="N67" i="11"/>
  <c r="AE46" i="11"/>
  <c r="AT29" i="9"/>
  <c r="AW29" i="9" s="1"/>
  <c r="P33" i="28"/>
  <c r="Q33" i="28" s="1"/>
  <c r="R33" i="28"/>
  <c r="P25" i="27"/>
  <c r="Q25" i="27" s="1"/>
  <c r="R25" i="27"/>
  <c r="P32" i="27"/>
  <c r="Q32" i="27" s="1"/>
  <c r="R32" i="27"/>
  <c r="R36" i="27"/>
  <c r="P36" i="27"/>
  <c r="Q36" i="27" s="1"/>
  <c r="R46" i="27"/>
  <c r="P46" i="27"/>
  <c r="Q46" i="27" s="1"/>
  <c r="P34" i="28"/>
  <c r="Q34" i="28" s="1"/>
  <c r="R34" i="28"/>
  <c r="P24" i="27"/>
  <c r="Q24" i="27" s="1"/>
  <c r="R24" i="27"/>
  <c r="R60" i="28"/>
  <c r="P60" i="28"/>
  <c r="Q60" i="28" s="1"/>
  <c r="P45" i="26"/>
  <c r="Q45" i="26" s="1"/>
  <c r="R45" i="26"/>
  <c r="AS52" i="9"/>
  <c r="AS42" i="9"/>
  <c r="P71" i="28"/>
  <c r="Q71" i="28" s="1"/>
  <c r="R71" i="28"/>
  <c r="P75" i="27"/>
  <c r="Q75" i="27" s="1"/>
  <c r="R75" i="27"/>
  <c r="P25" i="28"/>
  <c r="Q25" i="28" s="1"/>
  <c r="R25" i="28"/>
  <c r="P17" i="28"/>
  <c r="Q17" i="28" s="1"/>
  <c r="R17" i="28"/>
  <c r="R58" i="26"/>
  <c r="P58" i="26"/>
  <c r="Q58" i="26" s="1"/>
  <c r="R15" i="26"/>
  <c r="P15" i="26"/>
  <c r="Q15" i="26" s="1"/>
  <c r="R43" i="26"/>
  <c r="P43" i="26"/>
  <c r="Q43" i="26" s="1"/>
  <c r="AS43" i="9"/>
  <c r="J76" i="28"/>
  <c r="J84" i="28" s="1"/>
  <c r="K7" i="28"/>
  <c r="R44" i="28"/>
  <c r="P44" i="28"/>
  <c r="Q44" i="28" s="1"/>
  <c r="P18" i="28"/>
  <c r="Q18" i="28" s="1"/>
  <c r="R18" i="28"/>
  <c r="P16" i="27"/>
  <c r="Q16" i="27" s="1"/>
  <c r="R16" i="27"/>
  <c r="R48" i="27"/>
  <c r="P48" i="27"/>
  <c r="Q48" i="27" s="1"/>
  <c r="R69" i="26"/>
  <c r="P69" i="26"/>
  <c r="Q69" i="26" s="1"/>
  <c r="P68" i="26"/>
  <c r="Q68" i="26" s="1"/>
  <c r="R68" i="26"/>
  <c r="P30" i="26"/>
  <c r="Q30" i="26" s="1"/>
  <c r="R30" i="26"/>
  <c r="AS68" i="9"/>
  <c r="R14" i="26"/>
  <c r="P14" i="26"/>
  <c r="Q14" i="26" s="1"/>
  <c r="M14" i="29"/>
  <c r="R32" i="28"/>
  <c r="P32" i="28"/>
  <c r="Q32" i="28" s="1"/>
  <c r="P10" i="26"/>
  <c r="Q10" i="26" s="1"/>
  <c r="R10" i="26"/>
  <c r="P27" i="28"/>
  <c r="Q27" i="28" s="1"/>
  <c r="R27" i="28"/>
  <c r="P56" i="28"/>
  <c r="Q56" i="28" s="1"/>
  <c r="R56" i="28"/>
  <c r="P18" i="27"/>
  <c r="Q18" i="27" s="1"/>
  <c r="R18" i="27"/>
  <c r="R15" i="28"/>
  <c r="P15" i="28"/>
  <c r="Q15" i="28" s="1"/>
  <c r="P54" i="27"/>
  <c r="Q54" i="27" s="1"/>
  <c r="R54" i="27"/>
  <c r="AK15" i="29"/>
  <c r="AN38" i="30"/>
  <c r="J76" i="27"/>
  <c r="J84" i="27" s="1"/>
  <c r="AN36" i="30"/>
  <c r="AT75" i="9"/>
  <c r="AW75" i="9" s="1"/>
  <c r="AT16" i="9"/>
  <c r="AW16" i="9" s="1"/>
  <c r="AT55" i="9"/>
  <c r="AW55" i="9" s="1"/>
  <c r="AN24" i="30"/>
  <c r="AS14" i="9"/>
  <c r="AT20" i="9"/>
  <c r="AW20" i="9" s="1"/>
  <c r="AN8" i="30"/>
  <c r="AK8" i="29"/>
  <c r="AN26" i="30"/>
  <c r="AK13" i="29"/>
  <c r="AT46" i="9"/>
  <c r="AW46" i="9" s="1"/>
  <c r="AT24" i="9"/>
  <c r="AW24" i="9" s="1"/>
  <c r="AT71" i="9"/>
  <c r="AW71" i="9" s="1"/>
  <c r="AT15" i="9"/>
  <c r="AW15" i="9" s="1"/>
  <c r="R40" i="27"/>
  <c r="P40" i="27"/>
  <c r="Q40" i="27" s="1"/>
  <c r="R33" i="27"/>
  <c r="P33" i="27"/>
  <c r="Q33" i="27" s="1"/>
  <c r="P70" i="26"/>
  <c r="Q70" i="26" s="1"/>
  <c r="R70" i="26"/>
  <c r="R19" i="28"/>
  <c r="P19" i="28"/>
  <c r="Q19" i="28" s="1"/>
  <c r="P27" i="26"/>
  <c r="Q27" i="26" s="1"/>
  <c r="R27" i="26"/>
  <c r="AS58" i="9"/>
  <c r="P46" i="28"/>
  <c r="Q46" i="28" s="1"/>
  <c r="R46" i="28"/>
  <c r="R37" i="27"/>
  <c r="P37" i="27"/>
  <c r="Q37" i="27" s="1"/>
  <c r="R24" i="28"/>
  <c r="P24" i="28"/>
  <c r="Q24" i="28" s="1"/>
  <c r="P19" i="27"/>
  <c r="Q19" i="27" s="1"/>
  <c r="R19" i="27"/>
  <c r="R45" i="27"/>
  <c r="P45" i="27"/>
  <c r="Q45" i="27" s="1"/>
  <c r="AS40" i="9"/>
  <c r="P45" i="28"/>
  <c r="Q45" i="28" s="1"/>
  <c r="R45" i="28"/>
  <c r="P42" i="27"/>
  <c r="Q42" i="27" s="1"/>
  <c r="R42" i="27"/>
  <c r="R25" i="26"/>
  <c r="P25" i="26"/>
  <c r="Q25" i="26" s="1"/>
  <c r="P17" i="27"/>
  <c r="Q17" i="27" s="1"/>
  <c r="R17" i="27"/>
  <c r="P39" i="27"/>
  <c r="Q39" i="27" s="1"/>
  <c r="R39" i="27"/>
  <c r="R55" i="28"/>
  <c r="P55" i="28"/>
  <c r="Q55" i="28" s="1"/>
  <c r="P28" i="28"/>
  <c r="Q28" i="28" s="1"/>
  <c r="R28" i="28"/>
  <c r="R69" i="27"/>
  <c r="P69" i="27"/>
  <c r="Q69" i="27" s="1"/>
  <c r="R74" i="27"/>
  <c r="P74" i="27"/>
  <c r="Q74" i="27" s="1"/>
  <c r="AS61" i="9"/>
  <c r="P19" i="26"/>
  <c r="Q19" i="26" s="1"/>
  <c r="R19" i="26"/>
  <c r="P11" i="26"/>
  <c r="Q11" i="26" s="1"/>
  <c r="R11" i="26"/>
  <c r="R52" i="26"/>
  <c r="P52" i="26"/>
  <c r="Q52" i="26" s="1"/>
  <c r="P61" i="27"/>
  <c r="Q61" i="27" s="1"/>
  <c r="R61" i="27"/>
  <c r="AS25" i="9"/>
  <c r="R43" i="27"/>
  <c r="P43" i="27"/>
  <c r="Q43" i="27" s="1"/>
  <c r="R31" i="28"/>
  <c r="P31" i="28"/>
  <c r="Q31" i="28" s="1"/>
  <c r="R66" i="27"/>
  <c r="P66" i="27"/>
  <c r="Q66" i="27" s="1"/>
  <c r="P70" i="28"/>
  <c r="Q70" i="28" s="1"/>
  <c r="R70" i="28"/>
  <c r="P75" i="28"/>
  <c r="Q75" i="28" s="1"/>
  <c r="R75" i="28"/>
  <c r="P50" i="28"/>
  <c r="Q50" i="28" s="1"/>
  <c r="R50" i="28"/>
  <c r="AS8" i="9"/>
  <c r="AI56" i="11"/>
  <c r="AI15" i="11"/>
  <c r="AJ67" i="11"/>
  <c r="AJ56" i="11"/>
  <c r="AJ35" i="11"/>
  <c r="AJ24" i="11"/>
  <c r="AJ13" i="11"/>
  <c r="AI39" i="11"/>
  <c r="O12" i="11"/>
  <c r="AG43" i="11"/>
  <c r="AD47" i="11"/>
  <c r="R59" i="11"/>
  <c r="U54" i="11"/>
  <c r="P41" i="11"/>
  <c r="V55" i="11"/>
  <c r="AL47" i="11"/>
  <c r="AC24" i="11"/>
  <c r="AC43" i="11"/>
  <c r="AD58" i="11"/>
  <c r="F45" i="11"/>
  <c r="N22" i="11"/>
  <c r="V28" i="11"/>
  <c r="AH56" i="11"/>
  <c r="S55" i="11"/>
  <c r="AB39" i="11"/>
  <c r="F66" i="11"/>
  <c r="T54" i="11"/>
  <c r="R64" i="11"/>
  <c r="N31" i="11"/>
  <c r="W19" i="11"/>
  <c r="F32" i="11"/>
  <c r="AF68" i="11"/>
  <c r="R31" i="11"/>
  <c r="H55" i="11"/>
  <c r="AB24" i="11"/>
  <c r="K70" i="11"/>
  <c r="Y46" i="11"/>
  <c r="H40" i="11"/>
  <c r="AE30" i="11"/>
  <c r="Z57" i="11"/>
  <c r="AN25" i="30"/>
  <c r="V9" i="11"/>
  <c r="AE10" i="11"/>
  <c r="Z35" i="11"/>
  <c r="P48" i="11"/>
  <c r="Z49" i="11"/>
  <c r="U73" i="11"/>
  <c r="H42" i="11"/>
  <c r="V26" i="11"/>
  <c r="U38" i="11"/>
  <c r="U35" i="11"/>
  <c r="AD51" i="11"/>
  <c r="K27" i="11"/>
  <c r="AH18" i="11"/>
  <c r="AG20" i="11"/>
  <c r="W75" i="11"/>
  <c r="H72" i="11"/>
  <c r="H13" i="11"/>
  <c r="AH27" i="11"/>
  <c r="AG18" i="11"/>
  <c r="W46" i="11"/>
  <c r="T10" i="11"/>
  <c r="V15" i="11"/>
  <c r="I34" i="11"/>
  <c r="AG35" i="11"/>
  <c r="I75" i="11"/>
  <c r="L31" i="11"/>
  <c r="AF43" i="11"/>
  <c r="AE61" i="11"/>
  <c r="AD62" i="11"/>
  <c r="AE54" i="11"/>
  <c r="AK22" i="11"/>
  <c r="P46" i="11"/>
  <c r="U28" i="11"/>
  <c r="AA64" i="11"/>
  <c r="O66" i="11"/>
  <c r="Q59" i="11"/>
  <c r="AK73" i="11"/>
  <c r="O42" i="11"/>
  <c r="AL35" i="11"/>
  <c r="AE66" i="11"/>
  <c r="AG74" i="11"/>
  <c r="AE18" i="11"/>
  <c r="J60" i="11"/>
  <c r="L28" i="11"/>
  <c r="L7" i="27"/>
  <c r="K76" i="27"/>
  <c r="K84" i="27" s="1"/>
  <c r="AT72" i="9"/>
  <c r="AW72" i="9" s="1"/>
  <c r="AT53" i="9"/>
  <c r="AW53" i="9" s="1"/>
  <c r="AT33" i="9"/>
  <c r="AW33" i="9" s="1"/>
  <c r="AT18" i="9"/>
  <c r="AW18" i="9" s="1"/>
  <c r="AT26" i="9"/>
  <c r="AW26" i="9" s="1"/>
  <c r="AJ12" i="11"/>
  <c r="M41" i="11"/>
  <c r="X11" i="11"/>
  <c r="X24" i="11"/>
  <c r="F9" i="11"/>
  <c r="AE32" i="11"/>
  <c r="W63" i="11"/>
  <c r="AF18" i="11"/>
  <c r="X45" i="11"/>
  <c r="V61" i="11"/>
  <c r="F31" i="11"/>
  <c r="Z42" i="11"/>
  <c r="H65" i="11"/>
  <c r="T24" i="11"/>
  <c r="AD74" i="11"/>
  <c r="AC61" i="11"/>
  <c r="N54" i="11"/>
  <c r="AF66" i="11"/>
  <c r="W8" i="11"/>
  <c r="K43" i="11"/>
  <c r="AF48" i="11"/>
  <c r="AT45" i="9"/>
  <c r="AW45" i="9" s="1"/>
  <c r="AN29" i="30"/>
  <c r="X56" i="11"/>
  <c r="W26" i="11"/>
  <c r="O19" i="11"/>
  <c r="F38" i="11"/>
  <c r="AH52" i="11"/>
  <c r="U15" i="11"/>
  <c r="AL16" i="11"/>
  <c r="P9" i="11"/>
  <c r="S39" i="11"/>
  <c r="AK19" i="11"/>
  <c r="O16" i="11"/>
  <c r="AA34" i="11"/>
  <c r="N38" i="11"/>
  <c r="AK47" i="11"/>
  <c r="AL48" i="11"/>
  <c r="Q72" i="11"/>
  <c r="AL51" i="11"/>
  <c r="X39" i="11"/>
  <c r="AG25" i="11"/>
  <c r="M27" i="11"/>
  <c r="R33" i="11"/>
  <c r="F13" i="11"/>
  <c r="AC54" i="11"/>
  <c r="AT11" i="9"/>
  <c r="AW11" i="9" s="1"/>
  <c r="H21" i="11"/>
  <c r="H64" i="11"/>
  <c r="AK12" i="29"/>
  <c r="J68" i="11"/>
  <c r="AC15" i="11"/>
  <c r="Q26" i="11"/>
  <c r="AD56" i="11"/>
  <c r="P43" i="11"/>
  <c r="W49" i="11"/>
  <c r="T16" i="11"/>
  <c r="V34" i="11"/>
  <c r="AA23" i="11"/>
  <c r="AF51" i="11"/>
  <c r="M65" i="11"/>
  <c r="O13" i="11"/>
  <c r="J25" i="11"/>
  <c r="I65" i="11"/>
  <c r="T51" i="11"/>
  <c r="P72" i="11"/>
  <c r="AT66" i="9"/>
  <c r="AW66" i="9" s="1"/>
  <c r="AG64" i="11"/>
  <c r="O14" i="11"/>
  <c r="AC56" i="11"/>
  <c r="Z32" i="11"/>
  <c r="F48" i="11"/>
  <c r="AL74" i="11"/>
  <c r="AB15" i="11"/>
  <c r="AF31" i="11"/>
  <c r="O35" i="11"/>
  <c r="H22" i="11"/>
  <c r="X53" i="11"/>
  <c r="J65" i="11"/>
  <c r="AD28" i="11"/>
  <c r="V66" i="11"/>
  <c r="I41" i="11"/>
  <c r="K37" i="11"/>
  <c r="S38" i="11"/>
  <c r="AC34" i="11"/>
  <c r="R38" i="11"/>
  <c r="M13" i="11"/>
  <c r="Z25" i="11"/>
  <c r="BK33" i="11"/>
  <c r="Z33" i="10"/>
  <c r="AT39" i="9"/>
  <c r="AW39" i="9" s="1"/>
  <c r="M8" i="16"/>
  <c r="AI64" i="11"/>
  <c r="AI43" i="11"/>
  <c r="AI11" i="11"/>
  <c r="AJ59" i="11"/>
  <c r="AJ37" i="11"/>
  <c r="AJ16" i="11"/>
  <c r="AL40" i="11"/>
  <c r="Y35" i="11"/>
  <c r="Q69" i="11"/>
  <c r="AA39" i="11"/>
  <c r="Y24" i="11"/>
  <c r="H74" i="11"/>
  <c r="AK32" i="11"/>
  <c r="Q53" i="11"/>
  <c r="Q56" i="11"/>
  <c r="AH31" i="11"/>
  <c r="AB72" i="11"/>
  <c r="AL24" i="11"/>
  <c r="P62" i="11"/>
  <c r="U31" i="11"/>
  <c r="J34" i="11"/>
  <c r="Q73" i="11"/>
  <c r="AK37" i="11"/>
  <c r="AC23" i="11"/>
  <c r="AK52" i="11"/>
  <c r="J18" i="11"/>
  <c r="T21" i="11"/>
  <c r="AB30" i="11"/>
  <c r="Y52" i="11"/>
  <c r="K74" i="11"/>
  <c r="AC46" i="11"/>
  <c r="AG47" i="11"/>
  <c r="Z36" i="11"/>
  <c r="Z70" i="11"/>
  <c r="U20" i="11"/>
  <c r="N12" i="11"/>
  <c r="V57" i="11"/>
  <c r="AE15" i="11"/>
  <c r="AK49" i="11"/>
  <c r="K47" i="11"/>
  <c r="U36" i="11"/>
  <c r="F16" i="11"/>
  <c r="K10" i="11"/>
  <c r="L69" i="11"/>
  <c r="Y27" i="11"/>
  <c r="R13" i="11"/>
  <c r="P67" i="11"/>
  <c r="J41" i="11"/>
  <c r="H8" i="11"/>
  <c r="AF50" i="11"/>
  <c r="P73" i="11"/>
  <c r="R34" i="11"/>
  <c r="J32" i="11"/>
  <c r="AN34" i="30"/>
  <c r="F34" i="11"/>
  <c r="AN22" i="30"/>
  <c r="H19" i="11"/>
  <c r="J50" i="11"/>
  <c r="AE37" i="11"/>
  <c r="L26" i="11"/>
  <c r="AA26" i="11"/>
  <c r="V49" i="11"/>
  <c r="AA38" i="11"/>
  <c r="Y23" i="11"/>
  <c r="N66" i="11"/>
  <c r="S74" i="11"/>
  <c r="AH30" i="11"/>
  <c r="H30" i="11"/>
  <c r="P24" i="26"/>
  <c r="Q24" i="26" s="1"/>
  <c r="R24" i="26"/>
  <c r="P15" i="11"/>
  <c r="AA52" i="11"/>
  <c r="L51" i="11"/>
  <c r="AH37" i="11"/>
  <c r="V75" i="11"/>
  <c r="P13" i="11"/>
  <c r="X64" i="11"/>
  <c r="AK11" i="29"/>
  <c r="AJ17" i="29"/>
  <c r="X13" i="11"/>
  <c r="AK66" i="11"/>
  <c r="AK41" i="11"/>
  <c r="O60" i="11"/>
  <c r="AL59" i="11"/>
  <c r="N34" i="11"/>
  <c r="Y43" i="11"/>
  <c r="R42" i="11"/>
  <c r="P44" i="11"/>
  <c r="AB74" i="11"/>
  <c r="U13" i="11"/>
  <c r="AD29" i="11"/>
  <c r="I28" i="11"/>
  <c r="M64" i="11"/>
  <c r="Q46" i="11"/>
  <c r="R67" i="11"/>
  <c r="AT57" i="9"/>
  <c r="AW57" i="9" s="1"/>
  <c r="AI49" i="11"/>
  <c r="AI29" i="11"/>
  <c r="AI13" i="11"/>
  <c r="AJ50" i="11"/>
  <c r="AJ34" i="11"/>
  <c r="AJ18" i="11"/>
  <c r="AI63" i="11"/>
  <c r="AI42" i="11"/>
  <c r="AI10" i="11"/>
  <c r="AJ36" i="11"/>
  <c r="AJ15" i="11"/>
  <c r="AI35" i="11"/>
  <c r="AI31" i="11"/>
  <c r="AK69" i="11"/>
  <c r="R32" i="11"/>
  <c r="J49" i="11"/>
  <c r="J55" i="11"/>
  <c r="AF49" i="11"/>
  <c r="AA25" i="11"/>
  <c r="Z56" i="11"/>
  <c r="K56" i="11"/>
  <c r="S50" i="11"/>
  <c r="S52" i="11"/>
  <c r="O63" i="11"/>
  <c r="AE62" i="11"/>
  <c r="I54" i="11"/>
  <c r="X21" i="11"/>
  <c r="I71" i="11"/>
  <c r="I52" i="11"/>
  <c r="J51" i="11"/>
  <c r="AE13" i="11"/>
  <c r="I46" i="11"/>
  <c r="W23" i="11"/>
  <c r="H51" i="11"/>
  <c r="S33" i="11"/>
  <c r="O54" i="11"/>
  <c r="AK21" i="11"/>
  <c r="N64" i="11"/>
  <c r="Q14" i="11"/>
  <c r="V27" i="11"/>
  <c r="L21" i="11"/>
  <c r="J46" i="11"/>
  <c r="AT41" i="9"/>
  <c r="AW41" i="9" s="1"/>
  <c r="AH10" i="11"/>
  <c r="AB56" i="11"/>
  <c r="AB55" i="11"/>
  <c r="O24" i="11"/>
  <c r="F75" i="11"/>
  <c r="N10" i="11"/>
  <c r="N16" i="11"/>
  <c r="K8" i="11"/>
  <c r="X58" i="11"/>
  <c r="AE35" i="11"/>
  <c r="AB48" i="11"/>
  <c r="AL36" i="11"/>
  <c r="N70" i="11"/>
  <c r="H33" i="11"/>
  <c r="R63" i="11"/>
  <c r="L62" i="11"/>
  <c r="T40" i="11"/>
  <c r="AD41" i="11"/>
  <c r="R8" i="11"/>
  <c r="U59" i="11"/>
  <c r="F8" i="11"/>
  <c r="X15" i="11"/>
  <c r="M24" i="11"/>
  <c r="L48" i="11"/>
  <c r="O47" i="11"/>
  <c r="AG56" i="11"/>
  <c r="AC37" i="11"/>
  <c r="H34" i="11"/>
  <c r="H23" i="11"/>
  <c r="R23" i="11"/>
  <c r="U32" i="11"/>
  <c r="Z52" i="11"/>
  <c r="AA13" i="11"/>
  <c r="N20" i="11"/>
  <c r="AC27" i="11"/>
  <c r="U61" i="11"/>
  <c r="AC25" i="11"/>
  <c r="F53" i="11"/>
  <c r="AD21" i="11"/>
  <c r="H60" i="11"/>
  <c r="J17" i="11"/>
  <c r="K57" i="11"/>
  <c r="AH15" i="11"/>
  <c r="Y56" i="11"/>
  <c r="AD55" i="11"/>
  <c r="F23" i="11"/>
  <c r="AH23" i="11"/>
  <c r="K36" i="11"/>
  <c r="AD52" i="11"/>
  <c r="W51" i="11"/>
  <c r="AE59" i="11"/>
  <c r="AK45" i="11"/>
  <c r="T19" i="11"/>
  <c r="Q38" i="11"/>
  <c r="AK38" i="11"/>
  <c r="AB23" i="11"/>
  <c r="M43" i="11"/>
  <c r="AB70" i="11"/>
  <c r="AB63" i="11"/>
  <c r="V25" i="11"/>
  <c r="P22" i="11"/>
  <c r="AF64" i="11"/>
  <c r="F46" i="11"/>
  <c r="Q60" i="11"/>
  <c r="AT27" i="9"/>
  <c r="AW27" i="9" s="1"/>
  <c r="AN7" i="30"/>
  <c r="AN31" i="30"/>
  <c r="AG50" i="11"/>
  <c r="Y47" i="11"/>
  <c r="AA63" i="11"/>
  <c r="AG13" i="11"/>
  <c r="J13" i="11"/>
  <c r="L66" i="11"/>
  <c r="U12" i="11"/>
  <c r="P60" i="11"/>
  <c r="J76" i="26"/>
  <c r="J84" i="26" s="1"/>
  <c r="R9" i="27"/>
  <c r="P9" i="27"/>
  <c r="Q9" i="27" s="1"/>
  <c r="AR76" i="9" l="1"/>
  <c r="AL53" i="11"/>
  <c r="R73" i="11"/>
  <c r="U50" i="11"/>
  <c r="W29" i="11"/>
  <c r="AG61" i="11"/>
  <c r="AI18" i="11"/>
  <c r="AK61" i="11"/>
  <c r="U70" i="11"/>
  <c r="P24" i="11"/>
  <c r="P59" i="11"/>
  <c r="J28" i="11"/>
  <c r="O51" i="11"/>
  <c r="Y25" i="11"/>
  <c r="AC58" i="11"/>
  <c r="AL33" i="11"/>
  <c r="Y36" i="11"/>
  <c r="AB38" i="11"/>
  <c r="AG71" i="11"/>
  <c r="AD16" i="11"/>
  <c r="O15" i="11"/>
  <c r="L58" i="11"/>
  <c r="V33" i="11"/>
  <c r="K49" i="11"/>
  <c r="I26" i="11"/>
  <c r="U64" i="11"/>
  <c r="AH60" i="11"/>
  <c r="S17" i="11"/>
  <c r="P75" i="11"/>
  <c r="T44" i="11"/>
  <c r="AJ73" i="11"/>
  <c r="W12" i="11"/>
  <c r="AB75" i="11"/>
  <c r="M66" i="11"/>
  <c r="K42" i="11"/>
  <c r="AB59" i="11"/>
  <c r="X62" i="11"/>
  <c r="W42" i="11"/>
  <c r="N49" i="11"/>
  <c r="J16" i="11"/>
  <c r="I40" i="11"/>
  <c r="AI44" i="11"/>
  <c r="X49" i="11"/>
  <c r="T48" i="11"/>
  <c r="U9" i="11"/>
  <c r="AH20" i="11"/>
  <c r="AI32" i="11"/>
  <c r="K12" i="11"/>
  <c r="Q33" i="11"/>
  <c r="AE23" i="11"/>
  <c r="AL34" i="11"/>
  <c r="W47" i="11"/>
  <c r="Y39" i="11"/>
  <c r="I57" i="11"/>
  <c r="L39" i="11"/>
  <c r="Y28" i="11"/>
  <c r="J54" i="11"/>
  <c r="P57" i="11"/>
  <c r="AK28" i="11"/>
  <c r="Q63" i="11"/>
  <c r="AB73" i="11"/>
  <c r="N28" i="11"/>
  <c r="T30" i="11"/>
  <c r="AF72" i="11"/>
  <c r="Z61" i="11"/>
  <c r="S72" i="11"/>
  <c r="I35" i="11"/>
  <c r="AD20" i="11"/>
  <c r="AK42" i="11"/>
  <c r="F74" i="11"/>
  <c r="U57" i="11"/>
  <c r="I47" i="11"/>
  <c r="Q15" i="11"/>
  <c r="AK13" i="11"/>
  <c r="L50" i="11"/>
  <c r="U21" i="11"/>
  <c r="AB58" i="11"/>
  <c r="T56" i="11"/>
  <c r="AE50" i="11"/>
  <c r="AC62" i="11"/>
  <c r="AI40" i="11"/>
  <c r="AF42" i="11"/>
  <c r="Y54" i="11"/>
  <c r="V74" i="11"/>
  <c r="Y42" i="11"/>
  <c r="N65" i="11"/>
  <c r="AB35" i="11"/>
  <c r="X14" i="11"/>
  <c r="K62" i="11"/>
  <c r="AI8" i="11"/>
  <c r="W11" i="11"/>
  <c r="R18" i="11"/>
  <c r="Y74" i="11"/>
  <c r="AJ49" i="11"/>
  <c r="AB25" i="11"/>
  <c r="R66" i="11"/>
  <c r="W34" i="11"/>
  <c r="AJ40" i="11"/>
  <c r="AD34" i="11"/>
  <c r="AI37" i="11"/>
  <c r="J37" i="11"/>
  <c r="R30" i="11"/>
  <c r="AI52" i="11"/>
  <c r="AG32" i="11"/>
  <c r="U43" i="11"/>
  <c r="Z68" i="11"/>
  <c r="AA72" i="11"/>
  <c r="S27" i="11"/>
  <c r="AK15" i="11"/>
  <c r="AG48" i="11"/>
  <c r="L59" i="11"/>
  <c r="M33" i="11"/>
  <c r="W17" i="11"/>
  <c r="Y11" i="11"/>
  <c r="U63" i="11"/>
  <c r="AG21" i="11"/>
  <c r="O57" i="11"/>
  <c r="V37" i="11"/>
  <c r="AG73" i="11"/>
  <c r="N29" i="11"/>
  <c r="Z62" i="11"/>
  <c r="AF45" i="11"/>
  <c r="AJ68" i="11"/>
  <c r="AI21" i="11"/>
  <c r="N57" i="11"/>
  <c r="N35" i="11"/>
  <c r="AL12" i="11"/>
  <c r="AE70" i="11"/>
  <c r="P34" i="11"/>
  <c r="S11" i="11"/>
  <c r="T17" i="11"/>
  <c r="S54" i="11"/>
  <c r="AF11" i="11"/>
  <c r="S45" i="11"/>
  <c r="AF14" i="11"/>
  <c r="R57" i="11"/>
  <c r="Q13" i="11"/>
  <c r="Q22" i="11"/>
  <c r="AH53" i="11"/>
  <c r="AH41" i="11"/>
  <c r="AL52" i="11"/>
  <c r="U45" i="11"/>
  <c r="F42" i="11"/>
  <c r="AC60" i="11"/>
  <c r="I21" i="11"/>
  <c r="H61" i="11"/>
  <c r="V62" i="11"/>
  <c r="N25" i="11"/>
  <c r="AA71" i="11"/>
  <c r="M9" i="11"/>
  <c r="X9" i="11"/>
  <c r="Y16" i="11"/>
  <c r="J8" i="11"/>
  <c r="Y67" i="11"/>
  <c r="AF34" i="11"/>
  <c r="I73" i="11"/>
  <c r="P21" i="11"/>
  <c r="AC42" i="11"/>
  <c r="AL37" i="11"/>
  <c r="H70" i="11"/>
  <c r="AF73" i="11"/>
  <c r="W74" i="11"/>
  <c r="T43" i="11"/>
  <c r="AA49" i="11"/>
  <c r="O50" i="11"/>
  <c r="L24" i="11"/>
  <c r="W59" i="11"/>
  <c r="AL64" i="11"/>
  <c r="P37" i="11"/>
  <c r="X8" i="11"/>
  <c r="AF41" i="11"/>
  <c r="AB47" i="11"/>
  <c r="AB65" i="11"/>
  <c r="N42" i="11"/>
  <c r="W52" i="11"/>
  <c r="T32" i="11"/>
  <c r="Z33" i="11"/>
  <c r="AF61" i="11"/>
  <c r="T13" i="11"/>
  <c r="Q47" i="11"/>
  <c r="AD64" i="11"/>
  <c r="P52" i="11"/>
  <c r="H15" i="11"/>
  <c r="P14" i="11"/>
  <c r="AG44" i="11"/>
  <c r="K55" i="11"/>
  <c r="AB31" i="11"/>
  <c r="AG45" i="11"/>
  <c r="Y44" i="11"/>
  <c r="AC69" i="11"/>
  <c r="J43" i="11"/>
  <c r="AD71" i="11"/>
  <c r="S71" i="11"/>
  <c r="AJ46" i="11"/>
  <c r="S48" i="11"/>
  <c r="S9" i="11"/>
  <c r="AG37" i="11"/>
  <c r="AL71" i="11"/>
  <c r="S59" i="11"/>
  <c r="P54" i="11"/>
  <c r="S47" i="11"/>
  <c r="M62" i="11"/>
  <c r="AB42" i="11"/>
  <c r="I53" i="11"/>
  <c r="N32" i="11"/>
  <c r="N45" i="11"/>
  <c r="S75" i="11"/>
  <c r="I58" i="11"/>
  <c r="F70" i="11"/>
  <c r="AJ55" i="11"/>
  <c r="H69" i="11"/>
  <c r="AJ48" i="11"/>
  <c r="AB53" i="11"/>
  <c r="AL29" i="11"/>
  <c r="W61" i="11"/>
  <c r="Q27" i="11"/>
  <c r="I45" i="11"/>
  <c r="Z66" i="11"/>
  <c r="AL17" i="11"/>
  <c r="AB44" i="11"/>
  <c r="AA60" i="11"/>
  <c r="Q66" i="11"/>
  <c r="W72" i="11"/>
  <c r="AF25" i="11"/>
  <c r="AE52" i="11"/>
  <c r="AC38" i="11"/>
  <c r="V16" i="11"/>
  <c r="S24" i="11"/>
  <c r="X34" i="11"/>
  <c r="AE55" i="11"/>
  <c r="Q8" i="11"/>
  <c r="P42" i="11"/>
  <c r="Y68" i="11"/>
  <c r="AJ29" i="11"/>
  <c r="T55" i="11"/>
  <c r="S49" i="11"/>
  <c r="AB40" i="11"/>
  <c r="AL68" i="11"/>
  <c r="AG33" i="11"/>
  <c r="Q12" i="11"/>
  <c r="K34" i="11"/>
  <c r="P20" i="11"/>
  <c r="F22" i="11"/>
  <c r="U24" i="11"/>
  <c r="V8" i="11"/>
  <c r="U42" i="11"/>
  <c r="AJ22" i="11"/>
  <c r="AC10" i="11"/>
  <c r="J40" i="11"/>
  <c r="S63" i="11"/>
  <c r="M32" i="11"/>
  <c r="AB8" i="11"/>
  <c r="U49" i="11"/>
  <c r="M56" i="11"/>
  <c r="AE22" i="11"/>
  <c r="AI59" i="11"/>
  <c r="R55" i="11"/>
  <c r="AS32" i="9"/>
  <c r="X41" i="11"/>
  <c r="S61" i="11"/>
  <c r="P29" i="11"/>
  <c r="Z13" i="11"/>
  <c r="Y65" i="11"/>
  <c r="AL25" i="11"/>
  <c r="Q68" i="11"/>
  <c r="L46" i="11"/>
  <c r="T63" i="11"/>
  <c r="AK58" i="11"/>
  <c r="S31" i="11"/>
  <c r="J75" i="11"/>
  <c r="AJ31" i="11"/>
  <c r="I22" i="11"/>
  <c r="Q48" i="11"/>
  <c r="AG36" i="11"/>
  <c r="AD72" i="11"/>
  <c r="R29" i="11"/>
  <c r="R37" i="11"/>
  <c r="AA61" i="11"/>
  <c r="M67" i="11"/>
  <c r="AD32" i="11"/>
  <c r="AH13" i="11"/>
  <c r="V52" i="11"/>
  <c r="O30" i="11"/>
  <c r="V20" i="11"/>
  <c r="AD19" i="11"/>
  <c r="N47" i="11"/>
  <c r="AF24" i="11"/>
  <c r="T12" i="11"/>
  <c r="I55" i="11"/>
  <c r="AS30" i="9"/>
  <c r="AS62" i="9"/>
  <c r="AS28" i="9"/>
  <c r="AS17" i="9"/>
  <c r="AS47" i="9"/>
  <c r="AS67" i="9"/>
  <c r="AS7" i="9"/>
  <c r="AS44" i="9"/>
  <c r="AS70" i="9"/>
  <c r="AS23" i="9"/>
  <c r="AS12" i="9"/>
  <c r="AS21" i="9"/>
  <c r="BD57" i="9"/>
  <c r="AY57" i="9"/>
  <c r="AY33" i="9"/>
  <c r="BD33" i="9"/>
  <c r="BD27" i="9"/>
  <c r="AY27" i="9"/>
  <c r="AO11" i="30"/>
  <c r="AL11" i="29"/>
  <c r="AK17" i="29"/>
  <c r="AO24" i="30"/>
  <c r="AY66" i="9"/>
  <c r="BD66" i="9"/>
  <c r="AO36" i="30"/>
  <c r="BD72" i="9"/>
  <c r="AY72" i="9"/>
  <c r="AT25" i="9"/>
  <c r="AW25" i="9" s="1"/>
  <c r="BD15" i="9"/>
  <c r="AY15" i="9"/>
  <c r="BD24" i="9"/>
  <c r="AY24" i="9"/>
  <c r="AL8" i="29"/>
  <c r="AY55" i="9"/>
  <c r="BD55" i="9"/>
  <c r="AT43" i="9"/>
  <c r="AW43" i="9" s="1"/>
  <c r="BD37" i="9"/>
  <c r="AY37" i="9"/>
  <c r="AO14" i="30"/>
  <c r="AY73" i="9"/>
  <c r="BD73" i="9"/>
  <c r="AY22" i="9"/>
  <c r="BD22" i="9"/>
  <c r="AT54" i="9"/>
  <c r="AW54" i="9" s="1"/>
  <c r="AT38" i="9"/>
  <c r="AW38" i="9" s="1"/>
  <c r="AT13" i="9"/>
  <c r="AW13" i="9" s="1"/>
  <c r="BD48" i="9"/>
  <c r="AY48" i="9"/>
  <c r="AO15" i="30"/>
  <c r="N8" i="29"/>
  <c r="BD41" i="9"/>
  <c r="AY41" i="9"/>
  <c r="O8" i="16"/>
  <c r="R8" i="16" s="1"/>
  <c r="BD39" i="9"/>
  <c r="AY39" i="9"/>
  <c r="BD18" i="9"/>
  <c r="AY18" i="9"/>
  <c r="AO38" i="30"/>
  <c r="AT61" i="9"/>
  <c r="AW61" i="9" s="1"/>
  <c r="AT40" i="9"/>
  <c r="AW40" i="9" s="1"/>
  <c r="AT58" i="9"/>
  <c r="AW58" i="9" s="1"/>
  <c r="BD46" i="9"/>
  <c r="AY46" i="9"/>
  <c r="AO31" i="30"/>
  <c r="BD20" i="9"/>
  <c r="AY20" i="9"/>
  <c r="AO34" i="30"/>
  <c r="AO10" i="30"/>
  <c r="AO35" i="30"/>
  <c r="AO17" i="30"/>
  <c r="AO13" i="30"/>
  <c r="AL15" i="29"/>
  <c r="N14" i="29"/>
  <c r="AT68" i="9"/>
  <c r="AW68" i="9" s="1"/>
  <c r="K76" i="28"/>
  <c r="K84" i="28" s="1"/>
  <c r="L7" i="28"/>
  <c r="AT42" i="9"/>
  <c r="AW42" i="9" s="1"/>
  <c r="AO21" i="30"/>
  <c r="O12" i="29"/>
  <c r="P12" i="29"/>
  <c r="AO32" i="30"/>
  <c r="AY69" i="9"/>
  <c r="BD69" i="9"/>
  <c r="M9" i="16"/>
  <c r="O7" i="16"/>
  <c r="AO16" i="30"/>
  <c r="L76" i="26"/>
  <c r="L84" i="26" s="1"/>
  <c r="N7" i="26"/>
  <c r="BD51" i="9"/>
  <c r="AY51" i="9"/>
  <c r="AO19" i="30"/>
  <c r="AK9" i="29"/>
  <c r="AL7" i="29"/>
  <c r="AO27" i="30"/>
  <c r="AO25" i="30"/>
  <c r="L19" i="29"/>
  <c r="AT19" i="9"/>
  <c r="AW19" i="9" s="1"/>
  <c r="AY11" i="9"/>
  <c r="BD11" i="9"/>
  <c r="AO30" i="30"/>
  <c r="AO39" i="30"/>
  <c r="AO8" i="30"/>
  <c r="AY45" i="9"/>
  <c r="BD45" i="9"/>
  <c r="BD53" i="9"/>
  <c r="AY53" i="9"/>
  <c r="N7" i="27"/>
  <c r="L76" i="27"/>
  <c r="L84" i="27" s="1"/>
  <c r="AT8" i="9"/>
  <c r="AW8" i="9" s="1"/>
  <c r="BD71" i="9"/>
  <c r="AY71" i="9"/>
  <c r="AL13" i="29"/>
  <c r="AT14" i="9"/>
  <c r="AW14" i="9" s="1"/>
  <c r="BD16" i="9"/>
  <c r="AY16" i="9"/>
  <c r="AY75" i="9"/>
  <c r="BD75" i="9"/>
  <c r="J42" i="10"/>
  <c r="BD60" i="9"/>
  <c r="AY60" i="9"/>
  <c r="AO20" i="30"/>
  <c r="AY74" i="9"/>
  <c r="BD74" i="9"/>
  <c r="BD64" i="9"/>
  <c r="AY64" i="9"/>
  <c r="AO28" i="30"/>
  <c r="AT63" i="9"/>
  <c r="AW63" i="9" s="1"/>
  <c r="AT34" i="9"/>
  <c r="AW34" i="9" s="1"/>
  <c r="AO18" i="30"/>
  <c r="AS76" i="9"/>
  <c r="AY56" i="9"/>
  <c r="BD56" i="9"/>
  <c r="AL14" i="29"/>
  <c r="M9" i="29"/>
  <c r="N7" i="29"/>
  <c r="N13" i="29"/>
  <c r="N15" i="29"/>
  <c r="AO26" i="30"/>
  <c r="AN33" i="30"/>
  <c r="AL12" i="29"/>
  <c r="AY26" i="9"/>
  <c r="BD26" i="9"/>
  <c r="AO23" i="30"/>
  <c r="AT52" i="9"/>
  <c r="AW52" i="9" s="1"/>
  <c r="BD29" i="9"/>
  <c r="AY29" i="9"/>
  <c r="AO7" i="30"/>
  <c r="AO9" i="30"/>
  <c r="AY50" i="9"/>
  <c r="BD50" i="9"/>
  <c r="N11" i="29"/>
  <c r="M17" i="29"/>
  <c r="AT49" i="9"/>
  <c r="AW49" i="9" s="1"/>
  <c r="AY59" i="9"/>
  <c r="BD59" i="9"/>
  <c r="BD36" i="9"/>
  <c r="AY36" i="9"/>
  <c r="AT35" i="9"/>
  <c r="AW35" i="9" s="1"/>
  <c r="AO22" i="30"/>
  <c r="AO33" i="30"/>
  <c r="AO29" i="30"/>
  <c r="BD10" i="9"/>
  <c r="AY10" i="9"/>
  <c r="AJ19" i="29"/>
  <c r="AT65" i="9"/>
  <c r="AW65" i="9" s="1"/>
  <c r="AT31" i="9"/>
  <c r="AW31" i="9" s="1"/>
  <c r="AT9" i="9"/>
  <c r="AW9" i="9" s="1"/>
  <c r="AK19" i="29" l="1"/>
  <c r="M53" i="11"/>
  <c r="Z9" i="11"/>
  <c r="AH29" i="11"/>
  <c r="AC71" i="11"/>
  <c r="Q57" i="11"/>
  <c r="F67" i="11"/>
  <c r="AA57" i="11"/>
  <c r="K53" i="11"/>
  <c r="AB29" i="11"/>
  <c r="AA29" i="11"/>
  <c r="AE9" i="11"/>
  <c r="M48" i="11"/>
  <c r="K32" i="11"/>
  <c r="AT21" i="9"/>
  <c r="AW21" i="9" s="1"/>
  <c r="AT12" i="9"/>
  <c r="AW12" i="9" s="1"/>
  <c r="X23" i="11"/>
  <c r="X42" i="11"/>
  <c r="Z24" i="11"/>
  <c r="AA20" i="11"/>
  <c r="U71" i="11"/>
  <c r="J29" i="11"/>
  <c r="AT44" i="9"/>
  <c r="AW44" i="9" s="1"/>
  <c r="AT67" i="9"/>
  <c r="AW67" i="9" s="1"/>
  <c r="AT28" i="9"/>
  <c r="AW28" i="9" s="1"/>
  <c r="AT62" i="9"/>
  <c r="AW62" i="9" s="1"/>
  <c r="AT30" i="9"/>
  <c r="AW30" i="9" s="1"/>
  <c r="AH73" i="11"/>
  <c r="L57" i="11"/>
  <c r="W48" i="11"/>
  <c r="AT23" i="9"/>
  <c r="AW23" i="9" s="1"/>
  <c r="AT47" i="9"/>
  <c r="AW47" i="9" s="1"/>
  <c r="AT17" i="9"/>
  <c r="AW17" i="9" s="1"/>
  <c r="AT32" i="9"/>
  <c r="AW32" i="9" s="1"/>
  <c r="AA47" i="11"/>
  <c r="T69" i="11"/>
  <c r="AC57" i="11"/>
  <c r="X50" i="11"/>
  <c r="AT70" i="9"/>
  <c r="AW70" i="9" s="1"/>
  <c r="AT7" i="9"/>
  <c r="AW7" i="9" s="1"/>
  <c r="O48" i="11"/>
  <c r="W53" i="11"/>
  <c r="AJ33" i="11"/>
  <c r="W18" i="30"/>
  <c r="AQ12" i="30"/>
  <c r="AY9" i="9"/>
  <c r="BD9" i="9"/>
  <c r="S32" i="11"/>
  <c r="AJ54" i="11"/>
  <c r="Y9" i="11"/>
  <c r="G17" i="10"/>
  <c r="AM17" i="10" s="1"/>
  <c r="AG9" i="11"/>
  <c r="C59" i="10"/>
  <c r="C50" i="10"/>
  <c r="AC7" i="10"/>
  <c r="AC76" i="10" s="1"/>
  <c r="G74" i="10"/>
  <c r="AM74" i="10" s="1"/>
  <c r="AZ26" i="9"/>
  <c r="K7" i="10"/>
  <c r="K76" i="10" s="1"/>
  <c r="R24" i="11"/>
  <c r="Z65" i="11"/>
  <c r="AH65" i="11"/>
  <c r="G30" i="10"/>
  <c r="AM30" i="10" s="1"/>
  <c r="R48" i="11"/>
  <c r="O9" i="11"/>
  <c r="G40" i="10"/>
  <c r="AM40" i="10" s="1"/>
  <c r="G27" i="10"/>
  <c r="AM27" i="10" s="1"/>
  <c r="BD63" i="9"/>
  <c r="AY63" i="9"/>
  <c r="G54" i="10"/>
  <c r="AM54" i="10" s="1"/>
  <c r="H7" i="10"/>
  <c r="H76" i="10" s="1"/>
  <c r="AP21" i="30"/>
  <c r="AO12" i="30"/>
  <c r="G16" i="10"/>
  <c r="AM16" i="10" s="1"/>
  <c r="G9" i="10"/>
  <c r="AM9" i="10" s="1"/>
  <c r="G29" i="10"/>
  <c r="AM29" i="10" s="1"/>
  <c r="G38" i="10"/>
  <c r="AM38" i="10" s="1"/>
  <c r="G20" i="10"/>
  <c r="AM20" i="10" s="1"/>
  <c r="AP23" i="30"/>
  <c r="AZ71" i="9"/>
  <c r="G62" i="10"/>
  <c r="AM62" i="10" s="1"/>
  <c r="AK29" i="11"/>
  <c r="C53" i="10"/>
  <c r="AG69" i="11"/>
  <c r="W37" i="30"/>
  <c r="W11" i="17"/>
  <c r="G15" i="10"/>
  <c r="AP36" i="30"/>
  <c r="M50" i="11"/>
  <c r="E15" i="10"/>
  <c r="AL9" i="29"/>
  <c r="AP7" i="29"/>
  <c r="C51" i="10"/>
  <c r="AJ53" i="11"/>
  <c r="U16" i="11"/>
  <c r="G69" i="10"/>
  <c r="AM69" i="10" s="1"/>
  <c r="N17" i="29"/>
  <c r="O14" i="29"/>
  <c r="P14" i="29"/>
  <c r="AN15" i="29"/>
  <c r="AM15" i="29"/>
  <c r="C20" i="10"/>
  <c r="AZ46" i="9"/>
  <c r="G26" i="10"/>
  <c r="AM26" i="10" s="1"/>
  <c r="C18" i="10"/>
  <c r="AA9" i="11"/>
  <c r="G49" i="10"/>
  <c r="AM49" i="10" s="1"/>
  <c r="X7" i="10"/>
  <c r="X76" i="10" s="1"/>
  <c r="AA7" i="10"/>
  <c r="AA76" i="10" s="1"/>
  <c r="C48" i="10"/>
  <c r="G18" i="10"/>
  <c r="AM18" i="10" s="1"/>
  <c r="BD38" i="9"/>
  <c r="AY38" i="9"/>
  <c r="G45" i="10"/>
  <c r="AM45" i="10" s="1"/>
  <c r="AP32" i="30"/>
  <c r="G41" i="10"/>
  <c r="AM41" i="10" s="1"/>
  <c r="G51" i="10"/>
  <c r="AM51" i="10" s="1"/>
  <c r="AY43" i="9"/>
  <c r="BD43" i="9"/>
  <c r="G53" i="10"/>
  <c r="AM53" i="10" s="1"/>
  <c r="AD7" i="10"/>
  <c r="AD76" i="10" s="1"/>
  <c r="C55" i="10"/>
  <c r="AG7" i="10"/>
  <c r="AG76" i="10" s="1"/>
  <c r="AP8" i="29"/>
  <c r="AZ24" i="9"/>
  <c r="C66" i="10"/>
  <c r="K44" i="11"/>
  <c r="C27" i="10"/>
  <c r="AN27" i="10" s="1"/>
  <c r="AZ33" i="9"/>
  <c r="AP8" i="30"/>
  <c r="AZ10" i="9"/>
  <c r="U68" i="11"/>
  <c r="G8" i="10"/>
  <c r="AM8" i="10" s="1"/>
  <c r="AP18" i="30"/>
  <c r="AZ36" i="9"/>
  <c r="P56" i="11"/>
  <c r="AZ50" i="9"/>
  <c r="G47" i="10"/>
  <c r="AM47" i="10" s="1"/>
  <c r="AI53" i="11"/>
  <c r="K9" i="11"/>
  <c r="BD52" i="9"/>
  <c r="AY52" i="9"/>
  <c r="G39" i="10"/>
  <c r="AM39" i="10" s="1"/>
  <c r="AM12" i="29"/>
  <c r="AN12" i="29"/>
  <c r="P15" i="29"/>
  <c r="O15" i="29"/>
  <c r="N9" i="29"/>
  <c r="R7" i="29"/>
  <c r="N15" i="11"/>
  <c r="AC48" i="11"/>
  <c r="C56" i="10"/>
  <c r="AK7" i="10"/>
  <c r="AK76" i="10" s="1"/>
  <c r="AP22" i="30"/>
  <c r="AF59" i="11"/>
  <c r="W15" i="11"/>
  <c r="AZ64" i="9"/>
  <c r="C74" i="10"/>
  <c r="AN74" i="10" s="1"/>
  <c r="P53" i="11"/>
  <c r="AL45" i="11"/>
  <c r="K54" i="11"/>
  <c r="AP9" i="30"/>
  <c r="T7" i="10"/>
  <c r="T76" i="10" s="1"/>
  <c r="AP39" i="30"/>
  <c r="M7" i="10"/>
  <c r="M76" i="10" s="1"/>
  <c r="AU42" i="11"/>
  <c r="AZ75" i="9"/>
  <c r="G66" i="10"/>
  <c r="AM66" i="10" s="1"/>
  <c r="G58" i="10"/>
  <c r="AM58" i="10" s="1"/>
  <c r="BD14" i="9"/>
  <c r="AY14" i="9"/>
  <c r="U7" i="10"/>
  <c r="U76" i="10" s="1"/>
  <c r="AY8" i="9"/>
  <c r="BD8" i="9"/>
  <c r="G31" i="10"/>
  <c r="AM31" i="10" s="1"/>
  <c r="AE68" i="11"/>
  <c r="W13" i="17"/>
  <c r="C11" i="10"/>
  <c r="AD68" i="11"/>
  <c r="T73" i="11"/>
  <c r="C69" i="10"/>
  <c r="AN69" i="10" s="1"/>
  <c r="G64" i="10"/>
  <c r="AM64" i="10" s="1"/>
  <c r="Q12" i="29"/>
  <c r="R12" i="29" s="1"/>
  <c r="K14" i="11"/>
  <c r="AF57" i="11"/>
  <c r="X29" i="11"/>
  <c r="C46" i="10"/>
  <c r="AN37" i="30"/>
  <c r="AN40" i="30" s="1"/>
  <c r="G55" i="10"/>
  <c r="AM55" i="10" s="1"/>
  <c r="AZ39" i="9"/>
  <c r="T8" i="16"/>
  <c r="Y8" i="16"/>
  <c r="G28" i="10"/>
  <c r="AM28" i="10" s="1"/>
  <c r="AI65" i="11"/>
  <c r="G25" i="10"/>
  <c r="AM25" i="10" s="1"/>
  <c r="AD33" i="11"/>
  <c r="AH58" i="11"/>
  <c r="AZ41" i="9"/>
  <c r="R8" i="29"/>
  <c r="W7" i="10"/>
  <c r="W76" i="10" s="1"/>
  <c r="AP19" i="30"/>
  <c r="Z7" i="10"/>
  <c r="Z76" i="10" s="1"/>
  <c r="G33" i="10"/>
  <c r="AM33" i="10" s="1"/>
  <c r="AY54" i="9"/>
  <c r="BD54" i="9"/>
  <c r="C22" i="10"/>
  <c r="C73" i="10"/>
  <c r="G52" i="10"/>
  <c r="AM52" i="10" s="1"/>
  <c r="G11" i="10"/>
  <c r="AM11" i="10" s="1"/>
  <c r="C37" i="10"/>
  <c r="AP13" i="30"/>
  <c r="G23" i="10"/>
  <c r="AP35" i="30"/>
  <c r="AL7" i="10"/>
  <c r="AL76" i="10" s="1"/>
  <c r="AZ55" i="9"/>
  <c r="G59" i="10"/>
  <c r="AM59" i="10" s="1"/>
  <c r="G48" i="10"/>
  <c r="AM48" i="10" s="1"/>
  <c r="C15" i="10"/>
  <c r="AN15" i="10" s="1"/>
  <c r="Z38" i="11"/>
  <c r="F71" i="11"/>
  <c r="Z67" i="11"/>
  <c r="AZ72" i="9"/>
  <c r="AZ66" i="9"/>
  <c r="R40" i="11"/>
  <c r="W9" i="11"/>
  <c r="AZ57" i="9"/>
  <c r="F7" i="10"/>
  <c r="AY65" i="9"/>
  <c r="BD65" i="9"/>
  <c r="K59" i="11"/>
  <c r="C10" i="10"/>
  <c r="G61" i="10"/>
  <c r="AM61" i="10" s="1"/>
  <c r="AY35" i="9"/>
  <c r="BD35" i="9"/>
  <c r="G42" i="10"/>
  <c r="AM42" i="10" s="1"/>
  <c r="Y7" i="10"/>
  <c r="Y76" i="10" s="1"/>
  <c r="C36" i="10"/>
  <c r="AZ59" i="9"/>
  <c r="AC44" i="11"/>
  <c r="G34" i="10"/>
  <c r="AM34" i="10" s="1"/>
  <c r="AP12" i="30"/>
  <c r="AZ29" i="9"/>
  <c r="T57" i="11"/>
  <c r="M19" i="29"/>
  <c r="AM14" i="29"/>
  <c r="AN14" i="29"/>
  <c r="AZ56" i="9"/>
  <c r="X31" i="11"/>
  <c r="AP29" i="30"/>
  <c r="K40" i="11"/>
  <c r="Z53" i="11"/>
  <c r="Q7" i="10"/>
  <c r="Q76" i="10" s="1"/>
  <c r="L54" i="11"/>
  <c r="C64" i="10"/>
  <c r="AN64" i="10" s="1"/>
  <c r="AZ74" i="9"/>
  <c r="G67" i="10"/>
  <c r="AM67" i="10" s="1"/>
  <c r="AZ60" i="9"/>
  <c r="P7" i="10"/>
  <c r="P76" i="10" s="1"/>
  <c r="AP30" i="30"/>
  <c r="AZ16" i="9"/>
  <c r="G44" i="10"/>
  <c r="AM44" i="10" s="1"/>
  <c r="C71" i="10"/>
  <c r="L29" i="11"/>
  <c r="V59" i="11"/>
  <c r="P7" i="27"/>
  <c r="N76" i="27"/>
  <c r="N84" i="27" s="1"/>
  <c r="R7" i="27"/>
  <c r="R76" i="27" s="1"/>
  <c r="R84" i="27" s="1"/>
  <c r="C45" i="10"/>
  <c r="AN45" i="10" s="1"/>
  <c r="J44" i="11"/>
  <c r="N7" i="10"/>
  <c r="N76" i="10" s="1"/>
  <c r="W8" i="17"/>
  <c r="AZ11" i="9"/>
  <c r="AY19" i="9"/>
  <c r="BD19" i="9"/>
  <c r="AD24" i="11"/>
  <c r="S40" i="11"/>
  <c r="G57" i="10"/>
  <c r="AM57" i="10" s="1"/>
  <c r="O7" i="10"/>
  <c r="O76" i="10" s="1"/>
  <c r="G63" i="10"/>
  <c r="AM63" i="10" s="1"/>
  <c r="G72" i="10"/>
  <c r="AM72" i="10" s="1"/>
  <c r="G71" i="10"/>
  <c r="AM71" i="10" s="1"/>
  <c r="R7" i="10"/>
  <c r="R76" i="10" s="1"/>
  <c r="AZ69" i="9"/>
  <c r="AP20" i="30"/>
  <c r="G46" i="10"/>
  <c r="AM46" i="10" s="1"/>
  <c r="AY42" i="9"/>
  <c r="BD42" i="9"/>
  <c r="N7" i="28"/>
  <c r="L76" i="28"/>
  <c r="L84" i="28" s="1"/>
  <c r="BD58" i="9"/>
  <c r="AY58" i="9"/>
  <c r="AY40" i="9"/>
  <c r="BD40" i="9"/>
  <c r="AI67" i="11"/>
  <c r="AD53" i="11"/>
  <c r="G65" i="10"/>
  <c r="AM65" i="10" s="1"/>
  <c r="AL56" i="11"/>
  <c r="C39" i="10"/>
  <c r="AN39" i="10" s="1"/>
  <c r="V7" i="10"/>
  <c r="V76" i="10" s="1"/>
  <c r="G35" i="10"/>
  <c r="AM35" i="10" s="1"/>
  <c r="C41" i="10"/>
  <c r="Z40" i="11"/>
  <c r="AP25" i="30"/>
  <c r="AP33" i="30"/>
  <c r="AP16" i="30"/>
  <c r="AZ73" i="9"/>
  <c r="AP7" i="30"/>
  <c r="I7" i="10"/>
  <c r="I76" i="10" s="1"/>
  <c r="AH7" i="10"/>
  <c r="AH76" i="10" s="1"/>
  <c r="AP10" i="30"/>
  <c r="G12" i="10"/>
  <c r="AM12" i="10" s="1"/>
  <c r="AP31" i="30"/>
  <c r="C24" i="10"/>
  <c r="G13" i="10"/>
  <c r="AM13" i="10" s="1"/>
  <c r="AP38" i="30"/>
  <c r="C72" i="10"/>
  <c r="AN72" i="10" s="1"/>
  <c r="U33" i="11"/>
  <c r="G60" i="10"/>
  <c r="AM60" i="10" s="1"/>
  <c r="AM11" i="29"/>
  <c r="AN11" i="29"/>
  <c r="AL17" i="29"/>
  <c r="E23" i="10" s="1"/>
  <c r="AY31" i="9"/>
  <c r="BD31" i="9"/>
  <c r="G56" i="10"/>
  <c r="AM56" i="10" s="1"/>
  <c r="AA48" i="11"/>
  <c r="U65" i="11"/>
  <c r="AB71" i="11"/>
  <c r="W7" i="30"/>
  <c r="AY49" i="9"/>
  <c r="BD49" i="9"/>
  <c r="P11" i="29"/>
  <c r="O11" i="29"/>
  <c r="AD48" i="11"/>
  <c r="G36" i="10"/>
  <c r="AM36" i="10" s="1"/>
  <c r="AP14" i="30"/>
  <c r="T53" i="11"/>
  <c r="W45" i="11"/>
  <c r="J7" i="10"/>
  <c r="J76" i="10" s="1"/>
  <c r="C29" i="10"/>
  <c r="AN29" i="10" s="1"/>
  <c r="C26" i="10"/>
  <c r="AP11" i="30"/>
  <c r="O13" i="29"/>
  <c r="P13" i="29"/>
  <c r="AG59" i="11"/>
  <c r="G10" i="10"/>
  <c r="BD34" i="9"/>
  <c r="AY34" i="9"/>
  <c r="AJ7" i="10"/>
  <c r="H49" i="11"/>
  <c r="C60" i="10"/>
  <c r="Z28" i="11"/>
  <c r="G14" i="10"/>
  <c r="AM14" i="10" s="1"/>
  <c r="C75" i="10"/>
  <c r="C16" i="10"/>
  <c r="AN16" i="10" s="1"/>
  <c r="AM13" i="29"/>
  <c r="AN13" i="29"/>
  <c r="AZ53" i="9"/>
  <c r="AZ45" i="9"/>
  <c r="J53" i="11"/>
  <c r="AJ57" i="11"/>
  <c r="AP26" i="30"/>
  <c r="AI7" i="10"/>
  <c r="AI76" i="10" s="1"/>
  <c r="T42" i="11"/>
  <c r="G75" i="10"/>
  <c r="AM75" i="10" s="1"/>
  <c r="AP15" i="30"/>
  <c r="X40" i="11"/>
  <c r="AZ51" i="9"/>
  <c r="G24" i="10"/>
  <c r="AM24" i="10" s="1"/>
  <c r="N76" i="26"/>
  <c r="N84" i="26" s="1"/>
  <c r="P7" i="26"/>
  <c r="R7" i="26"/>
  <c r="R76" i="26" s="1"/>
  <c r="R84" i="26" s="1"/>
  <c r="G32" i="10"/>
  <c r="AM32" i="10" s="1"/>
  <c r="R7" i="16"/>
  <c r="O9" i="16"/>
  <c r="AP28" i="30"/>
  <c r="AB7" i="10"/>
  <c r="AB76" i="10" s="1"/>
  <c r="G70" i="10"/>
  <c r="AM70" i="10" s="1"/>
  <c r="T71" i="11"/>
  <c r="BD68" i="9"/>
  <c r="AY68" i="9"/>
  <c r="G73" i="10"/>
  <c r="AM73" i="10" s="1"/>
  <c r="AZ20" i="9"/>
  <c r="BD61" i="9"/>
  <c r="AY61" i="9"/>
  <c r="G50" i="10"/>
  <c r="AM50" i="10" s="1"/>
  <c r="AZ18" i="9"/>
  <c r="AP24" i="30"/>
  <c r="G22" i="10"/>
  <c r="AM22" i="10" s="1"/>
  <c r="AH50" i="11"/>
  <c r="H17" i="11"/>
  <c r="G43" i="10"/>
  <c r="AM43" i="10" s="1"/>
  <c r="Z58" i="11"/>
  <c r="M54" i="11"/>
  <c r="G37" i="10"/>
  <c r="AM37" i="10" s="1"/>
  <c r="G68" i="10"/>
  <c r="AM68" i="10" s="1"/>
  <c r="AP27" i="30"/>
  <c r="O29" i="11"/>
  <c r="AZ48" i="9"/>
  <c r="W16" i="11"/>
  <c r="M29" i="11"/>
  <c r="AY13" i="9"/>
  <c r="BD13" i="9"/>
  <c r="S7" i="10"/>
  <c r="S76" i="10" s="1"/>
  <c r="AA40" i="11"/>
  <c r="AZ22" i="9"/>
  <c r="AF7" i="10"/>
  <c r="AF76" i="10" s="1"/>
  <c r="AZ37" i="9"/>
  <c r="G21" i="10"/>
  <c r="AM21" i="10" s="1"/>
  <c r="G7" i="10"/>
  <c r="AP17" i="30"/>
  <c r="G19" i="10"/>
  <c r="AM19" i="10" s="1"/>
  <c r="AP34" i="30"/>
  <c r="L7" i="10"/>
  <c r="L76" i="10" s="1"/>
  <c r="AZ15" i="9"/>
  <c r="BD25" i="9"/>
  <c r="AY25" i="9"/>
  <c r="K18" i="11"/>
  <c r="AE7" i="10"/>
  <c r="AE76" i="10" s="1"/>
  <c r="AG53" i="11"/>
  <c r="AI57" i="11"/>
  <c r="X57" i="11"/>
  <c r="AZ27" i="9"/>
  <c r="W36" i="30"/>
  <c r="C33" i="10"/>
  <c r="C57" i="10"/>
  <c r="AN57" i="10" s="1"/>
  <c r="AW76" i="9" l="1"/>
  <c r="AN33" i="10"/>
  <c r="AN60" i="10"/>
  <c r="AN20" i="10"/>
  <c r="AN41" i="10"/>
  <c r="N19" i="29"/>
  <c r="AT76" i="9"/>
  <c r="BD7" i="9"/>
  <c r="C7" i="10" s="1"/>
  <c r="AY7" i="9"/>
  <c r="AZ7" i="9" s="1"/>
  <c r="AM15" i="10"/>
  <c r="AN26" i="10"/>
  <c r="BD17" i="9"/>
  <c r="AY17" i="9"/>
  <c r="BD23" i="9"/>
  <c r="AY23" i="9"/>
  <c r="BD12" i="9"/>
  <c r="AY12" i="9"/>
  <c r="BD70" i="9"/>
  <c r="AY70" i="9"/>
  <c r="AY47" i="9"/>
  <c r="BD47" i="9"/>
  <c r="BD30" i="9"/>
  <c r="AY30" i="9"/>
  <c r="BD28" i="9"/>
  <c r="AY28" i="9"/>
  <c r="BD44" i="9"/>
  <c r="AY44" i="9"/>
  <c r="AY21" i="9"/>
  <c r="BD21" i="9"/>
  <c r="X9" i="30"/>
  <c r="BD32" i="9"/>
  <c r="AY32" i="9"/>
  <c r="AY62" i="9"/>
  <c r="BD62" i="9"/>
  <c r="AY67" i="9"/>
  <c r="BD67" i="9"/>
  <c r="X8" i="17"/>
  <c r="C27" i="11"/>
  <c r="AZ25" i="9"/>
  <c r="W12" i="17"/>
  <c r="AQ31" i="30"/>
  <c r="AQ7" i="30"/>
  <c r="C48" i="11"/>
  <c r="X34" i="30"/>
  <c r="C18" i="11"/>
  <c r="C61" i="10"/>
  <c r="AN61" i="10" s="1"/>
  <c r="AZ68" i="9"/>
  <c r="Y7" i="16"/>
  <c r="R9" i="16"/>
  <c r="T7" i="16"/>
  <c r="AR24" i="11"/>
  <c r="BX24" i="11" s="1"/>
  <c r="W12" i="30"/>
  <c r="X15" i="30"/>
  <c r="X37" i="30"/>
  <c r="C45" i="11"/>
  <c r="C34" i="10"/>
  <c r="AN34" i="10" s="1"/>
  <c r="AR10" i="11"/>
  <c r="Q11" i="29"/>
  <c r="AZ49" i="9"/>
  <c r="X16" i="30"/>
  <c r="AN17" i="29"/>
  <c r="AR60" i="11"/>
  <c r="BX60" i="11" s="1"/>
  <c r="AN24" i="10"/>
  <c r="AQ35" i="30"/>
  <c r="C73" i="11"/>
  <c r="AR35" i="11"/>
  <c r="BX35" i="11" s="1"/>
  <c r="C58" i="10"/>
  <c r="AN58" i="10" s="1"/>
  <c r="N76" i="28"/>
  <c r="N84" i="28" s="1"/>
  <c r="R7" i="28"/>
  <c r="R76" i="28" s="1"/>
  <c r="R84" i="28" s="1"/>
  <c r="P7" i="28"/>
  <c r="C42" i="10"/>
  <c r="AN42" i="10" s="1"/>
  <c r="C69" i="11"/>
  <c r="W20" i="30"/>
  <c r="X14" i="30"/>
  <c r="AR44" i="11"/>
  <c r="BX44" i="11" s="1"/>
  <c r="X39" i="30"/>
  <c r="AR67" i="11"/>
  <c r="BX67" i="11" s="1"/>
  <c r="AZ65" i="9"/>
  <c r="W10" i="17"/>
  <c r="W29" i="30"/>
  <c r="W8" i="30"/>
  <c r="C57" i="11"/>
  <c r="W35" i="30"/>
  <c r="C66" i="11"/>
  <c r="AR48" i="11"/>
  <c r="BX48" i="11" s="1"/>
  <c r="AR59" i="11"/>
  <c r="BX59" i="11" s="1"/>
  <c r="C55" i="11"/>
  <c r="AQ10" i="30"/>
  <c r="W25" i="30"/>
  <c r="AR11" i="11"/>
  <c r="BX11" i="11" s="1"/>
  <c r="AN73" i="10"/>
  <c r="AR33" i="11"/>
  <c r="BX33" i="11" s="1"/>
  <c r="AQ25" i="30"/>
  <c r="X28" i="30"/>
  <c r="AR31" i="11"/>
  <c r="BX31" i="11" s="1"/>
  <c r="AR66" i="11"/>
  <c r="BX66" i="11" s="1"/>
  <c r="Q15" i="29"/>
  <c r="R15" i="29" s="1"/>
  <c r="AR39" i="11"/>
  <c r="BX39" i="11" s="1"/>
  <c r="AZ52" i="9"/>
  <c r="AR47" i="11"/>
  <c r="BX47" i="11" s="1"/>
  <c r="AR8" i="11"/>
  <c r="BX8" i="11" s="1"/>
  <c r="C10" i="11"/>
  <c r="X27" i="30"/>
  <c r="AN66" i="10"/>
  <c r="AQ34" i="30"/>
  <c r="C43" i="10"/>
  <c r="AN43" i="10" s="1"/>
  <c r="AR41" i="11"/>
  <c r="BX41" i="11" s="1"/>
  <c r="AQ19" i="30"/>
  <c r="AQ27" i="30"/>
  <c r="AN18" i="10"/>
  <c r="AN51" i="10"/>
  <c r="AL19" i="29"/>
  <c r="AR15" i="11"/>
  <c r="BX15" i="11" s="1"/>
  <c r="X13" i="17"/>
  <c r="W10" i="30"/>
  <c r="AN53" i="10"/>
  <c r="AR62" i="11"/>
  <c r="BX62" i="11" s="1"/>
  <c r="C71" i="11"/>
  <c r="AR38" i="11"/>
  <c r="BX38" i="11" s="1"/>
  <c r="C63" i="10"/>
  <c r="AN63" i="10" s="1"/>
  <c r="AR27" i="11"/>
  <c r="BX27" i="11" s="1"/>
  <c r="AQ11" i="30"/>
  <c r="AQ14" i="30"/>
  <c r="AR17" i="11"/>
  <c r="BX17" i="11" s="1"/>
  <c r="AZ9" i="9"/>
  <c r="W13" i="30"/>
  <c r="W23" i="30"/>
  <c r="W9" i="30"/>
  <c r="AQ38" i="30"/>
  <c r="AR21" i="11"/>
  <c r="BX21" i="11" s="1"/>
  <c r="AQ32" i="30"/>
  <c r="C13" i="10"/>
  <c r="AN13" i="10" s="1"/>
  <c r="W19" i="30"/>
  <c r="AR43" i="11"/>
  <c r="BX43" i="11" s="1"/>
  <c r="C68" i="10"/>
  <c r="AN68" i="10" s="1"/>
  <c r="X7" i="30"/>
  <c r="P76" i="26"/>
  <c r="P84" i="26" s="1"/>
  <c r="Q7" i="26"/>
  <c r="Q76" i="26" s="1"/>
  <c r="Q84" i="26" s="1"/>
  <c r="AR75" i="11"/>
  <c r="BX75" i="11" s="1"/>
  <c r="C53" i="11"/>
  <c r="O17" i="29"/>
  <c r="Q13" i="29"/>
  <c r="R13" i="29" s="1"/>
  <c r="P17" i="29"/>
  <c r="C31" i="10"/>
  <c r="AN31" i="10" s="1"/>
  <c r="X35" i="30"/>
  <c r="AR13" i="11"/>
  <c r="BX13" i="11" s="1"/>
  <c r="AZ40" i="9"/>
  <c r="AQ15" i="30"/>
  <c r="C19" i="10"/>
  <c r="AN19" i="10" s="1"/>
  <c r="X13" i="30"/>
  <c r="AQ26" i="30"/>
  <c r="AN71" i="10"/>
  <c r="AQ39" i="30"/>
  <c r="AQ22" i="30"/>
  <c r="AO14" i="29"/>
  <c r="AP14" i="29" s="1"/>
  <c r="X21" i="30"/>
  <c r="C29" i="11"/>
  <c r="AR34" i="11"/>
  <c r="BX34" i="11" s="1"/>
  <c r="C35" i="10"/>
  <c r="AN35" i="10" s="1"/>
  <c r="AQ8" i="30"/>
  <c r="W16" i="30"/>
  <c r="AN37" i="10"/>
  <c r="AR52" i="11"/>
  <c r="BX52" i="11" s="1"/>
  <c r="AN22" i="10"/>
  <c r="AZ54" i="9"/>
  <c r="C41" i="11"/>
  <c r="W17" i="30"/>
  <c r="AR25" i="11"/>
  <c r="BX25" i="11" s="1"/>
  <c r="AR28" i="11"/>
  <c r="BX28" i="11" s="1"/>
  <c r="AN46" i="10"/>
  <c r="AR64" i="11"/>
  <c r="BX64" i="11" s="1"/>
  <c r="AN56" i="10"/>
  <c r="C52" i="10"/>
  <c r="AN52" i="10" s="1"/>
  <c r="W22" i="30"/>
  <c r="C33" i="11"/>
  <c r="AR8" i="29"/>
  <c r="AQ17" i="30"/>
  <c r="AZ43" i="9"/>
  <c r="C46" i="11"/>
  <c r="AO15" i="29"/>
  <c r="AP15" i="29" s="1"/>
  <c r="X12" i="30"/>
  <c r="W28" i="30"/>
  <c r="AR20" i="11"/>
  <c r="BX20" i="11" s="1"/>
  <c r="AR29" i="11"/>
  <c r="BX29" i="11" s="1"/>
  <c r="AR9" i="11"/>
  <c r="BX9" i="11" s="1"/>
  <c r="AQ9" i="30"/>
  <c r="AR40" i="11"/>
  <c r="BX40" i="11" s="1"/>
  <c r="W27" i="30"/>
  <c r="C25" i="10"/>
  <c r="AN25" i="10" s="1"/>
  <c r="C37" i="11"/>
  <c r="C22" i="11"/>
  <c r="AZ13" i="9"/>
  <c r="AR68" i="11"/>
  <c r="BX68" i="11" s="1"/>
  <c r="W7" i="17"/>
  <c r="AR50" i="11"/>
  <c r="BX50" i="11" s="1"/>
  <c r="AQ20" i="30"/>
  <c r="AR32" i="11"/>
  <c r="BX32" i="11" s="1"/>
  <c r="X20" i="30"/>
  <c r="AQ36" i="30"/>
  <c r="X33" i="30"/>
  <c r="Y13" i="30"/>
  <c r="Y39" i="30"/>
  <c r="AZ34" i="9"/>
  <c r="AR36" i="11"/>
  <c r="BX36" i="11" s="1"/>
  <c r="C49" i="10"/>
  <c r="AN49" i="10" s="1"/>
  <c r="AZ31" i="9"/>
  <c r="AO11" i="29"/>
  <c r="AM17" i="29"/>
  <c r="AQ13" i="30"/>
  <c r="X9" i="17"/>
  <c r="AQ24" i="30"/>
  <c r="Y25" i="30"/>
  <c r="AZ42" i="9"/>
  <c r="AR46" i="11"/>
  <c r="BX46" i="11" s="1"/>
  <c r="AQ28" i="30"/>
  <c r="AR71" i="11"/>
  <c r="BX71" i="11" s="1"/>
  <c r="AZ19" i="9"/>
  <c r="C11" i="11"/>
  <c r="X24" i="30"/>
  <c r="Q7" i="27"/>
  <c r="Q76" i="27" s="1"/>
  <c r="Q84" i="27" s="1"/>
  <c r="P76" i="27"/>
  <c r="P84" i="27" s="1"/>
  <c r="C16" i="11"/>
  <c r="C60" i="11"/>
  <c r="C59" i="11"/>
  <c r="AR61" i="11"/>
  <c r="BX61" i="11" s="1"/>
  <c r="AM7" i="10"/>
  <c r="F76" i="10"/>
  <c r="AQ33" i="30"/>
  <c r="W9" i="17"/>
  <c r="U8" i="16"/>
  <c r="X25" i="30"/>
  <c r="W14" i="30"/>
  <c r="X31" i="30"/>
  <c r="W24" i="30"/>
  <c r="C8" i="10"/>
  <c r="AN8" i="10" s="1"/>
  <c r="AQ23" i="30"/>
  <c r="AZ14" i="9"/>
  <c r="AR58" i="11"/>
  <c r="BX58" i="11" s="1"/>
  <c r="C75" i="11"/>
  <c r="AQ21" i="30"/>
  <c r="C64" i="11"/>
  <c r="R9" i="29"/>
  <c r="T7" i="29"/>
  <c r="W21" i="30"/>
  <c r="C50" i="11"/>
  <c r="C36" i="11"/>
  <c r="X23" i="30"/>
  <c r="X36" i="30"/>
  <c r="AN55" i="10"/>
  <c r="AR53" i="11"/>
  <c r="BX53" i="11" s="1"/>
  <c r="AR51" i="11"/>
  <c r="BX51" i="11" s="1"/>
  <c r="AZ38" i="9"/>
  <c r="AN48" i="10"/>
  <c r="X19" i="30"/>
  <c r="Q14" i="29"/>
  <c r="R14" i="29" s="1"/>
  <c r="AR69" i="11"/>
  <c r="BX69" i="11" s="1"/>
  <c r="W31" i="30"/>
  <c r="AZ63" i="9"/>
  <c r="AR30" i="11"/>
  <c r="BX30" i="11" s="1"/>
  <c r="C26" i="11"/>
  <c r="AR74" i="11"/>
  <c r="BX74" i="11" s="1"/>
  <c r="C9" i="10"/>
  <c r="AN9" i="10" s="1"/>
  <c r="W26" i="30"/>
  <c r="C15" i="11"/>
  <c r="AR19" i="11"/>
  <c r="BX19" i="11" s="1"/>
  <c r="G76" i="10"/>
  <c r="AQ16" i="30"/>
  <c r="AR37" i="11"/>
  <c r="BX37" i="11" s="1"/>
  <c r="AR22" i="11"/>
  <c r="BX22" i="11" s="1"/>
  <c r="AZ61" i="9"/>
  <c r="AO37" i="30"/>
  <c r="AO40" i="30" s="1"/>
  <c r="C20" i="11"/>
  <c r="AR73" i="11"/>
  <c r="BX73" i="11" s="1"/>
  <c r="W39" i="30"/>
  <c r="AR70" i="11"/>
  <c r="BX70" i="11" s="1"/>
  <c r="C51" i="11"/>
  <c r="AO13" i="29"/>
  <c r="AP13" i="29" s="1"/>
  <c r="AN75" i="10"/>
  <c r="Z39" i="30"/>
  <c r="AR14" i="11"/>
  <c r="BX14" i="11" s="1"/>
  <c r="AR56" i="11"/>
  <c r="BX56" i="11" s="1"/>
  <c r="X30" i="30"/>
  <c r="AR12" i="11"/>
  <c r="BX12" i="11" s="1"/>
  <c r="W34" i="30"/>
  <c r="X17" i="30"/>
  <c r="AR65" i="11"/>
  <c r="BX65" i="11" s="1"/>
  <c r="C40" i="10"/>
  <c r="AN40" i="10" s="1"/>
  <c r="AZ58" i="9"/>
  <c r="Z25" i="30"/>
  <c r="AR72" i="11"/>
  <c r="BX72" i="11" s="1"/>
  <c r="AR63" i="11"/>
  <c r="BX63" i="11" s="1"/>
  <c r="AR57" i="11"/>
  <c r="BX57" i="11" s="1"/>
  <c r="W33" i="30"/>
  <c r="X38" i="30"/>
  <c r="C74" i="11"/>
  <c r="C56" i="11"/>
  <c r="AN36" i="10"/>
  <c r="AQ18" i="30"/>
  <c r="AR42" i="11"/>
  <c r="BX42" i="11" s="1"/>
  <c r="AZ35" i="9"/>
  <c r="C65" i="10"/>
  <c r="AN65" i="10" s="1"/>
  <c r="W30" i="30"/>
  <c r="C72" i="11"/>
  <c r="AR23" i="11"/>
  <c r="C54" i="10"/>
  <c r="AN54" i="10" s="1"/>
  <c r="T8" i="29"/>
  <c r="C39" i="11"/>
  <c r="AR55" i="11"/>
  <c r="BX55" i="11" s="1"/>
  <c r="T12" i="29"/>
  <c r="W12" i="29" s="1"/>
  <c r="AN11" i="10"/>
  <c r="X11" i="30"/>
  <c r="X11" i="17"/>
  <c r="W38" i="30"/>
  <c r="AZ8" i="9"/>
  <c r="C14" i="10"/>
  <c r="AN14" i="10" s="1"/>
  <c r="AQ30" i="30"/>
  <c r="AQ29" i="30"/>
  <c r="AO12" i="29"/>
  <c r="AP12" i="29" s="1"/>
  <c r="C24" i="11"/>
  <c r="AR45" i="11"/>
  <c r="BX45" i="11" s="1"/>
  <c r="C38" i="10"/>
  <c r="AN38" i="10" s="1"/>
  <c r="AR18" i="11"/>
  <c r="BX18" i="11" s="1"/>
  <c r="AR49" i="11"/>
  <c r="BX49" i="11" s="1"/>
  <c r="AR26" i="11"/>
  <c r="BX26" i="11" s="1"/>
  <c r="AP9" i="29"/>
  <c r="AR7" i="29"/>
  <c r="W11" i="30"/>
  <c r="AR16" i="11"/>
  <c r="BX16" i="11" s="1"/>
  <c r="AR54" i="11"/>
  <c r="BX54" i="11" s="1"/>
  <c r="AN50" i="10"/>
  <c r="AN59" i="10"/>
  <c r="AM23" i="10" l="1"/>
  <c r="E76" i="10"/>
  <c r="W8" i="29"/>
  <c r="AD8" i="29" s="1"/>
  <c r="BD76" i="9"/>
  <c r="AY76" i="9"/>
  <c r="Y9" i="17"/>
  <c r="X18" i="30"/>
  <c r="C62" i="10"/>
  <c r="AN62" i="10" s="1"/>
  <c r="C32" i="10"/>
  <c r="AN32" i="10" s="1"/>
  <c r="AZ21" i="9"/>
  <c r="AZ28" i="9"/>
  <c r="AZ30" i="9"/>
  <c r="AZ47" i="9"/>
  <c r="AZ12" i="9"/>
  <c r="C23" i="10"/>
  <c r="AN23" i="10" s="1"/>
  <c r="AZ62" i="9"/>
  <c r="AZ44" i="9"/>
  <c r="C28" i="10"/>
  <c r="AN28" i="10" s="1"/>
  <c r="C30" i="10"/>
  <c r="AN30" i="10" s="1"/>
  <c r="AZ70" i="9"/>
  <c r="W14" i="17"/>
  <c r="C67" i="10"/>
  <c r="AN67" i="10" s="1"/>
  <c r="C47" i="10"/>
  <c r="AN47" i="10" s="1"/>
  <c r="C12" i="10"/>
  <c r="AN12" i="10" s="1"/>
  <c r="AZ17" i="9"/>
  <c r="AZ67" i="9"/>
  <c r="AZ32" i="9"/>
  <c r="C21" i="10"/>
  <c r="AN21" i="10" s="1"/>
  <c r="C44" i="10"/>
  <c r="AN44" i="10" s="1"/>
  <c r="C70" i="10"/>
  <c r="AN70" i="10" s="1"/>
  <c r="AZ23" i="9"/>
  <c r="C17" i="10"/>
  <c r="AN17" i="10" s="1"/>
  <c r="Y10" i="30"/>
  <c r="Z13" i="30"/>
  <c r="Y7" i="30"/>
  <c r="X26" i="30"/>
  <c r="Y14" i="30"/>
  <c r="C58" i="11"/>
  <c r="W32" i="30"/>
  <c r="Z15" i="30"/>
  <c r="Y20" i="30"/>
  <c r="AR31" i="30"/>
  <c r="AR25" i="30"/>
  <c r="AS35" i="30"/>
  <c r="AR21" i="30"/>
  <c r="J42" i="11"/>
  <c r="X10" i="30"/>
  <c r="C54" i="11"/>
  <c r="AS18" i="30"/>
  <c r="AR14" i="29"/>
  <c r="AA25" i="30"/>
  <c r="T13" i="29"/>
  <c r="W13" i="29" s="1"/>
  <c r="Y37" i="30"/>
  <c r="Y34" i="30"/>
  <c r="C9" i="11"/>
  <c r="Y11" i="17"/>
  <c r="AR33" i="30"/>
  <c r="C65" i="11"/>
  <c r="Y38" i="30"/>
  <c r="P76" i="28"/>
  <c r="P84" i="28" s="1"/>
  <c r="Q7" i="28"/>
  <c r="Q76" i="28" s="1"/>
  <c r="Q84" i="28" s="1"/>
  <c r="AR24" i="30"/>
  <c r="AR16" i="30"/>
  <c r="AR7" i="30"/>
  <c r="AS21" i="30"/>
  <c r="AS29" i="30"/>
  <c r="AS12" i="30"/>
  <c r="Y28" i="30"/>
  <c r="Y19" i="30"/>
  <c r="Y23" i="30"/>
  <c r="Z28" i="30"/>
  <c r="AD12" i="29"/>
  <c r="Y12" i="29"/>
  <c r="AS33" i="30"/>
  <c r="X12" i="17"/>
  <c r="AR13" i="30"/>
  <c r="Y18" i="30"/>
  <c r="Y15" i="30"/>
  <c r="Z20" i="30"/>
  <c r="AR20" i="30"/>
  <c r="T14" i="29"/>
  <c r="W14" i="29" s="1"/>
  <c r="C38" i="11"/>
  <c r="X22" i="30"/>
  <c r="AR26" i="30"/>
  <c r="AM19" i="29"/>
  <c r="Z35" i="30"/>
  <c r="Y13" i="17"/>
  <c r="AR15" i="29"/>
  <c r="AT8" i="29"/>
  <c r="AR30" i="30"/>
  <c r="AS25" i="30"/>
  <c r="X29" i="30"/>
  <c r="Z24" i="30"/>
  <c r="C40" i="11"/>
  <c r="Z16" i="30"/>
  <c r="AR12" i="30"/>
  <c r="O19" i="29"/>
  <c r="AA39" i="30"/>
  <c r="Z37" i="30"/>
  <c r="AP37" i="30"/>
  <c r="AP40" i="30" s="1"/>
  <c r="AS31" i="30"/>
  <c r="Z12" i="30"/>
  <c r="C52" i="11"/>
  <c r="Z38" i="30"/>
  <c r="C49" i="11"/>
  <c r="T9" i="16"/>
  <c r="U7" i="16"/>
  <c r="AS15" i="30"/>
  <c r="C7" i="11"/>
  <c r="AR8" i="30"/>
  <c r="AR39" i="30"/>
  <c r="AR28" i="30"/>
  <c r="AS24" i="30"/>
  <c r="AR13" i="29"/>
  <c r="Y33" i="30"/>
  <c r="C61" i="11"/>
  <c r="AR38" i="30"/>
  <c r="C63" i="11"/>
  <c r="W7" i="29"/>
  <c r="T9" i="29"/>
  <c r="AR29" i="30"/>
  <c r="AS39" i="30"/>
  <c r="C19" i="11"/>
  <c r="Z17" i="30"/>
  <c r="Y35" i="30"/>
  <c r="C13" i="11"/>
  <c r="Z13" i="17"/>
  <c r="AR19" i="30"/>
  <c r="Y36" i="30"/>
  <c r="Y27" i="30"/>
  <c r="AS23" i="30"/>
  <c r="Y31" i="30"/>
  <c r="Y24" i="30"/>
  <c r="AS28" i="30"/>
  <c r="AR35" i="30"/>
  <c r="AR36" i="30"/>
  <c r="AJ10" i="10"/>
  <c r="Y12" i="30"/>
  <c r="AR23" i="30"/>
  <c r="Y11" i="30"/>
  <c r="AR18" i="30"/>
  <c r="Z21" i="30"/>
  <c r="W15" i="30"/>
  <c r="W40" i="30" s="1"/>
  <c r="AN19" i="29"/>
  <c r="AR32" i="30"/>
  <c r="AS11" i="30"/>
  <c r="AR11" i="30"/>
  <c r="AR12" i="29"/>
  <c r="C35" i="11"/>
  <c r="AR9" i="29"/>
  <c r="AT7" i="29"/>
  <c r="C8" i="11"/>
  <c r="Z14" i="30"/>
  <c r="X8" i="30"/>
  <c r="X7" i="17"/>
  <c r="AR27" i="30"/>
  <c r="AR17" i="30"/>
  <c r="AR34" i="30"/>
  <c r="C14" i="11"/>
  <c r="AN7" i="10"/>
  <c r="AR10" i="30"/>
  <c r="AR22" i="30"/>
  <c r="AR15" i="30"/>
  <c r="C42" i="11"/>
  <c r="Y17" i="30"/>
  <c r="AO17" i="29"/>
  <c r="AP11" i="29"/>
  <c r="C31" i="11"/>
  <c r="C34" i="11"/>
  <c r="AS16" i="30"/>
  <c r="AR14" i="30"/>
  <c r="C43" i="11"/>
  <c r="Z36" i="30"/>
  <c r="Z31" i="30"/>
  <c r="AS10" i="30"/>
  <c r="X10" i="17"/>
  <c r="Y16" i="30"/>
  <c r="P19" i="29"/>
  <c r="AS20" i="30"/>
  <c r="Z34" i="30"/>
  <c r="AR9" i="30"/>
  <c r="T15" i="29"/>
  <c r="W15" i="29" s="1"/>
  <c r="Y21" i="30"/>
  <c r="AS13" i="30"/>
  <c r="Y30" i="30"/>
  <c r="Q17" i="29"/>
  <c r="R11" i="29"/>
  <c r="Y9" i="16"/>
  <c r="C68" i="11"/>
  <c r="C25" i="11"/>
  <c r="AS26" i="30"/>
  <c r="AS36" i="30"/>
  <c r="AS8" i="30"/>
  <c r="AS38" i="30"/>
  <c r="Y8" i="29" l="1"/>
  <c r="AO76" i="11"/>
  <c r="AZ76" i="9"/>
  <c r="C76" i="10"/>
  <c r="AS7" i="30"/>
  <c r="Y9" i="30"/>
  <c r="C23" i="11"/>
  <c r="C44" i="11"/>
  <c r="C28" i="11"/>
  <c r="C47" i="11"/>
  <c r="C67" i="11"/>
  <c r="C17" i="11"/>
  <c r="C70" i="11"/>
  <c r="C62" i="11"/>
  <c r="C12" i="11"/>
  <c r="C30" i="11"/>
  <c r="C32" i="11"/>
  <c r="C21" i="11"/>
  <c r="R17" i="29"/>
  <c r="T11" i="29"/>
  <c r="AS32" i="30"/>
  <c r="Q19" i="29"/>
  <c r="Y8" i="30"/>
  <c r="Z27" i="30"/>
  <c r="AR11" i="29"/>
  <c r="AP17" i="29"/>
  <c r="BH7" i="11"/>
  <c r="BH76" i="11" s="1"/>
  <c r="AS30" i="30"/>
  <c r="BC7" i="11"/>
  <c r="BC76" i="11" s="1"/>
  <c r="AU7" i="29"/>
  <c r="AT9" i="29"/>
  <c r="AV7" i="11"/>
  <c r="AV76" i="11" s="1"/>
  <c r="AS19" i="30"/>
  <c r="AU38" i="30"/>
  <c r="AP76" i="11"/>
  <c r="BX23" i="11"/>
  <c r="AD39" i="30"/>
  <c r="AU25" i="30"/>
  <c r="AX7" i="11"/>
  <c r="AX76" i="11" s="1"/>
  <c r="Y8" i="17"/>
  <c r="Y22" i="30"/>
  <c r="BR7" i="11"/>
  <c r="BR76" i="11" s="1"/>
  <c r="BI7" i="11"/>
  <c r="BI76" i="11" s="1"/>
  <c r="AT13" i="29"/>
  <c r="AT7" i="11"/>
  <c r="AT76" i="11" s="1"/>
  <c r="AA14" i="30"/>
  <c r="Z19" i="30"/>
  <c r="AU23" i="30"/>
  <c r="BV7" i="11"/>
  <c r="BV76" i="11" s="1"/>
  <c r="Y14" i="29"/>
  <c r="AD14" i="29"/>
  <c r="AA13" i="30"/>
  <c r="X32" i="30"/>
  <c r="X40" i="30" s="1"/>
  <c r="AT14" i="29"/>
  <c r="BN7" i="11"/>
  <c r="BN76" i="11" s="1"/>
  <c r="AU16" i="30"/>
  <c r="AZ7" i="11"/>
  <c r="AZ76" i="11" s="1"/>
  <c r="AS22" i="30"/>
  <c r="BW7" i="11"/>
  <c r="BW76" i="11" s="1"/>
  <c r="AA37" i="30"/>
  <c r="BE7" i="11"/>
  <c r="BE76" i="11" s="1"/>
  <c r="BL7" i="11"/>
  <c r="BL76" i="11" s="1"/>
  <c r="AO19" i="29"/>
  <c r="AU39" i="30"/>
  <c r="AS14" i="30"/>
  <c r="Z33" i="30"/>
  <c r="AS17" i="30"/>
  <c r="AU8" i="30"/>
  <c r="AU26" i="30"/>
  <c r="AQ37" i="30"/>
  <c r="AQ40" i="30" s="1"/>
  <c r="Y29" i="30"/>
  <c r="AU10" i="30"/>
  <c r="W9" i="29"/>
  <c r="AD7" i="29"/>
  <c r="Y7" i="29"/>
  <c r="BM7" i="11"/>
  <c r="BM76" i="11" s="1"/>
  <c r="Z18" i="30"/>
  <c r="AR7" i="11"/>
  <c r="AR76" i="11" s="1"/>
  <c r="BG7" i="11"/>
  <c r="BG76" i="11" s="1"/>
  <c r="BK7" i="11"/>
  <c r="BK76" i="11" s="1"/>
  <c r="AD25" i="30"/>
  <c r="AU15" i="30"/>
  <c r="Z30" i="30"/>
  <c r="AU13" i="30"/>
  <c r="BU7" i="11"/>
  <c r="Z10" i="17"/>
  <c r="AU29" i="30"/>
  <c r="Y15" i="29"/>
  <c r="AD15" i="29"/>
  <c r="BD7" i="11"/>
  <c r="BD76" i="11" s="1"/>
  <c r="BJ7" i="11"/>
  <c r="BJ76" i="11" s="1"/>
  <c r="Y7" i="17"/>
  <c r="AU28" i="30"/>
  <c r="AU35" i="30"/>
  <c r="Z10" i="30"/>
  <c r="X14" i="17"/>
  <c r="BP7" i="11"/>
  <c r="BP76" i="11" s="1"/>
  <c r="AU24" i="30"/>
  <c r="AT12" i="29"/>
  <c r="AU31" i="30"/>
  <c r="AU20" i="30"/>
  <c r="AI39" i="30"/>
  <c r="AU7" i="11"/>
  <c r="AU76" i="11" s="1"/>
  <c r="AY7" i="11"/>
  <c r="AY76" i="11" s="1"/>
  <c r="Z22" i="30"/>
  <c r="Y12" i="17"/>
  <c r="AU33" i="30"/>
  <c r="AS9" i="30"/>
  <c r="AU12" i="30"/>
  <c r="AU11" i="30"/>
  <c r="BQ7" i="11"/>
  <c r="BQ76" i="11" s="1"/>
  <c r="Z11" i="17"/>
  <c r="BF7" i="11"/>
  <c r="BF76" i="11" s="1"/>
  <c r="AI25" i="30"/>
  <c r="AU18" i="30"/>
  <c r="AU8" i="29"/>
  <c r="AQ7" i="11"/>
  <c r="Z12" i="29"/>
  <c r="AS27" i="30"/>
  <c r="AD13" i="29"/>
  <c r="Y13" i="29"/>
  <c r="AA35" i="30"/>
  <c r="AA38" i="30"/>
  <c r="Z11" i="30"/>
  <c r="AS34" i="30"/>
  <c r="Z23" i="30"/>
  <c r="AU36" i="30"/>
  <c r="AS7" i="11"/>
  <c r="AS76" i="11" s="1"/>
  <c r="AA34" i="30"/>
  <c r="AJ76" i="10"/>
  <c r="AM10" i="10"/>
  <c r="AN10" i="10"/>
  <c r="AN76" i="10" s="1"/>
  <c r="Z29" i="30"/>
  <c r="BB7" i="11"/>
  <c r="BB76" i="11" s="1"/>
  <c r="AD13" i="30"/>
  <c r="AU21" i="30"/>
  <c r="U9" i="16"/>
  <c r="BT7" i="11"/>
  <c r="BT76" i="11" s="1"/>
  <c r="BS7" i="11"/>
  <c r="BS76" i="11" s="1"/>
  <c r="AT15" i="29"/>
  <c r="AW7" i="11"/>
  <c r="AW76" i="11" s="1"/>
  <c r="AA26" i="30"/>
  <c r="BA7" i="11"/>
  <c r="BA76" i="11" s="1"/>
  <c r="Y26" i="30"/>
  <c r="Z8" i="29"/>
  <c r="Y10" i="17"/>
  <c r="BO7" i="11"/>
  <c r="BO76" i="11" s="1"/>
  <c r="C76" i="11" l="1"/>
  <c r="AA8" i="30"/>
  <c r="AA10" i="30"/>
  <c r="AU7" i="30"/>
  <c r="AA9" i="30"/>
  <c r="G62" i="11"/>
  <c r="AM62" i="11" s="1"/>
  <c r="AA12" i="30"/>
  <c r="AW33" i="30"/>
  <c r="AW20" i="30"/>
  <c r="AA15" i="30"/>
  <c r="AW35" i="30"/>
  <c r="Z13" i="29"/>
  <c r="G57" i="11"/>
  <c r="AM57" i="11" s="1"/>
  <c r="AA17" i="30"/>
  <c r="AA31" i="30"/>
  <c r="AA21" i="30"/>
  <c r="AW36" i="30"/>
  <c r="AJ7" i="11"/>
  <c r="G41" i="11"/>
  <c r="AM41" i="11" s="1"/>
  <c r="AI37" i="30"/>
  <c r="Y14" i="17"/>
  <c r="AA13" i="17"/>
  <c r="G12" i="11"/>
  <c r="AM12" i="11" s="1"/>
  <c r="Y32" i="30"/>
  <c r="Y40" i="30" s="1"/>
  <c r="U7" i="11"/>
  <c r="U76" i="11" s="1"/>
  <c r="Y7" i="11"/>
  <c r="Y76" i="11" s="1"/>
  <c r="G43" i="11"/>
  <c r="AM43" i="11" s="1"/>
  <c r="AA19" i="30"/>
  <c r="AA22" i="30"/>
  <c r="Z7" i="29"/>
  <c r="Y9" i="29"/>
  <c r="G51" i="11"/>
  <c r="AM51" i="11" s="1"/>
  <c r="AF39" i="30"/>
  <c r="L7" i="11"/>
  <c r="L76" i="11" s="1"/>
  <c r="AA27" i="30"/>
  <c r="G30" i="11"/>
  <c r="AM30" i="11" s="1"/>
  <c r="G50" i="11"/>
  <c r="AM50" i="11" s="1"/>
  <c r="Z14" i="29"/>
  <c r="Z12" i="17"/>
  <c r="AW26" i="30"/>
  <c r="AT11" i="29"/>
  <c r="AR17" i="29"/>
  <c r="AU22" i="30"/>
  <c r="AD35" i="30"/>
  <c r="S7" i="11"/>
  <c r="S76" i="11" s="1"/>
  <c r="G56" i="11"/>
  <c r="AM56" i="11" s="1"/>
  <c r="AU27" i="30"/>
  <c r="AA11" i="17"/>
  <c r="G52" i="11"/>
  <c r="AM52" i="11" s="1"/>
  <c r="AI35" i="30"/>
  <c r="Z8" i="30"/>
  <c r="AW12" i="30"/>
  <c r="AD14" i="30"/>
  <c r="AB7" i="11"/>
  <c r="AB76" i="11" s="1"/>
  <c r="G36" i="11"/>
  <c r="AM36" i="11" s="1"/>
  <c r="AW24" i="30"/>
  <c r="G48" i="11"/>
  <c r="AM48" i="11" s="1"/>
  <c r="G47" i="11"/>
  <c r="AM47" i="11" s="1"/>
  <c r="AA16" i="30"/>
  <c r="AA7" i="30"/>
  <c r="I7" i="11"/>
  <c r="I76" i="11" s="1"/>
  <c r="Z9" i="30"/>
  <c r="AI7" i="11"/>
  <c r="AI76" i="11" s="1"/>
  <c r="AU17" i="30"/>
  <c r="AA33" i="30"/>
  <c r="AU14" i="30"/>
  <c r="AD37" i="30"/>
  <c r="AD38" i="30"/>
  <c r="G29" i="11"/>
  <c r="AM29" i="11" s="1"/>
  <c r="Z15" i="29"/>
  <c r="AA24" i="30"/>
  <c r="AI26" i="30"/>
  <c r="AW23" i="30"/>
  <c r="AW18" i="30"/>
  <c r="K7" i="11"/>
  <c r="K76" i="11" s="1"/>
  <c r="G60" i="11"/>
  <c r="AM60" i="11" s="1"/>
  <c r="AF13" i="30"/>
  <c r="G42" i="11"/>
  <c r="AM42" i="11" s="1"/>
  <c r="AW31" i="30"/>
  <c r="AU14" i="29"/>
  <c r="O7" i="11"/>
  <c r="O76" i="11" s="1"/>
  <c r="AD26" i="30"/>
  <c r="G21" i="11"/>
  <c r="AM21" i="11" s="1"/>
  <c r="AW21" i="30"/>
  <c r="G66" i="11"/>
  <c r="AM66" i="11" s="1"/>
  <c r="AL7" i="11"/>
  <c r="AL76" i="11" s="1"/>
  <c r="AI34" i="30"/>
  <c r="G7" i="11"/>
  <c r="G73" i="11"/>
  <c r="AM73" i="11" s="1"/>
  <c r="AA20" i="30"/>
  <c r="G65" i="11"/>
  <c r="AM65" i="11" s="1"/>
  <c r="W11" i="29"/>
  <c r="T17" i="29"/>
  <c r="G46" i="11"/>
  <c r="AM46" i="11" s="1"/>
  <c r="AU15" i="29"/>
  <c r="J7" i="11"/>
  <c r="J76" i="11" s="1"/>
  <c r="Z9" i="17"/>
  <c r="V7" i="11"/>
  <c r="V76" i="11" s="1"/>
  <c r="R7" i="11"/>
  <c r="R76" i="11" s="1"/>
  <c r="AW13" i="30"/>
  <c r="AQ76" i="11"/>
  <c r="BX7" i="11"/>
  <c r="G55" i="11"/>
  <c r="AM55" i="11" s="1"/>
  <c r="G22" i="11"/>
  <c r="AM22" i="11" s="1"/>
  <c r="AD22" i="30"/>
  <c r="AA18" i="30"/>
  <c r="Z8" i="17"/>
  <c r="AW8" i="30"/>
  <c r="AU34" i="30"/>
  <c r="G11" i="11"/>
  <c r="AM11" i="11" s="1"/>
  <c r="P7" i="11"/>
  <c r="P76" i="11" s="1"/>
  <c r="G63" i="11"/>
  <c r="AM63" i="11" s="1"/>
  <c r="AW11" i="30"/>
  <c r="AD9" i="29"/>
  <c r="AW25" i="30"/>
  <c r="AW38" i="30"/>
  <c r="AW15" i="30"/>
  <c r="G38" i="11"/>
  <c r="AM38" i="11" s="1"/>
  <c r="G72" i="11"/>
  <c r="AM72" i="11" s="1"/>
  <c r="T7" i="11"/>
  <c r="T76" i="11" s="1"/>
  <c r="AI13" i="30"/>
  <c r="AW10" i="30"/>
  <c r="AR37" i="30"/>
  <c r="Z7" i="30"/>
  <c r="G28" i="11"/>
  <c r="AM28" i="11" s="1"/>
  <c r="AA23" i="30"/>
  <c r="E15" i="11"/>
  <c r="AU9" i="29"/>
  <c r="AP19" i="29"/>
  <c r="G18" i="11"/>
  <c r="AM18" i="11" s="1"/>
  <c r="AW29" i="30"/>
  <c r="R19" i="29"/>
  <c r="AW16" i="30"/>
  <c r="AF25" i="30"/>
  <c r="AU9" i="30"/>
  <c r="Z7" i="11"/>
  <c r="Z76" i="11" s="1"/>
  <c r="AI14" i="30"/>
  <c r="G33" i="11"/>
  <c r="AM33" i="11" s="1"/>
  <c r="AM76" i="10"/>
  <c r="AU19" i="30"/>
  <c r="AU30" i="30"/>
  <c r="AH7" i="11"/>
  <c r="AH76" i="11" s="1"/>
  <c r="AW28" i="30"/>
  <c r="G37" i="11"/>
  <c r="AM37" i="11" s="1"/>
  <c r="G35" i="11"/>
  <c r="AM35" i="11" s="1"/>
  <c r="AA30" i="30"/>
  <c r="Z26" i="30"/>
  <c r="G45" i="11"/>
  <c r="AM45" i="11" s="1"/>
  <c r="F7" i="11"/>
  <c r="AU12" i="29"/>
  <c r="AA28" i="30"/>
  <c r="G15" i="11"/>
  <c r="AW39" i="30"/>
  <c r="AI38" i="30"/>
  <c r="G16" i="11"/>
  <c r="AM16" i="11" s="1"/>
  <c r="G39" i="11"/>
  <c r="AM39" i="11" s="1"/>
  <c r="G26" i="11"/>
  <c r="AM26" i="11" s="1"/>
  <c r="W7" i="11"/>
  <c r="W76" i="11" s="1"/>
  <c r="AG39" i="30"/>
  <c r="AE7" i="11"/>
  <c r="AE76" i="11" s="1"/>
  <c r="AU32" i="30"/>
  <c r="G74" i="11"/>
  <c r="AM74" i="11" s="1"/>
  <c r="AA36" i="30"/>
  <c r="G14" i="11"/>
  <c r="AM14" i="11" s="1"/>
  <c r="AU13" i="29"/>
  <c r="AD34" i="30"/>
  <c r="N7" i="11"/>
  <c r="N76" i="11" s="1"/>
  <c r="AA11" i="30"/>
  <c r="AK7" i="11"/>
  <c r="AK76" i="11" s="1"/>
  <c r="AA10" i="17" l="1"/>
  <c r="AD7" i="17"/>
  <c r="AI30" i="30"/>
  <c r="G70" i="11"/>
  <c r="AM70" i="11" s="1"/>
  <c r="AX25" i="30"/>
  <c r="AX26" i="30"/>
  <c r="BU10" i="11"/>
  <c r="AN14" i="11"/>
  <c r="AF26" i="30"/>
  <c r="AA7" i="17"/>
  <c r="AN26" i="11"/>
  <c r="AX8" i="30"/>
  <c r="AN45" i="11"/>
  <c r="G25" i="11"/>
  <c r="AM25" i="11" s="1"/>
  <c r="AD18" i="30"/>
  <c r="AD21" i="30"/>
  <c r="AD17" i="30"/>
  <c r="AX33" i="30"/>
  <c r="AN18" i="11"/>
  <c r="AG13" i="30"/>
  <c r="AD33" i="30"/>
  <c r="AN11" i="11"/>
  <c r="AW17" i="30"/>
  <c r="AN55" i="11"/>
  <c r="G34" i="11"/>
  <c r="AM34" i="11" s="1"/>
  <c r="AI16" i="30"/>
  <c r="AX24" i="30"/>
  <c r="T19" i="29"/>
  <c r="G71" i="11"/>
  <c r="AM71" i="11" s="1"/>
  <c r="AX10" i="30"/>
  <c r="AI27" i="30"/>
  <c r="AI19" i="30"/>
  <c r="Z32" i="30"/>
  <c r="AG7" i="11"/>
  <c r="AG76" i="11" s="1"/>
  <c r="AA29" i="30"/>
  <c r="AD31" i="30"/>
  <c r="G44" i="11"/>
  <c r="AM44" i="11" s="1"/>
  <c r="AN48" i="11"/>
  <c r="AW27" i="30"/>
  <c r="G32" i="11"/>
  <c r="AM32" i="11" s="1"/>
  <c r="AN52" i="11"/>
  <c r="AI11" i="30"/>
  <c r="AU11" i="29"/>
  <c r="AT17" i="29"/>
  <c r="G8" i="11"/>
  <c r="AM8" i="11" s="1"/>
  <c r="G13" i="11"/>
  <c r="AM13" i="11" s="1"/>
  <c r="AX31" i="30"/>
  <c r="AN51" i="11"/>
  <c r="Z9" i="29"/>
  <c r="AX18" i="30"/>
  <c r="AF38" i="30"/>
  <c r="AF22" i="30"/>
  <c r="M7" i="11"/>
  <c r="M76" i="11" s="1"/>
  <c r="AF14" i="30"/>
  <c r="H7" i="11"/>
  <c r="H76" i="11" s="1"/>
  <c r="Q7" i="11"/>
  <c r="Q76" i="11" s="1"/>
  <c r="G19" i="11"/>
  <c r="AM19" i="11" s="1"/>
  <c r="G24" i="11"/>
  <c r="AM24" i="11" s="1"/>
  <c r="AN74" i="11"/>
  <c r="AI21" i="30"/>
  <c r="AN37" i="11"/>
  <c r="AI20" i="30"/>
  <c r="AX21" i="30"/>
  <c r="AN38" i="11"/>
  <c r="G31" i="11"/>
  <c r="AM31" i="11" s="1"/>
  <c r="AN63" i="11"/>
  <c r="AF37" i="30"/>
  <c r="G20" i="11"/>
  <c r="AM20" i="11" s="1"/>
  <c r="AX28" i="30"/>
  <c r="AX12" i="30"/>
  <c r="Y11" i="29"/>
  <c r="W17" i="29"/>
  <c r="AD11" i="29"/>
  <c r="AN66" i="11"/>
  <c r="G53" i="11"/>
  <c r="AM53" i="11" s="1"/>
  <c r="AD27" i="30"/>
  <c r="AS37" i="30"/>
  <c r="AS40" i="30" s="1"/>
  <c r="AI22" i="30"/>
  <c r="AN60" i="11"/>
  <c r="AD13" i="17"/>
  <c r="G10" i="11"/>
  <c r="AX36" i="30"/>
  <c r="AN47" i="11"/>
  <c r="AN36" i="11"/>
  <c r="AX20" i="30"/>
  <c r="AA12" i="17"/>
  <c r="X7" i="11"/>
  <c r="X76" i="11" s="1"/>
  <c r="AI12" i="30"/>
  <c r="AF35" i="30"/>
  <c r="AN56" i="11"/>
  <c r="AR19" i="29"/>
  <c r="AF7" i="11"/>
  <c r="AF76" i="11" s="1"/>
  <c r="AX23" i="30"/>
  <c r="AN41" i="11"/>
  <c r="AD28" i="30"/>
  <c r="AD30" i="30"/>
  <c r="AA7" i="11"/>
  <c r="AA76" i="11" s="1"/>
  <c r="AX38" i="30"/>
  <c r="AN16" i="11"/>
  <c r="AA8" i="17"/>
  <c r="AI18" i="30"/>
  <c r="AI17" i="30"/>
  <c r="G75" i="11"/>
  <c r="AM75" i="11" s="1"/>
  <c r="AN39" i="11"/>
  <c r="AN35" i="11"/>
  <c r="AX35" i="30"/>
  <c r="AD15" i="30"/>
  <c r="AN33" i="11"/>
  <c r="AD20" i="30"/>
  <c r="AN28" i="11"/>
  <c r="AR40" i="30"/>
  <c r="G23" i="11"/>
  <c r="AI24" i="30"/>
  <c r="AW14" i="30"/>
  <c r="AD16" i="30"/>
  <c r="AW7" i="30"/>
  <c r="AN46" i="11"/>
  <c r="AA9" i="17"/>
  <c r="AD19" i="30"/>
  <c r="AX11" i="30"/>
  <c r="AN29" i="11"/>
  <c r="G27" i="11"/>
  <c r="AM27" i="11" s="1"/>
  <c r="AI31" i="30"/>
  <c r="G69" i="11"/>
  <c r="AM69" i="11" s="1"/>
  <c r="AD11" i="17"/>
  <c r="AD12" i="30"/>
  <c r="Z7" i="17"/>
  <c r="AI36" i="30"/>
  <c r="AN50" i="11"/>
  <c r="AN30" i="11"/>
  <c r="AW32" i="30"/>
  <c r="G9" i="11"/>
  <c r="AM9" i="11" s="1"/>
  <c r="AN57" i="11"/>
  <c r="AW19" i="30"/>
  <c r="G64" i="11"/>
  <c r="AM64" i="11" s="1"/>
  <c r="G59" i="11"/>
  <c r="AM59" i="11" s="1"/>
  <c r="AN62" i="11"/>
  <c r="G58" i="11"/>
  <c r="AM58" i="11" s="1"/>
  <c r="AI23" i="30"/>
  <c r="AX29" i="30"/>
  <c r="AD23" i="30"/>
  <c r="F76" i="11"/>
  <c r="G61" i="11"/>
  <c r="AM61" i="11" s="1"/>
  <c r="AI15" i="30"/>
  <c r="AM15" i="11"/>
  <c r="AN72" i="11"/>
  <c r="G49" i="11"/>
  <c r="AM49" i="11" s="1"/>
  <c r="AD7" i="30"/>
  <c r="G67" i="11"/>
  <c r="AM67" i="11" s="1"/>
  <c r="AD24" i="30"/>
  <c r="AX39" i="30"/>
  <c r="AC7" i="11"/>
  <c r="AC76" i="11" s="1"/>
  <c r="AI33" i="30"/>
  <c r="AD7" i="11"/>
  <c r="AD76" i="11" s="1"/>
  <c r="AN22" i="11"/>
  <c r="AG25" i="30"/>
  <c r="AN65" i="11"/>
  <c r="AN73" i="11"/>
  <c r="AN21" i="11"/>
  <c r="G54" i="11"/>
  <c r="AM54" i="11" s="1"/>
  <c r="AX15" i="30"/>
  <c r="AN42" i="11"/>
  <c r="AI13" i="17"/>
  <c r="AW34" i="30"/>
  <c r="AX13" i="30"/>
  <c r="G17" i="11"/>
  <c r="AM17" i="11" s="1"/>
  <c r="AI11" i="17"/>
  <c r="G68" i="11"/>
  <c r="AM68" i="11" s="1"/>
  <c r="AX16" i="30"/>
  <c r="AD11" i="30"/>
  <c r="AF34" i="30"/>
  <c r="AD36" i="30"/>
  <c r="AN43" i="11"/>
  <c r="AN12" i="11"/>
  <c r="AI28" i="30"/>
  <c r="G40" i="11"/>
  <c r="AM40" i="11" s="1"/>
  <c r="AW30" i="30"/>
  <c r="AW9" i="30"/>
  <c r="AW22" i="30"/>
  <c r="AD10" i="17" l="1"/>
  <c r="AI10" i="17"/>
  <c r="AX7" i="30"/>
  <c r="AF9" i="30"/>
  <c r="AG14" i="30"/>
  <c r="BY43" i="11"/>
  <c r="BY42" i="11"/>
  <c r="AD10" i="30"/>
  <c r="BY22" i="11"/>
  <c r="BY72" i="11"/>
  <c r="AN61" i="11"/>
  <c r="AD8" i="17"/>
  <c r="AM7" i="11"/>
  <c r="AG26" i="30"/>
  <c r="AN58" i="11"/>
  <c r="AF28" i="30"/>
  <c r="BY50" i="11"/>
  <c r="AU37" i="30"/>
  <c r="BY56" i="11"/>
  <c r="AX27" i="30"/>
  <c r="BY60" i="11"/>
  <c r="BY66" i="11"/>
  <c r="AD17" i="29"/>
  <c r="Z11" i="29"/>
  <c r="Y17" i="29"/>
  <c r="AN20" i="11"/>
  <c r="AX22" i="30"/>
  <c r="AN13" i="11"/>
  <c r="AU17" i="29"/>
  <c r="BY52" i="11"/>
  <c r="AN32" i="11"/>
  <c r="AN34" i="11"/>
  <c r="BY11" i="11"/>
  <c r="AN25" i="11"/>
  <c r="BY14" i="11"/>
  <c r="BX10" i="11"/>
  <c r="BU76" i="11"/>
  <c r="AN70" i="11"/>
  <c r="BY21" i="11"/>
  <c r="AN49" i="11"/>
  <c r="AN40" i="11"/>
  <c r="AI7" i="17"/>
  <c r="AN68" i="11"/>
  <c r="AD12" i="17"/>
  <c r="AN17" i="11"/>
  <c r="AN54" i="11"/>
  <c r="BY65" i="11"/>
  <c r="AN67" i="11"/>
  <c r="AD8" i="30"/>
  <c r="AN15" i="11"/>
  <c r="AF21" i="30"/>
  <c r="BY62" i="11"/>
  <c r="AN59" i="11"/>
  <c r="AF30" i="30"/>
  <c r="Z14" i="17"/>
  <c r="AD29" i="30"/>
  <c r="AN27" i="11"/>
  <c r="AF7" i="30"/>
  <c r="BY33" i="11"/>
  <c r="AN75" i="11"/>
  <c r="BY16" i="11"/>
  <c r="AX32" i="30"/>
  <c r="AF36" i="30"/>
  <c r="AD9" i="30"/>
  <c r="AN31" i="11"/>
  <c r="AN24" i="11"/>
  <c r="AX30" i="30"/>
  <c r="AN8" i="11"/>
  <c r="AG34" i="30"/>
  <c r="AF11" i="17"/>
  <c r="BY48" i="11"/>
  <c r="AN44" i="11"/>
  <c r="AN71" i="11"/>
  <c r="BY55" i="11"/>
  <c r="AF24" i="30"/>
  <c r="AF20" i="30"/>
  <c r="AF15" i="30"/>
  <c r="AN64" i="11"/>
  <c r="BY57" i="11"/>
  <c r="AN9" i="11"/>
  <c r="AG13" i="17"/>
  <c r="BY28" i="11"/>
  <c r="AF18" i="30"/>
  <c r="BY39" i="11"/>
  <c r="AX19" i="30"/>
  <c r="AG22" i="30"/>
  <c r="BY41" i="11"/>
  <c r="AG38" i="30"/>
  <c r="AF11" i="30"/>
  <c r="BY47" i="11"/>
  <c r="AF31" i="30"/>
  <c r="AF19" i="30"/>
  <c r="BY74" i="11"/>
  <c r="BY51" i="11"/>
  <c r="AF12" i="30"/>
  <c r="AG11" i="17"/>
  <c r="BY45" i="11"/>
  <c r="BY12" i="11"/>
  <c r="AI7" i="30"/>
  <c r="BY73" i="11"/>
  <c r="AX17" i="30"/>
  <c r="AX14" i="30"/>
  <c r="AI9" i="17"/>
  <c r="AF17" i="30"/>
  <c r="BY30" i="11"/>
  <c r="AN69" i="11"/>
  <c r="BY29" i="11"/>
  <c r="AF13" i="17"/>
  <c r="AF27" i="30"/>
  <c r="BY46" i="11"/>
  <c r="AF10" i="30"/>
  <c r="AF33" i="30"/>
  <c r="AG37" i="30"/>
  <c r="AD9" i="17"/>
  <c r="BY35" i="11"/>
  <c r="BY36" i="11"/>
  <c r="AA32" i="30"/>
  <c r="AA40" i="30" s="1"/>
  <c r="AN53" i="11"/>
  <c r="G76" i="11"/>
  <c r="W19" i="29"/>
  <c r="AF16" i="30"/>
  <c r="BY63" i="11"/>
  <c r="BY38" i="11"/>
  <c r="BY37" i="11"/>
  <c r="AN19" i="11"/>
  <c r="AX9" i="30"/>
  <c r="AT19" i="29"/>
  <c r="AG35" i="30"/>
  <c r="AX34" i="30"/>
  <c r="Z40" i="30"/>
  <c r="BY18" i="11"/>
  <c r="BY26" i="11"/>
  <c r="AA14" i="17"/>
  <c r="AF23" i="30"/>
  <c r="AG10" i="17" l="1"/>
  <c r="AF10" i="17"/>
  <c r="AD14" i="17"/>
  <c r="AF8" i="30"/>
  <c r="AG8" i="30"/>
  <c r="AG7" i="17"/>
  <c r="AG9" i="30"/>
  <c r="BY53" i="11"/>
  <c r="AJ10" i="11"/>
  <c r="BY9" i="11"/>
  <c r="AI8" i="17"/>
  <c r="AF9" i="17"/>
  <c r="BY44" i="11"/>
  <c r="AG12" i="30"/>
  <c r="BY27" i="11"/>
  <c r="BY68" i="11"/>
  <c r="Y19" i="29"/>
  <c r="AD32" i="30"/>
  <c r="AG33" i="30"/>
  <c r="BY61" i="11"/>
  <c r="AG11" i="30"/>
  <c r="BY69" i="11"/>
  <c r="AG28" i="30"/>
  <c r="AG24" i="30"/>
  <c r="AG36" i="30"/>
  <c r="AW37" i="30"/>
  <c r="AW40" i="30" s="1"/>
  <c r="AI10" i="30"/>
  <c r="BY8" i="11"/>
  <c r="BY59" i="11"/>
  <c r="BY25" i="11"/>
  <c r="AG15" i="30"/>
  <c r="AU19" i="29"/>
  <c r="AI8" i="30"/>
  <c r="AG16" i="30"/>
  <c r="Z17" i="29"/>
  <c r="BY58" i="11"/>
  <c r="BY19" i="11"/>
  <c r="AF29" i="30"/>
  <c r="AI12" i="17"/>
  <c r="AG20" i="30"/>
  <c r="BY71" i="11"/>
  <c r="BY31" i="11"/>
  <c r="BY15" i="11"/>
  <c r="BY54" i="11"/>
  <c r="BY40" i="11"/>
  <c r="BY70" i="11"/>
  <c r="BX76" i="11"/>
  <c r="AI9" i="30"/>
  <c r="BY20" i="11"/>
  <c r="AG27" i="30"/>
  <c r="AU40" i="30"/>
  <c r="AF7" i="17"/>
  <c r="AG19" i="30"/>
  <c r="AG18" i="30"/>
  <c r="AF8" i="17"/>
  <c r="AG30" i="30"/>
  <c r="BY64" i="11"/>
  <c r="AG17" i="30"/>
  <c r="BY24" i="11"/>
  <c r="AG31" i="30"/>
  <c r="BY75" i="11"/>
  <c r="BY67" i="11"/>
  <c r="BY17" i="11"/>
  <c r="AF12" i="17"/>
  <c r="BY49" i="11"/>
  <c r="AG23" i="30"/>
  <c r="BY34" i="11"/>
  <c r="BY32" i="11"/>
  <c r="BY13" i="11"/>
  <c r="AD19" i="29"/>
  <c r="AI29" i="30"/>
  <c r="AN7" i="11"/>
  <c r="AG21" i="30"/>
  <c r="AD40" i="30" l="1"/>
  <c r="AI14" i="17"/>
  <c r="BY7" i="11"/>
  <c r="AG12" i="17"/>
  <c r="AI32" i="30"/>
  <c r="AI40" i="30" s="1"/>
  <c r="AG7" i="30"/>
  <c r="AG10" i="30"/>
  <c r="AM23" i="11"/>
  <c r="E76" i="11"/>
  <c r="AX37" i="30"/>
  <c r="AG29" i="30"/>
  <c r="AF14" i="17"/>
  <c r="Z19" i="29"/>
  <c r="AG8" i="17"/>
  <c r="AG9" i="17"/>
  <c r="AF32" i="30"/>
  <c r="AF40" i="30" s="1"/>
  <c r="AM10" i="11"/>
  <c r="AJ76" i="11"/>
  <c r="AG14" i="17" l="1"/>
  <c r="AG32" i="30"/>
  <c r="AX40" i="30"/>
  <c r="AN23" i="11"/>
  <c r="AN10" i="11"/>
  <c r="AM76" i="11"/>
  <c r="AG40" i="30" l="1"/>
  <c r="BY10" i="11"/>
  <c r="AN76" i="11"/>
  <c r="BY23" i="11"/>
  <c r="BY76" i="11" l="1"/>
</calcChain>
</file>

<file path=xl/sharedStrings.xml><?xml version="1.0" encoding="utf-8"?>
<sst xmlns="http://schemas.openxmlformats.org/spreadsheetml/2006/main" count="13176" uniqueCount="1505">
  <si>
    <t>School 
System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</si>
  <si>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</si>
  <si>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</si>
  <si>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</si>
  <si>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</si>
  <si>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</si>
  <si>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</si>
  <si>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</si>
  <si>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</si>
  <si>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</si>
  <si>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</si>
  <si>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</si>
  <si>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</si>
  <si>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</si>
  <si>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</si>
  <si>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</si>
  <si>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</si>
  <si>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</si>
  <si>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</si>
  <si>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</si>
  <si>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</si>
  <si>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</si>
  <si>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</si>
  <si>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</si>
  <si>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</si>
  <si>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</si>
  <si>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</si>
  <si>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</si>
  <si>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</si>
  <si>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</si>
  <si>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</si>
  <si>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</si>
  <si>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</si>
  <si>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</si>
  <si>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</si>
  <si>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</si>
  <si>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</si>
  <si>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</si>
  <si>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</si>
  <si>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</si>
  <si>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</si>
  <si>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</si>
  <si>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</si>
  <si>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</si>
  <si>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</si>
  <si>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</si>
  <si>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</si>
  <si>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</si>
  <si>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</si>
  <si>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</si>
  <si>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</si>
  <si>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</si>
  <si>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</si>
  <si>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</si>
  <si>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</si>
  <si>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</si>
  <si>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</si>
  <si>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</si>
  <si>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</si>
  <si>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</si>
  <si>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</si>
  <si>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</si>
  <si>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</si>
  <si>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</si>
  <si>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</si>
  <si>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</si>
  <si>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</si>
  <si>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</si>
  <si>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</si>
  <si>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</si>
  <si>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</si>
  <si>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</si>
  <si>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</si>
  <si>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</si>
  <si>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</si>
  <si>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</si>
  <si>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</si>
  <si>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</si>
  <si>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</si>
  <si>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</si>
  <si>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</si>
  <si>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</si>
  <si>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</si>
  <si>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</si>
  <si>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</si>
  <si>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</si>
  <si>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</si>
  <si>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</si>
  <si>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</si>
  <si>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</si>
  <si>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</si>
  <si>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</si>
  <si>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</si>
  <si>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</si>
  <si>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</si>
  <si>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</si>
  <si>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</si>
  <si>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</si>
  <si>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</si>
  <si>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</si>
  <si>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</si>
  <si>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</si>
  <si>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</si>
  <si>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</si>
  <si>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</si>
  <si>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</si>
  <si>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</si>
  <si>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</si>
  <si>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</si>
  <si>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</si>
  <si>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</si>
  <si>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</si>
  <si>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</si>
  <si>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</si>
  <si>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</si>
  <si>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</si>
  <si>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</si>
  <si>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</si>
  <si>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</si>
  <si>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</si>
  <si>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</si>
  <si>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</si>
  <si>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</si>
  <si>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</si>
  <si>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</si>
  <si>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</si>
  <si>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</si>
  <si>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</si>
  <si>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</si>
  <si>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</si>
  <si>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</si>
  <si>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</si>
  <si>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</si>
  <si>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</si>
  <si>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</si>
  <si>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</si>
  <si>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</si>
  <si>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</si>
  <si>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</si>
  <si>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</si>
  <si>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</si>
  <si>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</si>
  <si>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</si>
  <si>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</si>
  <si>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</si>
  <si>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</si>
  <si>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</si>
  <si>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</si>
  <si>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</si>
  <si>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</si>
  <si>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</si>
  <si>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</si>
  <si>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</si>
  <si>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</si>
  <si>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</si>
  <si>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</si>
  <si>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</si>
  <si>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</si>
  <si>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</si>
  <si>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</si>
  <si>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</si>
  <si>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</si>
  <si>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</si>
  <si>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</si>
  <si>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</si>
  <si>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</si>
  <si>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</si>
  <si>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</si>
  <si>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</si>
  <si>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</si>
  <si>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</si>
  <si>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</si>
  <si>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</si>
  <si>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</si>
  <si>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</si>
  <si>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</si>
  <si>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</si>
  <si>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</si>
  <si>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</si>
  <si>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</si>
  <si>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</si>
  <si>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</si>
  <si>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</si>
  <si>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</si>
  <si>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</si>
  <si>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</si>
  <si>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</si>
  <si>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</si>
  <si>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</si>
  <si>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</si>
  <si>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</si>
  <si>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</si>
  <si>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</si>
  <si>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</si>
  <si>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</si>
  <si>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</si>
  <si>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</si>
  <si>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</si>
  <si>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</si>
  <si>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</si>
  <si>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</si>
  <si>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</si>
  <si>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</si>
  <si>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</si>
  <si>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</si>
  <si>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</si>
  <si>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</si>
  <si>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</si>
  <si>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</si>
  <si>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</si>
  <si>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</si>
  <si>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</si>
  <si>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</si>
  <si>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</si>
  <si>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</si>
  <si>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</si>
  <si>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</si>
  <si>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</si>
  <si>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</si>
  <si>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</si>
  <si>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</si>
  <si>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</si>
  <si>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</si>
  <si>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</si>
  <si>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</si>
  <si>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</si>
  <si>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</si>
  <si>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</si>
  <si>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</si>
  <si>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</si>
  <si>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</si>
  <si>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</si>
  <si>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</si>
  <si>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</si>
  <si>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</si>
  <si>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</si>
  <si>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</si>
  <si>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</si>
  <si>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</si>
  <si>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T7, C38</t>
  </si>
  <si>
    <t>T7, C3c</t>
  </si>
  <si>
    <t>T7, C34</t>
  </si>
  <si>
    <t>T7, C26</t>
  </si>
  <si>
    <t>T7, C30</t>
  </si>
  <si>
    <t>T7, C37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</si>
  <si>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</si>
  <si>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</si>
  <si>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</si>
  <si>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</si>
  <si>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</si>
  <si>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</si>
  <si>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</si>
  <si>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</si>
  <si>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</si>
  <si>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</si>
  <si>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</si>
  <si>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</si>
  <si>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</si>
  <si>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</si>
  <si>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</si>
  <si>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</si>
  <si>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</si>
  <si>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</si>
  <si>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</si>
  <si>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</si>
  <si>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</si>
  <si>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</si>
  <si>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</si>
  <si>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</si>
  <si>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</si>
  <si>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</si>
  <si>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</si>
  <si>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</si>
  <si>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</si>
  <si>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</si>
  <si>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</si>
  <si>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</si>
  <si>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</si>
  <si>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</si>
  <si>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</si>
  <si>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</si>
  <si>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</si>
  <si>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</si>
  <si>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</si>
  <si>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</si>
  <si>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</si>
  <si>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</si>
  <si>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</si>
  <si>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T3, C12</t>
  </si>
  <si>
    <t>T4, C9</t>
  </si>
  <si>
    <t>YTD
Payments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</si>
  <si>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</si>
  <si>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</si>
  <si>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</si>
  <si>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</si>
  <si>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</si>
  <si>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</si>
  <si>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</si>
  <si>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</si>
  <si>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</si>
  <si>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</si>
  <si>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</si>
  <si>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</si>
  <si>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 
Student
Units</t>
  </si>
  <si>
    <t>Add-On
Student
Units</t>
  </si>
  <si>
    <t>Economy-
of-Scale 
Percent 
Support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</si>
  <si>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</si>
  <si>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</si>
  <si>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</si>
  <si>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</si>
  <si>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</si>
  <si>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</si>
  <si>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</si>
  <si>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</si>
  <si>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</si>
  <si>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</si>
  <si>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</si>
  <si>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</si>
  <si>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</si>
  <si>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</si>
  <si>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</si>
  <si>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</si>
  <si>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</si>
  <si>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</si>
  <si>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</si>
  <si>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</si>
  <si>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</si>
  <si>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</si>
  <si>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 xml:space="preserve">Total
Level 1
Costs 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</si>
  <si>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</si>
  <si>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</si>
  <si>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</si>
  <si>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</si>
  <si>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</si>
  <si>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</si>
  <si>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</si>
  <si>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</si>
  <si>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</si>
  <si>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</si>
  <si>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</si>
  <si>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</si>
  <si>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</si>
  <si>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</si>
  <si>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</si>
  <si>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 xml:space="preserve">Total
Weighted 
Add-On 
Student
Units </t>
  </si>
  <si>
    <t>Willow Charter Academy</t>
  </si>
  <si>
    <t>Caddo
Parish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</si>
  <si>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</si>
  <si>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</si>
  <si>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</si>
  <si>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</si>
  <si>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</si>
  <si>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</si>
  <si>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</si>
  <si>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</si>
  <si>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</si>
  <si>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</si>
  <si>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</si>
  <si>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</si>
  <si>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</si>
  <si>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</si>
  <si>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</si>
  <si>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</si>
  <si>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</si>
  <si>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</si>
  <si>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</si>
  <si>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</si>
  <si>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</si>
  <si>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High Cost
Services
Allocation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</si>
  <si>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</si>
  <si>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</si>
  <si>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</si>
  <si>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</si>
  <si>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</si>
  <si>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</si>
  <si>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</si>
  <si>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</si>
  <si>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</si>
  <si>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</si>
  <si>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</si>
  <si>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</si>
  <si>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</si>
  <si>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</si>
  <si>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</si>
  <si>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</si>
  <si>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</si>
  <si>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</si>
  <si>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</si>
  <si>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</si>
  <si>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</si>
  <si>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</si>
  <si>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</si>
  <si>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</si>
  <si>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</si>
  <si>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</si>
  <si>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</si>
  <si>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</si>
  <si>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</si>
  <si>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</si>
  <si>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</si>
  <si>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</si>
  <si>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</si>
  <si>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</si>
  <si>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</si>
  <si>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</si>
  <si>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</si>
  <si>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</si>
  <si>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</si>
  <si>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</si>
  <si>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</si>
  <si>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</si>
  <si>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</si>
  <si>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</si>
  <si>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</si>
  <si>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</si>
  <si>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</si>
  <si>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</si>
  <si>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</si>
  <si>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</si>
  <si>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</si>
  <si>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</si>
  <si>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</si>
  <si>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</si>
  <si>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</si>
  <si>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</si>
  <si>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</si>
  <si>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</si>
  <si>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</si>
  <si>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</si>
  <si>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</si>
  <si>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</si>
  <si>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</si>
  <si>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</si>
  <si>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</si>
  <si>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</si>
  <si>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</si>
  <si>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</si>
  <si>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</si>
  <si>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</si>
  <si>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</si>
  <si>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</si>
  <si>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</si>
  <si>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</si>
  <si>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</si>
  <si>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</si>
  <si>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</si>
  <si>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</si>
  <si>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</si>
  <si>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</si>
  <si>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</si>
  <si>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</si>
  <si>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</si>
  <si>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</si>
  <si>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</si>
  <si>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</si>
  <si>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</si>
  <si>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</si>
  <si>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</si>
  <si>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</si>
  <si>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</si>
  <si>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</si>
  <si>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</si>
  <si>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</si>
  <si>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</si>
  <si>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</si>
  <si>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</si>
  <si>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</si>
  <si>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</si>
  <si>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</si>
  <si>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</si>
  <si>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</si>
  <si>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</si>
  <si>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</si>
  <si>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</si>
  <si>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</si>
  <si>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</si>
  <si>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</si>
  <si>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</si>
  <si>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</si>
  <si>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</si>
  <si>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</si>
  <si>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</si>
  <si>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</si>
  <si>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</si>
  <si>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</si>
  <si>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</si>
  <si>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</si>
  <si>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</si>
  <si>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</si>
  <si>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</si>
  <si>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</si>
  <si>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</si>
  <si>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</si>
  <si>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</si>
  <si>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</si>
  <si>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</si>
  <si>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</si>
  <si>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</si>
  <si>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</si>
  <si>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</si>
  <si>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</si>
  <si>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</si>
  <si>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</si>
  <si>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</si>
  <si>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</si>
  <si>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</si>
  <si>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</si>
  <si>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</si>
  <si>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</si>
  <si>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</si>
  <si>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</si>
  <si>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</si>
  <si>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</si>
  <si>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</si>
  <si>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</si>
  <si>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</si>
  <si>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</si>
  <si>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</si>
  <si>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</si>
  <si>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</si>
  <si>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</si>
  <si>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</si>
  <si>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</si>
  <si>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</si>
  <si>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</si>
  <si>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</si>
  <si>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</si>
  <si>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</si>
  <si>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</si>
  <si>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</si>
  <si>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</si>
  <si>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</si>
  <si>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</si>
  <si>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</si>
  <si>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</si>
  <si>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</si>
  <si>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</si>
  <si>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</si>
  <si>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</si>
  <si>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</si>
  <si>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</si>
  <si>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</si>
  <si>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</si>
  <si>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</si>
  <si>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</si>
  <si>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</si>
  <si>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</si>
  <si>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</si>
  <si>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</si>
  <si>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</si>
  <si>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</si>
  <si>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</si>
  <si>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</si>
  <si>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</si>
  <si>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</si>
  <si>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</si>
  <si>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</si>
  <si>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</si>
  <si>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</si>
  <si>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</si>
  <si>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</si>
  <si>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</si>
  <si>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</si>
  <si>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t>Percent
Change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</si>
  <si>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</si>
  <si>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</si>
  <si>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</si>
  <si>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</si>
  <si>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</si>
  <si>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</si>
  <si>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</si>
  <si>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</si>
  <si>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Greater Grace</t>
  </si>
  <si>
    <t>Noble Minds</t>
  </si>
  <si>
    <t>JCFA
Lafayette</t>
  </si>
  <si>
    <t>Collegiate Academies</t>
  </si>
  <si>
    <t>Democracy Prep Baton Rouge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</si>
  <si>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</si>
  <si>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</si>
  <si>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</si>
  <si>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</si>
  <si>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</si>
  <si>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</si>
  <si>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</si>
  <si>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</si>
  <si>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</si>
  <si>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</si>
  <si>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</si>
  <si>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</si>
  <si>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</si>
  <si>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</si>
  <si>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</si>
  <si>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</si>
  <si>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</si>
  <si>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</si>
  <si>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</si>
  <si>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</si>
  <si>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</si>
  <si>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</si>
  <si>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</si>
  <si>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</si>
  <si>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</si>
  <si>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</si>
  <si>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</si>
  <si>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</si>
  <si>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</si>
  <si>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</si>
  <si>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</si>
  <si>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</si>
  <si>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</si>
  <si>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</si>
  <si>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</si>
  <si>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</si>
  <si>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</si>
  <si>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</si>
  <si>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</si>
  <si>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</si>
  <si>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</si>
  <si>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</si>
  <si>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</si>
  <si>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</si>
  <si>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</si>
  <si>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</si>
  <si>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</si>
  <si>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</si>
  <si>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</si>
  <si>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</si>
  <si>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</si>
  <si>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</si>
  <si>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</si>
  <si>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</si>
  <si>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</si>
  <si>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</si>
  <si>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</si>
  <si>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</si>
  <si>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</si>
  <si>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</si>
  <si>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</si>
  <si>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</si>
  <si>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</si>
  <si>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</si>
  <si>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</si>
  <si>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</si>
  <si>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</si>
  <si>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</si>
  <si>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</si>
  <si>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</si>
  <si>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</si>
  <si>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</si>
  <si>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</si>
  <si>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</si>
  <si>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</si>
  <si>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</si>
  <si>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</si>
  <si>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</si>
  <si>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</si>
  <si>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</si>
  <si>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</si>
  <si>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</si>
  <si>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</si>
  <si>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</si>
  <si>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</si>
  <si>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</si>
  <si>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</si>
  <si>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</si>
  <si>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</si>
  <si>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</si>
  <si>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</si>
  <si>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</si>
  <si>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</si>
  <si>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</si>
  <si>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</si>
  <si>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</si>
  <si>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</si>
  <si>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</si>
  <si>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</si>
  <si>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</si>
  <si>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</si>
  <si>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</si>
  <si>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</si>
  <si>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</si>
  <si>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</si>
  <si>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</si>
  <si>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</si>
  <si>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</si>
  <si>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</si>
  <si>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</si>
  <si>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</si>
  <si>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</si>
  <si>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</si>
  <si>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</si>
  <si>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</si>
  <si>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</si>
  <si>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</si>
  <si>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</si>
  <si>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</si>
  <si>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</si>
  <si>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</si>
  <si>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</si>
  <si>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</si>
  <si>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</si>
  <si>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</si>
  <si>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</si>
  <si>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</si>
  <si>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</si>
  <si>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</si>
  <si>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</si>
  <si>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</si>
  <si>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</si>
  <si>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</si>
  <si>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</si>
  <si>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</si>
  <si>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</si>
  <si>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</si>
  <si>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</si>
  <si>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</si>
  <si>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</si>
  <si>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</si>
  <si>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</si>
  <si>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</si>
  <si>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</si>
  <si>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</si>
  <si>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</si>
  <si>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</si>
  <si>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</si>
  <si>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</si>
  <si>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</si>
  <si>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</si>
  <si>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</si>
  <si>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</si>
  <si>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</si>
  <si>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</si>
  <si>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</si>
  <si>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</si>
  <si>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</si>
  <si>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</si>
  <si>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</si>
  <si>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</si>
  <si>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</si>
  <si>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</si>
  <si>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</si>
  <si>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</si>
  <si>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</si>
  <si>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</si>
  <si>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</si>
  <si>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</si>
  <si>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</si>
  <si>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</si>
  <si>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</si>
  <si>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</si>
  <si>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</si>
  <si>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</si>
  <si>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</si>
  <si>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</si>
  <si>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</si>
  <si>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</si>
  <si>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</si>
  <si>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</si>
  <si>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</si>
  <si>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</si>
  <si>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</si>
  <si>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</si>
  <si>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</si>
  <si>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</si>
  <si>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</si>
  <si>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</si>
  <si>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</si>
  <si>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T5C1AD,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</si>
  <si>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</si>
  <si>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</si>
  <si>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</si>
  <si>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</si>
  <si>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</si>
  <si>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</si>
  <si>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</si>
  <si>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</si>
  <si>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</si>
  <si>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</si>
  <si>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</si>
  <si>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</si>
  <si>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</si>
  <si>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</si>
  <si>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</si>
  <si>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</si>
  <si>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</si>
  <si>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</si>
  <si>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</si>
  <si>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</si>
  <si>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</si>
  <si>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</si>
  <si>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</si>
  <si>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</si>
  <si>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</si>
  <si>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</si>
  <si>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</si>
  <si>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</si>
  <si>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</si>
  <si>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</si>
  <si>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</si>
  <si>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</si>
  <si>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</si>
  <si>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</si>
  <si>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</si>
  <si>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</si>
  <si>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</si>
  <si>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</si>
  <si>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</si>
  <si>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</si>
  <si>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</si>
  <si>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</si>
  <si>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</si>
  <si>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</si>
  <si>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</si>
  <si>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</si>
  <si>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</si>
  <si>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</si>
  <si>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</si>
  <si>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</si>
  <si>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</si>
  <si>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</si>
  <si>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</si>
  <si>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</si>
  <si>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</si>
  <si>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</si>
  <si>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</si>
  <si>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</si>
  <si>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</si>
  <si>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</si>
  <si>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</si>
  <si>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</si>
  <si>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</si>
  <si>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</si>
  <si>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</si>
  <si>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</si>
  <si>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</si>
  <si>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</si>
  <si>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</si>
  <si>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</si>
  <si>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</si>
  <si>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</si>
  <si>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</si>
  <si>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</si>
  <si>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</si>
  <si>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</si>
  <si>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</si>
  <si>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C11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</si>
  <si>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</si>
  <si>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</si>
  <si>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</si>
  <si>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</si>
  <si>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</si>
  <si>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</si>
  <si>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</si>
  <si>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</si>
  <si>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C24 + C40</t>
  </si>
  <si>
    <t>C27 + C43</t>
  </si>
  <si>
    <t>C48 - C47</t>
  </si>
  <si>
    <t>C37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</si>
  <si>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</si>
  <si>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</si>
  <si>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</si>
  <si>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</si>
  <si>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</si>
  <si>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</si>
  <si>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</si>
  <si>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</si>
  <si>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</si>
  <si>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</si>
  <si>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</si>
  <si>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</si>
  <si>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</si>
  <si>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</si>
  <si>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</si>
  <si>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</si>
  <si>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</si>
  <si>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July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</si>
  <si>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</si>
  <si>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</si>
  <si>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</si>
  <si>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</si>
  <si>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</si>
  <si>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</si>
  <si>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</si>
  <si>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</si>
  <si>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</si>
  <si>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</si>
  <si>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</si>
  <si>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</si>
  <si>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</si>
  <si>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</si>
  <si>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</si>
  <si>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</si>
  <si>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</si>
  <si>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</si>
  <si>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</si>
  <si>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</si>
  <si>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</si>
  <si>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</si>
  <si>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</si>
  <si>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</si>
  <si>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</si>
  <si>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</si>
  <si>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</si>
  <si>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</si>
  <si>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</si>
  <si>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</si>
  <si>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</si>
  <si>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</si>
  <si>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</si>
  <si>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</si>
  <si>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</si>
  <si>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</si>
  <si>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</si>
  <si>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</si>
  <si>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</si>
  <si>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</si>
  <si>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Finalized Allocation and
Mid-Year Adjustment</t>
  </si>
  <si>
    <t>Finalized Allocation and Mid-Year Adjustment</t>
  </si>
  <si>
    <t>Finalized
Local Revenue
Representation
Allocation</t>
  </si>
  <si>
    <t>Finalized
Local Revenue
Representation
Allocation
and Mid-Year
Adjustment
for Students</t>
  </si>
  <si>
    <t>Economically
Disadvantaged</t>
  </si>
  <si>
    <t>Economically Disadvantaged</t>
  </si>
  <si>
    <t>Level 4 Funds
Paid Annually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</si>
  <si>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</si>
  <si>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</si>
  <si>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</si>
  <si>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</si>
  <si>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</si>
  <si>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</si>
  <si>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</si>
  <si>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</si>
  <si>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</si>
  <si>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</si>
  <si>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</si>
  <si>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</si>
  <si>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</si>
  <si>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</si>
  <si>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</si>
  <si>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</si>
  <si>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</si>
  <si>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</si>
  <si>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</si>
  <si>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</si>
  <si>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</si>
  <si>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</si>
  <si>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</si>
  <si>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</si>
  <si>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</si>
  <si>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</si>
  <si>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</si>
  <si>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</si>
  <si>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</si>
  <si>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</si>
  <si>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</si>
  <si>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</si>
  <si>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</si>
  <si>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</si>
  <si>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</si>
  <si>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</si>
  <si>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</si>
  <si>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</si>
  <si>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</si>
  <si>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</si>
  <si>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</si>
  <si>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</si>
  <si>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</si>
  <si>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</si>
  <si>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</si>
  <si>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</si>
  <si>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</si>
  <si>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</si>
  <si>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</si>
  <si>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</si>
  <si>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</si>
  <si>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</si>
  <si>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</si>
  <si>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</si>
  <si>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</si>
  <si>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</si>
  <si>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</si>
  <si>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</si>
  <si>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</si>
  <si>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</si>
  <si>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</si>
  <si>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</si>
  <si>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</si>
  <si>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</si>
  <si>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</si>
  <si>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</si>
  <si>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</si>
  <si>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</si>
  <si>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</si>
  <si>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</si>
  <si>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</si>
  <si>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</si>
  <si>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</si>
  <si>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</si>
  <si>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</si>
  <si>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</si>
  <si>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</si>
  <si>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</si>
  <si>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</si>
  <si>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</si>
  <si>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</si>
  <si>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</si>
  <si>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</si>
  <si>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</si>
  <si>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</si>
  <si>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</si>
  <si>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</si>
  <si>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</si>
  <si>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</si>
  <si>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</si>
  <si>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</si>
  <si>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</si>
  <si>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</si>
  <si>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</si>
  <si>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</si>
  <si>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</si>
  <si>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</si>
  <si>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</si>
  <si>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</si>
  <si>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</si>
  <si>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</si>
  <si>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</si>
  <si>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</si>
  <si>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</si>
  <si>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</si>
  <si>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</si>
  <si>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</si>
  <si>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</si>
  <si>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</si>
  <si>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</si>
  <si>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</si>
  <si>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</si>
  <si>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</si>
  <si>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</si>
  <si>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</si>
  <si>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</si>
  <si>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</si>
  <si>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</si>
  <si>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</si>
  <si>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</si>
  <si>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</si>
  <si>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</si>
  <si>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</si>
  <si>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</si>
  <si>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</si>
  <si>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</si>
  <si>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</si>
  <si>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</si>
  <si>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</si>
  <si>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</si>
  <si>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</si>
  <si>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</si>
  <si>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</si>
  <si>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</si>
  <si>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</si>
  <si>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</si>
  <si>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</si>
  <si>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</si>
  <si>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</si>
  <si>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</si>
  <si>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</si>
  <si>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</si>
  <si>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</si>
  <si>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</si>
  <si>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</si>
  <si>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T5C1Y, C49</t>
  </si>
  <si>
    <t>T5C1Z, C49</t>
  </si>
  <si>
    <t>T5C1AD,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</si>
  <si>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</si>
  <si>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</si>
  <si>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</si>
  <si>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</si>
  <si>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</si>
  <si>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</si>
  <si>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</si>
  <si>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</si>
  <si>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</si>
  <si>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</si>
  <si>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</si>
  <si>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</si>
  <si>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</si>
  <si>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</si>
  <si>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</si>
  <si>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</si>
  <si>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</si>
  <si>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Gifted and 
Talented 
Students
(GT)</t>
  </si>
  <si>
    <t>C1 x $21,000</t>
  </si>
  <si>
    <t>C3 x $6,000</t>
  </si>
  <si>
    <t>C5 x $4,000</t>
  </si>
  <si>
    <t>C8 x $238
Or Minimum</t>
  </si>
  <si>
    <t>C11 x $59</t>
  </si>
  <si>
    <t>C5 x 0.75%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</si>
  <si>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</si>
  <si>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</si>
  <si>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</si>
  <si>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</si>
  <si>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</si>
  <si>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</si>
  <si>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</si>
  <si>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</si>
  <si>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</si>
  <si>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</si>
  <si>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</si>
  <si>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</si>
  <si>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</si>
  <si>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</si>
  <si>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</si>
  <si>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</si>
  <si>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</si>
  <si>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</si>
  <si>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</si>
  <si>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</si>
  <si>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</si>
  <si>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</si>
  <si>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</si>
  <si>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</si>
  <si>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</si>
  <si>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</si>
  <si>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</si>
  <si>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</si>
  <si>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</si>
  <si>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</si>
  <si>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</si>
  <si>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</si>
  <si>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</si>
  <si>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</si>
  <si>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</si>
  <si>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_new vision</t>
  </si>
  <si>
    <t>_glencoe</t>
  </si>
  <si>
    <t>_isl</t>
  </si>
  <si>
    <t>_avoyelles charter</t>
  </si>
  <si>
    <t>_delhi</t>
  </si>
  <si>
    <t>_belle chasse</t>
  </si>
  <si>
    <t>_MAX</t>
  </si>
  <si>
    <t>_madison prep</t>
  </si>
  <si>
    <t>_darbonne woods</t>
  </si>
  <si>
    <t>_vibe</t>
  </si>
  <si>
    <t>_nomma</t>
  </si>
  <si>
    <t>_lfno</t>
  </si>
  <si>
    <t>_lake charles</t>
  </si>
  <si>
    <t>_js clark</t>
  </si>
  <si>
    <t>_southwest la</t>
  </si>
  <si>
    <t>_la key</t>
  </si>
  <si>
    <t>_jcfa east</t>
  </si>
  <si>
    <t>_geo mid-city</t>
  </si>
  <si>
    <t>_delta</t>
  </si>
  <si>
    <t>_impact</t>
  </si>
  <si>
    <t>_advantage</t>
  </si>
  <si>
    <t>_iberville</t>
  </si>
  <si>
    <t>_lake charles prep</t>
  </si>
  <si>
    <t>_northeast claiborne</t>
  </si>
  <si>
    <t>_acadiana ren</t>
  </si>
  <si>
    <t>_lafayette ren</t>
  </si>
  <si>
    <t>_willow</t>
  </si>
  <si>
    <t>_geo</t>
  </si>
  <si>
    <t>_lincoln prep</t>
  </si>
  <si>
    <t>_greater grace</t>
  </si>
  <si>
    <t>_noble minds</t>
  </si>
  <si>
    <t>_jcfa lafayette</t>
  </si>
  <si>
    <t>_collegiate ebr</t>
  </si>
  <si>
    <t>_br university</t>
  </si>
  <si>
    <t>_New Harmony</t>
  </si>
  <si>
    <t>_Athlos Jefferson</t>
  </si>
  <si>
    <t>_lavca</t>
  </si>
  <si>
    <t>_University View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</si>
  <si>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</si>
  <si>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</si>
  <si>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</si>
  <si>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t>N/A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</si>
  <si>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</si>
  <si>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</si>
  <si>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</si>
  <si>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Tab Order</t>
  </si>
  <si>
    <t>T5C1AI, C16</t>
  </si>
  <si>
    <t>T5C1AJ, C16</t>
  </si>
  <si>
    <t>Linwood Public Charter School</t>
  </si>
  <si>
    <t>2017
Total Assessed
Property Value</t>
  </si>
  <si>
    <t>2017
Assessed
Homestead
Exemption</t>
  </si>
  <si>
    <t>2017
Net Assessed
Taxable Property</t>
  </si>
  <si>
    <t>2017
Net Assessed
Taxable Property
With Cap Of</t>
  </si>
  <si>
    <t>2017 Assessed Property Value</t>
  </si>
  <si>
    <t>Ad Valorem
Constitutional Tax</t>
  </si>
  <si>
    <t>FY2019-20
Total MFP
Allocation
- State Cost
Allocations to
Other Public
Schools</t>
  </si>
  <si>
    <t>October
2019
Mid-Year
Adjustment
for Students</t>
  </si>
  <si>
    <t>February
2020
Mid-Year
Adjustment
for Students</t>
  </si>
  <si>
    <t>FY2019-20
Total MFP
Allocation
- State Cost
Allocations to
Other Public
Schools
+/- Adjustments</t>
  </si>
  <si>
    <t>FY2019-20
Total MFP
Allocation
- State Cost
Allocations to
Other Public
Schools
+/- Adjustments
+ Monthly Level 4</t>
  </si>
  <si>
    <t>FY2019-20
Total MFP
Allocation
- State Cost
Allocations to
Other Public
Schools
+/- Adjustments
+ Total Level 4
Funds</t>
  </si>
  <si>
    <t>Per SIS
2-1-19</t>
  </si>
  <si>
    <t>(Per LEADS
10-1-18)</t>
  </si>
  <si>
    <t>(Per SER
2-1-19)</t>
  </si>
  <si>
    <t>Feb. 1, 2019
MFP Funded
Membership</t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</si>
  <si>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</si>
  <si>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Feb. 1, 2019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</si>
  <si>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2-1-19)</t>
    </r>
  </si>
  <si>
    <r>
      <t xml:space="preserve">Student Count
</t>
    </r>
    <r>
      <rPr>
        <sz val="10"/>
        <color indexed="18"/>
        <rFont val="Arial"/>
        <family val="2"/>
      </rPr>
      <t>(Per LEADS
10-1-18)</t>
    </r>
  </si>
  <si>
    <r>
      <t xml:space="preserve">Student Count
</t>
    </r>
    <r>
      <rPr>
        <sz val="10"/>
        <color indexed="18"/>
        <rFont val="Arial"/>
        <family val="2"/>
      </rPr>
      <t>(Per SER
2-1-19)</t>
    </r>
  </si>
  <si>
    <t>Feb. 1, 2019
MFP 
Funded
Membership</t>
  </si>
  <si>
    <t>Feb. 1, 2019
MFP
Funded
Membership 
+ 
OJJ ADM</t>
  </si>
  <si>
    <t>Change in
Funded
Student
Count Per
Oct. 2019
Mid-Year
Adjustment</t>
  </si>
  <si>
    <t>October
2019
Mid-Year
Adjustment</t>
  </si>
  <si>
    <t>Change in
Funded
Student
Count Per
Feb. 2020
Mid-Year
Adjustment</t>
  </si>
  <si>
    <r>
      <t xml:space="preserve">February
2020
Mid-Year
Adjustment
</t>
    </r>
    <r>
      <rPr>
        <sz val="10"/>
        <color indexed="18"/>
        <rFont val="Arial"/>
        <family val="2"/>
      </rPr>
      <t xml:space="preserve">
(Half the
Per Pupil)</t>
    </r>
  </si>
  <si>
    <r>
      <t xml:space="preserve">February
2020
Mid-Year
Adjustment
</t>
    </r>
    <r>
      <rPr>
        <sz val="10"/>
        <color indexed="18"/>
        <rFont val="Arial"/>
        <family val="2"/>
      </rPr>
      <t>(Half the
Per Pupil)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</si>
  <si>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</si>
  <si>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FY2017-18
Computed
Sales
Tax Base
with Growth
Cap of 15%</t>
  </si>
  <si>
    <t>2017
Net Assessed
Taxable
Property
with Growth
Cap of 10%</t>
  </si>
  <si>
    <r>
      <t xml:space="preserve">FY2019-20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</si>
  <si>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Finalized
State Cost
Allocation
&amp; Mid-Year
Adjustment
for Students</t>
  </si>
  <si>
    <t>Finalized
State Cost
Allocation
Using
Oct. 1, 2019
SIS Data</t>
  </si>
  <si>
    <r>
      <t xml:space="preserve">Oct. 1, 2019
MFP Funded
Membership
</t>
    </r>
    <r>
      <rPr>
        <sz val="10"/>
        <color indexed="18"/>
        <rFont val="Arial"/>
        <family val="2"/>
      </rPr>
      <t>(Per SIS)</t>
    </r>
  </si>
  <si>
    <t>_Red River</t>
  </si>
  <si>
    <t>Athlos Academy</t>
  </si>
  <si>
    <t>T5C1AK, C43</t>
  </si>
  <si>
    <t>T5C1AL, C43</t>
  </si>
  <si>
    <t>T5C1AK, C49</t>
  </si>
  <si>
    <t>T5C1AL, C49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</si>
  <si>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</si>
  <si>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</si>
  <si>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</si>
  <si>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</si>
  <si>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</si>
  <si>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</si>
  <si>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</si>
  <si>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</si>
  <si>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</si>
  <si>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</si>
  <si>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</si>
  <si>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</si>
  <si>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</si>
  <si>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</si>
  <si>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</si>
  <si>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</si>
  <si>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</si>
  <si>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</si>
  <si>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</si>
  <si>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</si>
  <si>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</si>
  <si>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</si>
  <si>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</si>
  <si>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</si>
  <si>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Greater
Grace
Charter
Academy
W37001</t>
  </si>
  <si>
    <t>Noble
Minds
W18001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</si>
  <si>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</si>
  <si>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</si>
  <si>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</si>
  <si>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</si>
  <si>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</si>
  <si>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</si>
  <si>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</si>
  <si>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</si>
  <si>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FY2019-20 Weighted State Cost Allocation Per Pupils
Types 1, 2, 3, 3B, and 4 Charter Schools</t>
  </si>
  <si>
    <t>FY2019-20 Unweighted State Cost Allocation Per Pupils
Types 1, 2, 3, 3B, and 4 Charter Schools</t>
  </si>
  <si>
    <t>FY2019-20
State Cost
Allocation 
of Level 1</t>
  </si>
  <si>
    <t>Feb. 1, 2019
Student
Count</t>
  </si>
  <si>
    <t>Oct. 1, 2018
Student
Count</t>
  </si>
  <si>
    <t>FY2019-20
State Cost
Allocation 
Of Level 1</t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</si>
  <si>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</si>
  <si>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</si>
  <si>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</si>
  <si>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</si>
  <si>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</si>
  <si>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</si>
  <si>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</si>
  <si>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</si>
  <si>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</si>
  <si>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</si>
  <si>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</si>
  <si>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</si>
  <si>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</si>
  <si>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</si>
  <si>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</si>
  <si>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</si>
  <si>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</si>
  <si>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</si>
  <si>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</si>
  <si>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</si>
  <si>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C4 x $69.40</t>
  </si>
  <si>
    <t>C6 x $100</t>
  </si>
  <si>
    <t>T3A, C8</t>
  </si>
  <si>
    <t>T3A, C9</t>
  </si>
  <si>
    <t>C33 + C34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</si>
  <si>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</si>
  <si>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</si>
  <si>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</si>
  <si>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</si>
  <si>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</si>
  <si>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</si>
  <si>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</si>
  <si>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</si>
  <si>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</si>
  <si>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</si>
  <si>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</si>
  <si>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</si>
  <si>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Grand Total
Levels 1, 2 &amp; 3
State Cost Allocation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</si>
  <si>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</si>
  <si>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</si>
  <si>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</si>
  <si>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</si>
  <si>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</si>
  <si>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</si>
  <si>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</si>
  <si>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</si>
  <si>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</si>
  <si>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</si>
  <si>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</si>
  <si>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</si>
  <si>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</si>
  <si>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</si>
  <si>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</si>
  <si>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</si>
  <si>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</si>
  <si>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</si>
  <si>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</si>
  <si>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</si>
  <si>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</si>
  <si>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</si>
  <si>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</si>
  <si>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</si>
  <si>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</si>
  <si>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</si>
  <si>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</si>
  <si>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</si>
  <si>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</si>
  <si>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</si>
  <si>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</si>
  <si>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</si>
  <si>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</si>
  <si>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</si>
  <si>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</si>
  <si>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</si>
  <si>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</si>
  <si>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</si>
  <si>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T2, C54</t>
  </si>
  <si>
    <t>Capitol High School (RSD Operated)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</si>
  <si>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
(2017-2018 AFR)</t>
    </r>
  </si>
  <si>
    <r>
      <t xml:space="preserve">Prior Year
2016
Net Assessed
Taxable Property
</t>
    </r>
    <r>
      <rPr>
        <sz val="10"/>
        <color indexed="18"/>
        <rFont val="Arial"/>
        <family val="2"/>
      </rPr>
      <t>(Without cap)</t>
    </r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</si>
  <si>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</si>
  <si>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</si>
  <si>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</si>
  <si>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</si>
  <si>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</si>
  <si>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</si>
  <si>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</si>
  <si>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</si>
  <si>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t>2017-2018
Computed
Sales Tax
Base</t>
  </si>
  <si>
    <r>
      <t xml:space="preserve">Total
Sales Tax
Revenue
</t>
    </r>
    <r>
      <rPr>
        <sz val="10"/>
        <color indexed="20"/>
        <rFont val="Arial"/>
        <family val="2"/>
      </rPr>
      <t>(2017-2018)</t>
    </r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</si>
  <si>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</si>
  <si>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</si>
  <si>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</si>
  <si>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</si>
  <si>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</si>
  <si>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</si>
  <si>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</si>
  <si>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</si>
  <si>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</si>
  <si>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</si>
  <si>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</si>
  <si>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r>
      <t xml:space="preserve">Total
Ad Valorem
Revenue
Including Debt
</t>
    </r>
    <r>
      <rPr>
        <sz val="10"/>
        <color indexed="20"/>
        <rFont val="Arial"/>
        <family val="2"/>
      </rPr>
      <t>(2017-2018)</t>
    </r>
  </si>
  <si>
    <t>Louisiana Tax Commission
Table 41</t>
  </si>
  <si>
    <t>Louisiana Tax Commission
Table 43</t>
  </si>
  <si>
    <t>Input (Louisiana Tax Commission Annual Report)</t>
  </si>
  <si>
    <r>
      <t xml:space="preserve">2017
Ad Valorem 
Tax Revenues
</t>
    </r>
    <r>
      <rPr>
        <sz val="10"/>
        <color indexed="18"/>
        <rFont val="Arial"/>
        <family val="2"/>
      </rPr>
      <t>(FY2017-18 AFR)</t>
    </r>
  </si>
  <si>
    <r>
      <t xml:space="preserve">FY2017-18
Sales Tax Revenue
</t>
    </r>
    <r>
      <rPr>
        <sz val="10"/>
        <color indexed="18"/>
        <rFont val="Arial"/>
        <family val="2"/>
      </rPr>
      <t>(FY2017-18 AFR)</t>
    </r>
  </si>
  <si>
    <t>Continuation
of Prior Year
Pay Raises
Per Pupil 
Amount</t>
  </si>
  <si>
    <t>Career Development Fund</t>
  </si>
  <si>
    <t>2.1.19 Student Counts
RSD Operated &amp; Type 5 Charter Schools</t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</si>
  <si>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</si>
  <si>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</si>
  <si>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</si>
  <si>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C2 x 14.93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</si>
  <si>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Prior Year
2016-2017
Computed
Sales Tax Base
</t>
    </r>
    <r>
      <rPr>
        <sz val="10"/>
        <color rgb="FF000080"/>
        <rFont val="Arial"/>
        <family val="2"/>
      </rPr>
      <t>(Without Cap)</t>
    </r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</si>
  <si>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</si>
  <si>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</si>
  <si>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</si>
  <si>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</si>
  <si>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</si>
  <si>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</si>
  <si>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</si>
  <si>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</si>
  <si>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</si>
  <si>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r>
      <t xml:space="preserve">Grades
7 - 12
</t>
    </r>
    <r>
      <rPr>
        <sz val="10"/>
        <color indexed="18"/>
        <rFont val="Arial"/>
        <family val="2"/>
      </rPr>
      <t>2.1.19 SIS</t>
    </r>
  </si>
  <si>
    <r>
      <t>Qualifying
Second and 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2020 Data)</t>
    </r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</si>
  <si>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</si>
  <si>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</si>
  <si>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</si>
  <si>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_Next Gen</t>
  </si>
  <si>
    <t>C10 + C11
T4, C2 + T4, C14</t>
  </si>
  <si>
    <t>C12
T4, C7 + T4, C9 + T4, C10</t>
  </si>
  <si>
    <t>*City/Parish
MFP
Membership</t>
  </si>
  <si>
    <t>*Includes student counts from closed Type 2 Charter Schools as a placeholder</t>
  </si>
  <si>
    <t>Level 4
Monthly
Funds</t>
  </si>
  <si>
    <t>Level 4
Annual
Allocation</t>
  </si>
  <si>
    <t>Stipends
 for Foreign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</si>
  <si>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</si>
  <si>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</si>
  <si>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</si>
  <si>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</si>
  <si>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</si>
  <si>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</si>
  <si>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</si>
  <si>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</si>
  <si>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</si>
  <si>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</si>
  <si>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</si>
  <si>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</si>
  <si>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</si>
  <si>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State Approved Schools</t>
  </si>
  <si>
    <t>City/Parish</t>
  </si>
  <si>
    <t>Sum(C2:C33)</t>
  </si>
  <si>
    <t>C1 + C34 OR
Sum(C1:C33)</t>
  </si>
  <si>
    <r>
      <t xml:space="preserve">C35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</si>
  <si>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IF C38 &gt; 0,C38</t>
  </si>
  <si>
    <t>IF C38 &lt; 0,C38</t>
  </si>
  <si>
    <t>C41 + C42</t>
  </si>
  <si>
    <t>C35 + C37 + C38 + C43</t>
  </si>
  <si>
    <t>C44 + C45 + C46</t>
  </si>
  <si>
    <t>Prior Month File:
(C48 + C50)</t>
  </si>
  <si>
    <t>C47 - C48</t>
  </si>
  <si>
    <t>C47 + C51 + C52 + C53</t>
  </si>
  <si>
    <t>Sum(C2:C36)</t>
  </si>
  <si>
    <t>C1 + C37 OR
Sum(C1:C36)</t>
  </si>
  <si>
    <t>T2, C50</t>
  </si>
  <si>
    <t>C1 + C37</t>
  </si>
  <si>
    <t>Sum(C40:C73)</t>
  </si>
  <si>
    <t>C38 + C39 + C74</t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</si>
  <si>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</si>
  <si>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and
FY2018-19)</t>
    </r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</si>
  <si>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FY2017-18
and
FY2018-19)</t>
    </r>
  </si>
  <si>
    <t>T5B2, C37</t>
  </si>
  <si>
    <r>
      <t xml:space="preserve">Qualifying
Teachers
As of 2.1.19
</t>
    </r>
    <r>
      <rPr>
        <sz val="10"/>
        <color indexed="18"/>
        <rFont val="Arial"/>
        <family val="2"/>
      </rPr>
      <t>(Includes
Escadrille)</t>
    </r>
  </si>
  <si>
    <t>Prior Year
Feb. 1 Count</t>
  </si>
  <si>
    <r>
      <t xml:space="preserve">FY2019-20
Local Revenue Representation Per Pupil
</t>
    </r>
    <r>
      <rPr>
        <sz val="10"/>
        <color indexed="18"/>
        <rFont val="Arial"/>
        <family val="2"/>
      </rPr>
      <t>(per charter law)</t>
    </r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</si>
  <si>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</si>
  <si>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C49 ÷ Months
Remaining</t>
  </si>
  <si>
    <t>Recovery 
School 
District</t>
  </si>
  <si>
    <t>T5B2, C36</t>
  </si>
  <si>
    <t>Qualifying
First Year
Teachers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</si>
  <si>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 District Building)</t>
    </r>
  </si>
  <si>
    <t>GEO
Next
Generation</t>
  </si>
  <si>
    <t>Red
River
Charter</t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</si>
  <si>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</si>
  <si>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</si>
  <si>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</si>
  <si>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r>
      <t xml:space="preserve">Final
FY2019-20
Local Revenue
Representation
Per Pupil
</t>
    </r>
    <r>
      <rPr>
        <sz val="10"/>
        <color indexed="18"/>
        <rFont val="Arial"/>
        <family val="2"/>
      </rPr>
      <t>(per charter law)
In a District
Building</t>
    </r>
  </si>
  <si>
    <t>Redesign Dalton Charter School</t>
  </si>
  <si>
    <t>Redesign Lanier Charter School</t>
  </si>
  <si>
    <t>Redesign Glen Oaks</t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</si>
  <si>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FY2018-19 </t>
    </r>
    <r>
      <rPr>
        <b/>
        <sz val="10"/>
        <color indexed="18"/>
        <rFont val="Arial"/>
        <family val="2"/>
      </rPr>
      <t>Average Daily Membership (ADM)</t>
    </r>
  </si>
  <si>
    <t>ADM for
Youth in
Secure
Care</t>
  </si>
  <si>
    <t>Grades
9 - 12
10.1.19 SIS</t>
  </si>
  <si>
    <t>Number of
Qualifying
Courses</t>
  </si>
  <si>
    <t>Oct. 2019</t>
  </si>
  <si>
    <r>
      <t xml:space="preserve">FY2019-20 </t>
    </r>
    <r>
      <rPr>
        <b/>
        <sz val="10"/>
        <color rgb="FFFF0000"/>
        <rFont val="Arial"/>
        <family val="2"/>
      </rPr>
      <t>Final</t>
    </r>
    <r>
      <rPr>
        <b/>
        <sz val="10"/>
        <color rgb="FF000080"/>
        <rFont val="Arial"/>
        <family val="2"/>
      </rPr>
      <t xml:space="preserve"> Local Revenue Representation Per Pupils</t>
    </r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</si>
  <si>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Finial
FY2019-20
Local Revenue
Representation)</t>
    </r>
  </si>
  <si>
    <t>March 2020
Payment
Amount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</si>
  <si>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</si>
  <si>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t>March Only: Local Revenue Representation Admin. Fee Payable to DOE (.25%)</t>
  </si>
  <si>
    <r>
      <rPr>
        <b/>
        <sz val="10"/>
        <color rgb="FFFF0000"/>
        <rFont val="Arial"/>
        <family val="2"/>
      </rPr>
      <t>March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</si>
  <si>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t>FY2019-20 MFP Budget Letter_March 2020_To Create Web Version</t>
  </si>
  <si>
    <t>Z:\users\321001_new vision\Budget Letter\321001FY2019-20 MFP Budget Letter_March 2020_To Create Web Version</t>
  </si>
  <si>
    <t>Z:\users\340001_MAX\Budget Letter\340001FY2019-20 MFP Budget Letter_March 2020_To Create Web Version</t>
  </si>
  <si>
    <t>Z:\users\337001_belle chasse\Budget Letter\337001FY2019-20 MFP Budget Letter_March 2020_To Create Web Version</t>
  </si>
  <si>
    <t>Z:\users\336001_delhi\Budget Letter\336001FY2019-20 MFP Budget Letter_March 2020_To Create Web Version</t>
  </si>
  <si>
    <t>Z:\users\333001_avoyelles charter\Budget Letter\333001FY2019-20 MFP Budget Letter_March 2020_To Create Web Version</t>
  </si>
  <si>
    <t>Z:\users\331001_isl\Budget Letter\331001FY2019-20 MFP Budget Letter_March 2020_To Create Web Version</t>
  </si>
  <si>
    <t>Z:\users\329001_glencoe\Budget Letter\329001FY2019-20 MFP Budget Letter_March 2020_To Create Web Version</t>
  </si>
  <si>
    <t>Z:\users\343001_madison prep\Budget Letter\343001FY2019-20 MFP Budget Letter_March 2020_To Create Web Version</t>
  </si>
  <si>
    <t>Z:\users\WBY001_Red River\Budget Letter\WBY001FY2019-20 MFP Budget Letter_March 2020_To Create Web Version</t>
  </si>
  <si>
    <t>Z:\users\WBX001_Next Gen\Budget Letter\WBX001FY2019-20 MFP Budget Letter_March 2020_To Create Web Version</t>
  </si>
  <si>
    <t>Z:\users\WBR001_Athlos Jefferson\Budget Letter\WBR001FY2019-20 MFP Budget Letter_March 2020_To Create Web Version</t>
  </si>
  <si>
    <t>Z:\users\WBQ001_New Harmony\Budget Letter\WBQ001FY2019-20 MFP Budget Letter_March 2020_To Create Web Version</t>
  </si>
  <si>
    <t>Z:\users\WAQ001_br university\Budget Letter\WAQ001FY2019-20 MFP Budget Letter_March 2020_To Create Web Version</t>
  </si>
  <si>
    <t>Z:\users\WJ5001_collegiate ebr\Budget Letter\WJ5001FY2019-20 MFP Budget Letter_March 2020_To Create Web Version</t>
  </si>
  <si>
    <t>Z:\users\W1D001_jcfa lafayette\Budget Letter\W1D001FY2019-20 MFP Budget Letter_March 2020_To Create Web Version</t>
  </si>
  <si>
    <t>Z:\users\W18001_noble minds\Budget Letter\W18001FY2019-20 MFP Budget Letter_March 2020_To Create Web Version</t>
  </si>
  <si>
    <t>Z:\users\W37001_greater grace\Budget Letter\W37001FY2019-20 MFP Budget Letter_March 2020_To Create Web Version</t>
  </si>
  <si>
    <t>Z:\users\W33001_lincoln prep\Budget Letter\W33001FY2019-20 MFP Budget Letter_March 2020_To Create Web Version</t>
  </si>
  <si>
    <t>Z:\users\WAU001_geo\Budget Letter\WAU001FY2019-20 MFP Budget Letter_March 2020_To Create Web Version</t>
  </si>
  <si>
    <t>Z:\users\W2B001_willow\Budget Letter\W2B001FY2019-20 MFP Budget Letter_March 2020_To Create Web Version</t>
  </si>
  <si>
    <t>Z:\users\W7B001_lafayette ren\Budget Letter\W7B001FY2019-20 MFP Budget Letter_March 2020_To Create Web Version</t>
  </si>
  <si>
    <t>Z:\users\W6B001_acadiana ren\Budget Letter\W6B001FY2019-20 MFP Budget Letter_March 2020_To Create Web Version</t>
  </si>
  <si>
    <t>Z:\users\W5B001_northeast claiborne\Budget Letter\W5B001FY2019-20 MFP Budget Letter_March 2020_To Create Web Version</t>
  </si>
  <si>
    <t>Z:\users\W4B001_lake charles prep\Budget Letter\W4B001FY2019-20 MFP Budget Letter_March 2020_To Create Web Version</t>
  </si>
  <si>
    <t>Z:\users\W3B001_iberville\Budget Letter\W3B001FY2019-20 MFP Budget Letter_March 2020_To Create Web Version</t>
  </si>
  <si>
    <t>Z:\users\W1B001_advantage\Budget Letter\W1B001FY2019-20 MFP Budget Letter_March 2020_To Create Web Version</t>
  </si>
  <si>
    <t>Z:\users\W8A001_impact\Budget Letter\W8A001FY2019-20 MFP Budget Letter_March 2020_To Create Web Version</t>
  </si>
  <si>
    <t>Z:\users\W4A001_delta\Budget Letter\W4A001FY2019-20 MFP Budget Letter_March 2020_To Create Web Version</t>
  </si>
  <si>
    <t>Z:\users\WZ8001_geo mid-city\Budget Letter\WZ8001FY2019-20 MFP Budget Letter_March 2020_To Create Web Version</t>
  </si>
  <si>
    <t>Z:\users\W1A001_jcfa east\Budget Letter\W1A001FY2019-20 MFP Budget Letter_March 2020_To Create Web Version</t>
  </si>
  <si>
    <t>Z:\users\W7A001_la key\Budget Letter\W7A001FY2019-20 MFP Budget Letter_March 2020_To Create Web Version</t>
  </si>
  <si>
    <t>Z:\users\WAK001_southwest la\Budget Letter\WAK001FY2019-20 MFP Budget Letter_March 2020_To Create Web Version</t>
  </si>
  <si>
    <t>Z:\users\WAL001_js clark\Budget Letter\WAL001FY2019-20 MFP Budget Letter_March 2020_To Create Web Version</t>
  </si>
  <si>
    <t>Z:\users\346001_lake charles\Budget Letter\346001FY2019-20 MFP Budget Letter_March 2020_To Create Web Version</t>
  </si>
  <si>
    <t>Z:\users\347001_lfno\Budget Letter\347001FY2019-20 MFP Budget Letter_March 2020_To Create Web Version</t>
  </si>
  <si>
    <t>Z:\users\348001_nomma\Budget Letter\348001FY2019-20 MFP Budget Letter_March 2020_To Create Web Version</t>
  </si>
  <si>
    <t>Z:\users\344001_vibe\Budget Letter\344001FY2019-20 MFP Budget Letter_March 2020_To Create Web Version</t>
  </si>
  <si>
    <t>Z:\users\341001_darbonne woods\Budget Letter\341001FY2019-20 MFP Budget Letter_March 2020_To Create Web Version</t>
  </si>
  <si>
    <t>Z:\users\WAG001_lavca\Budget Letter\WAG001FY2019-20 MFP Budget Letter_March 2020_To Create Web Version</t>
  </si>
  <si>
    <t>Z:\users\345001_University View\Budget Letter\345001FY2019-20 MFP Budget Letter_March 2020_To Create Web Version</t>
  </si>
  <si>
    <t>Final
Funding
for SCA</t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</si>
  <si>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000080"/>
        <rFont val="Arial"/>
        <family val="2"/>
      </rPr>
      <t>(Not Applicable for FY2019-20)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</si>
</sst>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0_);[Red]\(0\)"/>
    <numFmt numFmtId="170" formatCode="#,##0.0"/>
    <numFmt numFmtId="171" formatCode="0.0%"/>
    <numFmt numFmtId="172" formatCode="&quot;$&quot;#,##0.00000"/>
    <numFmt numFmtId="173" formatCode="&quot;$&quot;#,##0.000000"/>
    <numFmt numFmtId="174" formatCode="#,##0.0_);[Red]\(#,##0.0\)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Arial"/>
      <family val="2"/>
    </font>
    <font>
      <sz val="14"/>
      <name val="Arial Narrow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59999389629810485"/>
        <bgColor indexed="0"/>
      </patternFill>
    </fill>
  </fills>
  <borders count="3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</borders>
  <cellStyleXfs count="47847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" applyNumberFormat="0" applyAlignment="0" applyProtection="0"/>
    <xf numFmtId="0" fontId="46" fillId="21" borderId="2" applyNumberFormat="0" applyAlignment="0" applyProtection="0"/>
    <xf numFmtId="43" fontId="23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7" borderId="1" applyNumberFormat="0" applyAlignment="0" applyProtection="0"/>
    <xf numFmtId="0" fontId="53" fillId="0" borderId="6" applyNumberFormat="0" applyFill="0" applyAlignment="0" applyProtection="0"/>
    <xf numFmtId="0" fontId="54" fillId="22" borderId="0" applyNumberFormat="0" applyBorder="0" applyAlignment="0" applyProtection="0"/>
    <xf numFmtId="0" fontId="25" fillId="0" borderId="0"/>
    <xf numFmtId="0" fontId="34" fillId="0" borderId="0"/>
    <xf numFmtId="0" fontId="25" fillId="23" borderId="7" applyNumberFormat="0" applyFont="0" applyAlignment="0" applyProtection="0"/>
    <xf numFmtId="0" fontId="55" fillId="20" borderId="8" applyNumberFormat="0" applyAlignment="0" applyProtection="0"/>
    <xf numFmtId="9" fontId="23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8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4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68" fillId="0" borderId="0"/>
    <xf numFmtId="43" fontId="16" fillId="0" borderId="0" applyFont="0" applyFill="0" applyBorder="0" applyAlignment="0" applyProtection="0"/>
    <xf numFmtId="0" fontId="52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45" fillId="20" borderId="49" applyNumberFormat="0" applyAlignment="0" applyProtection="0"/>
    <xf numFmtId="0" fontId="57" fillId="0" borderId="60" applyNumberFormat="0" applyFill="0" applyAlignment="0" applyProtection="0"/>
    <xf numFmtId="0" fontId="45" fillId="20" borderId="63" applyNumberFormat="0" applyAlignment="0" applyProtection="0"/>
    <xf numFmtId="0" fontId="55" fillId="20" borderId="89" applyNumberFormat="0" applyAlignment="0" applyProtection="0"/>
    <xf numFmtId="0" fontId="55" fillId="20" borderId="85" applyNumberFormat="0" applyAlignment="0" applyProtection="0"/>
    <xf numFmtId="0" fontId="45" fillId="20" borderId="71" applyNumberFormat="0" applyAlignment="0" applyProtection="0"/>
    <xf numFmtId="0" fontId="52" fillId="7" borderId="53" applyNumberFormat="0" applyAlignment="0" applyProtection="0"/>
    <xf numFmtId="0" fontId="23" fillId="23" borderId="64" applyNumberFormat="0" applyFont="0" applyAlignment="0" applyProtection="0"/>
    <xf numFmtId="0" fontId="55" fillId="20" borderId="73" applyNumberFormat="0" applyAlignment="0" applyProtection="0"/>
    <xf numFmtId="0" fontId="23" fillId="23" borderId="54" applyNumberFormat="0" applyFont="0" applyAlignment="0" applyProtection="0"/>
    <xf numFmtId="0" fontId="55" fillId="20" borderId="55" applyNumberFormat="0" applyAlignment="0" applyProtection="0"/>
    <xf numFmtId="0" fontId="45" fillId="20" borderId="42" applyNumberFormat="0" applyAlignment="0" applyProtection="0"/>
    <xf numFmtId="0" fontId="57" fillId="0" borderId="56" applyNumberFormat="0" applyFill="0" applyAlignment="0" applyProtection="0"/>
    <xf numFmtId="0" fontId="45" fillId="20" borderId="75" applyNumberFormat="0" applyAlignment="0" applyProtection="0"/>
    <xf numFmtId="0" fontId="57" fillId="0" borderId="66" applyNumberFormat="0" applyFill="0" applyAlignment="0" applyProtection="0"/>
    <xf numFmtId="43" fontId="23" fillId="0" borderId="0" applyFont="0" applyFill="0" applyBorder="0" applyAlignment="0" applyProtection="0"/>
    <xf numFmtId="0" fontId="55" fillId="20" borderId="59" applyNumberFormat="0" applyAlignment="0" applyProtection="0"/>
    <xf numFmtId="0" fontId="52" fillId="7" borderId="42" applyNumberFormat="0" applyAlignment="0" applyProtection="0"/>
    <xf numFmtId="0" fontId="23" fillId="23" borderId="43" applyNumberFormat="0" applyFont="0" applyAlignment="0" applyProtection="0"/>
    <xf numFmtId="0" fontId="55" fillId="20" borderId="44" applyNumberFormat="0" applyAlignment="0" applyProtection="0"/>
    <xf numFmtId="0" fontId="57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2" fillId="7" borderId="49" applyNumberFormat="0" applyAlignment="0" applyProtection="0"/>
    <xf numFmtId="0" fontId="45" fillId="20" borderId="57" applyNumberFormat="0" applyAlignment="0" applyProtection="0"/>
    <xf numFmtId="0" fontId="55" fillId="20" borderId="69" applyNumberFormat="0" applyAlignment="0" applyProtection="0"/>
    <xf numFmtId="0" fontId="52" fillId="7" borderId="75" applyNumberFormat="0" applyAlignment="0" applyProtection="0"/>
    <xf numFmtId="0" fontId="23" fillId="23" borderId="50" applyNumberFormat="0" applyFont="0" applyAlignment="0" applyProtection="0"/>
    <xf numFmtId="0" fontId="55" fillId="20" borderId="51" applyNumberFormat="0" applyAlignment="0" applyProtection="0"/>
    <xf numFmtId="0" fontId="57" fillId="0" borderId="52" applyNumberFormat="0" applyFill="0" applyAlignment="0" applyProtection="0"/>
    <xf numFmtId="0" fontId="57" fillId="0" borderId="70" applyNumberFormat="0" applyFill="0" applyAlignment="0" applyProtection="0"/>
    <xf numFmtId="0" fontId="55" fillId="20" borderId="65" applyNumberFormat="0" applyAlignment="0" applyProtection="0"/>
    <xf numFmtId="0" fontId="45" fillId="20" borderId="87" applyNumberFormat="0" applyAlignment="0" applyProtection="0"/>
    <xf numFmtId="0" fontId="52" fillId="7" borderId="57" applyNumberFormat="0" applyAlignment="0" applyProtection="0"/>
    <xf numFmtId="0" fontId="57" fillId="0" borderId="78" applyNumberFormat="0" applyFill="0" applyAlignment="0" applyProtection="0"/>
    <xf numFmtId="0" fontId="45" fillId="20" borderId="53" applyNumberFormat="0" applyAlignment="0" applyProtection="0"/>
    <xf numFmtId="0" fontId="52" fillId="7" borderId="71" applyNumberFormat="0" applyAlignment="0" applyProtection="0"/>
    <xf numFmtId="0" fontId="55" fillId="20" borderId="77" applyNumberFormat="0" applyAlignment="0" applyProtection="0"/>
    <xf numFmtId="0" fontId="45" fillId="20" borderId="79" applyNumberFormat="0" applyAlignment="0" applyProtection="0"/>
    <xf numFmtId="0" fontId="45" fillId="20" borderId="67" applyNumberFormat="0" applyAlignment="0" applyProtection="0"/>
    <xf numFmtId="0" fontId="52" fillId="7" borderId="83" applyNumberFormat="0" applyAlignment="0" applyProtection="0"/>
    <xf numFmtId="0" fontId="52" fillId="7" borderId="67" applyNumberFormat="0" applyAlignment="0" applyProtection="0"/>
    <xf numFmtId="0" fontId="57" fillId="0" borderId="98" applyNumberFormat="0" applyFill="0" applyAlignment="0" applyProtection="0"/>
    <xf numFmtId="0" fontId="57" fillId="0" borderId="86" applyNumberFormat="0" applyFill="0" applyAlignment="0" applyProtection="0"/>
    <xf numFmtId="0" fontId="23" fillId="23" borderId="72" applyNumberFormat="0" applyFont="0" applyAlignment="0" applyProtection="0"/>
    <xf numFmtId="0" fontId="57" fillId="0" borderId="74" applyNumberFormat="0" applyFill="0" applyAlignment="0" applyProtection="0"/>
    <xf numFmtId="0" fontId="45" fillId="20" borderId="91" applyNumberFormat="0" applyAlignment="0" applyProtection="0"/>
    <xf numFmtId="0" fontId="23" fillId="23" borderId="96" applyNumberFormat="0" applyFont="0" applyAlignment="0" applyProtection="0"/>
    <xf numFmtId="0" fontId="52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55" fillId="20" borderId="81" applyNumberFormat="0" applyAlignment="0" applyProtection="0"/>
    <xf numFmtId="0" fontId="57" fillId="0" borderId="82" applyNumberFormat="0" applyFill="0" applyAlignment="0" applyProtection="0"/>
    <xf numFmtId="0" fontId="52" fillId="7" borderId="107" applyNumberFormat="0" applyAlignment="0" applyProtection="0"/>
    <xf numFmtId="0" fontId="52" fillId="7" borderId="87" applyNumberFormat="0" applyAlignment="0" applyProtection="0"/>
    <xf numFmtId="0" fontId="57" fillId="0" borderId="102" applyNumberFormat="0" applyFill="0" applyAlignment="0" applyProtection="0"/>
    <xf numFmtId="0" fontId="45" fillId="20" borderId="83" applyNumberFormat="0" applyAlignment="0" applyProtection="0"/>
    <xf numFmtId="0" fontId="23" fillId="23" borderId="88" applyNumberFormat="0" applyFont="0" applyAlignment="0" applyProtection="0"/>
    <xf numFmtId="0" fontId="57" fillId="0" borderId="90" applyNumberFormat="0" applyFill="0" applyAlignment="0" applyProtection="0"/>
    <xf numFmtId="0" fontId="55" fillId="20" borderId="97" applyNumberFormat="0" applyAlignment="0" applyProtection="0"/>
    <xf numFmtId="0" fontId="23" fillId="23" borderId="100" applyNumberFormat="0" applyFont="0" applyAlignment="0" applyProtection="0"/>
    <xf numFmtId="0" fontId="45" fillId="20" borderId="99" applyNumberFormat="0" applyAlignment="0" applyProtection="0"/>
    <xf numFmtId="0" fontId="52" fillId="7" borderId="91" applyNumberFormat="0" applyAlignment="0" applyProtection="0"/>
    <xf numFmtId="0" fontId="52" fillId="7" borderId="103" applyNumberFormat="0" applyAlignment="0" applyProtection="0"/>
    <xf numFmtId="0" fontId="23" fillId="23" borderId="92" applyNumberFormat="0" applyFont="0" applyAlignment="0" applyProtection="0"/>
    <xf numFmtId="0" fontId="55" fillId="20" borderId="93" applyNumberFormat="0" applyAlignment="0" applyProtection="0"/>
    <xf numFmtId="0" fontId="57" fillId="0" borderId="94" applyNumberFormat="0" applyFill="0" applyAlignment="0" applyProtection="0"/>
    <xf numFmtId="0" fontId="55" fillId="20" borderId="101" applyNumberFormat="0" applyAlignment="0" applyProtection="0"/>
    <xf numFmtId="0" fontId="45" fillId="20" borderId="95" applyNumberFormat="0" applyAlignment="0" applyProtection="0"/>
    <xf numFmtId="0" fontId="23" fillId="23" borderId="108" applyNumberFormat="0" applyFont="0" applyAlignment="0" applyProtection="0"/>
    <xf numFmtId="0" fontId="45" fillId="20" borderId="103" applyNumberFormat="0" applyAlignment="0" applyProtection="0"/>
    <xf numFmtId="0" fontId="57" fillId="0" borderId="110" applyNumberFormat="0" applyFill="0" applyAlignment="0" applyProtection="0"/>
    <xf numFmtId="0" fontId="55" fillId="20" borderId="109" applyNumberFormat="0" applyAlignment="0" applyProtection="0"/>
    <xf numFmtId="0" fontId="52" fillId="7" borderId="95" applyNumberFormat="0" applyAlignment="0" applyProtection="0"/>
    <xf numFmtId="0" fontId="57" fillId="0" borderId="106" applyNumberFormat="0" applyFill="0" applyAlignment="0" applyProtection="0"/>
    <xf numFmtId="0" fontId="52" fillId="7" borderId="99" applyNumberFormat="0" applyAlignment="0" applyProtection="0"/>
    <xf numFmtId="0" fontId="23" fillId="23" borderId="104" applyNumberFormat="0" applyFont="0" applyAlignment="0" applyProtection="0"/>
    <xf numFmtId="0" fontId="55" fillId="20" borderId="105" applyNumberFormat="0" applyAlignment="0" applyProtection="0"/>
    <xf numFmtId="0" fontId="45" fillId="20" borderId="107" applyNumberFormat="0" applyAlignment="0" applyProtection="0"/>
    <xf numFmtId="0" fontId="52" fillId="7" borderId="121" applyNumberFormat="0" applyAlignment="0" applyProtection="0"/>
    <xf numFmtId="0" fontId="55" fillId="20" borderId="119" applyNumberFormat="0" applyAlignment="0" applyProtection="0"/>
    <xf numFmtId="0" fontId="52" fillId="7" borderId="116" applyNumberFormat="0" applyAlignment="0" applyProtection="0"/>
    <xf numFmtId="0" fontId="45" fillId="20" borderId="112" applyNumberFormat="0" applyAlignment="0" applyProtection="0"/>
    <xf numFmtId="0" fontId="52" fillId="7" borderId="117" applyNumberFormat="0" applyAlignment="0" applyProtection="0"/>
    <xf numFmtId="0" fontId="52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55" fillId="20" borderId="114" applyNumberFormat="0" applyAlignment="0" applyProtection="0"/>
    <xf numFmtId="0" fontId="57" fillId="0" borderId="115" applyNumberFormat="0" applyFill="0" applyAlignment="0" applyProtection="0"/>
    <xf numFmtId="0" fontId="57" fillId="0" borderId="120" applyNumberFormat="0" applyFill="0" applyAlignment="0" applyProtection="0"/>
    <xf numFmtId="0" fontId="45" fillId="20" borderId="121" applyNumberFormat="0" applyAlignment="0" applyProtection="0"/>
    <xf numFmtId="0" fontId="45" fillId="20" borderId="116" applyNumberFormat="0" applyAlignment="0" applyProtection="0"/>
    <xf numFmtId="0" fontId="45" fillId="20" borderId="117" applyNumberFormat="0" applyAlignment="0" applyProtection="0"/>
    <xf numFmtId="0" fontId="23" fillId="23" borderId="122" applyNumberFormat="0" applyFont="0" applyAlignment="0" applyProtection="0"/>
    <xf numFmtId="0" fontId="55" fillId="20" borderId="123" applyNumberFormat="0" applyAlignment="0" applyProtection="0"/>
    <xf numFmtId="0" fontId="57" fillId="0" borderId="124" applyNumberFormat="0" applyFill="0" applyAlignment="0" applyProtection="0"/>
    <xf numFmtId="0" fontId="52" fillId="7" borderId="165" applyNumberFormat="0" applyAlignment="0" applyProtection="0"/>
    <xf numFmtId="0" fontId="55" fillId="20" borderId="139" applyNumberFormat="0" applyAlignment="0" applyProtection="0"/>
    <xf numFmtId="0" fontId="52" fillId="7" borderId="161" applyNumberFormat="0" applyAlignment="0" applyProtection="0"/>
    <xf numFmtId="0" fontId="23" fillId="23" borderId="138" applyNumberFormat="0" applyFont="0" applyAlignment="0" applyProtection="0"/>
    <xf numFmtId="0" fontId="57" fillId="0" borderId="175" applyNumberFormat="0" applyFill="0" applyAlignment="0" applyProtection="0"/>
    <xf numFmtId="0" fontId="23" fillId="23" borderId="130" applyNumberFormat="0" applyFont="0" applyAlignment="0" applyProtection="0"/>
    <xf numFmtId="0" fontId="57" fillId="0" borderId="156" applyNumberFormat="0" applyFill="0" applyAlignment="0" applyProtection="0"/>
    <xf numFmtId="0" fontId="52" fillId="7" borderId="129" applyNumberFormat="0" applyAlignment="0" applyProtection="0"/>
    <xf numFmtId="0" fontId="55" fillId="20" borderId="163" applyNumberFormat="0" applyAlignment="0" applyProtection="0"/>
    <xf numFmtId="0" fontId="45" fillId="20" borderId="161" applyNumberFormat="0" applyAlignment="0" applyProtection="0"/>
    <xf numFmtId="0" fontId="57" fillId="0" borderId="164" applyNumberFormat="0" applyFill="0" applyAlignment="0" applyProtection="0"/>
    <xf numFmtId="0" fontId="52" fillId="7" borderId="172" applyNumberFormat="0" applyAlignment="0" applyProtection="0"/>
    <xf numFmtId="0" fontId="52" fillId="7" borderId="149" applyNumberFormat="0" applyAlignment="0" applyProtection="0"/>
    <xf numFmtId="0" fontId="45" fillId="20" borderId="133" applyNumberFormat="0" applyAlignment="0" applyProtection="0"/>
    <xf numFmtId="0" fontId="55" fillId="20" borderId="147" applyNumberFormat="0" applyAlignment="0" applyProtection="0"/>
    <xf numFmtId="0" fontId="23" fillId="23" borderId="150" applyNumberFormat="0" applyFont="0" applyAlignment="0" applyProtection="0"/>
    <xf numFmtId="0" fontId="57" fillId="0" borderId="140" applyNumberFormat="0" applyFill="0" applyAlignment="0" applyProtection="0"/>
    <xf numFmtId="0" fontId="57" fillId="0" borderId="128" applyNumberFormat="0" applyFill="0" applyAlignment="0" applyProtection="0"/>
    <xf numFmtId="0" fontId="23" fillId="23" borderId="158" applyNumberFormat="0" applyFont="0" applyAlignment="0" applyProtection="0"/>
    <xf numFmtId="0" fontId="55" fillId="20" borderId="127" applyNumberFormat="0" applyAlignment="0" applyProtection="0"/>
    <xf numFmtId="0" fontId="23" fillId="23" borderId="126" applyNumberFormat="0" applyFont="0" applyAlignment="0" applyProtection="0"/>
    <xf numFmtId="0" fontId="52" fillId="7" borderId="137" applyNumberFormat="0" applyAlignment="0" applyProtection="0"/>
    <xf numFmtId="0" fontId="52" fillId="7" borderId="125" applyNumberFormat="0" applyAlignment="0" applyProtection="0"/>
    <xf numFmtId="0" fontId="23" fillId="23" borderId="173" applyNumberFormat="0" applyFont="0" applyAlignment="0" applyProtection="0"/>
    <xf numFmtId="0" fontId="57" fillId="0" borderId="148" applyNumberFormat="0" applyFill="0" applyAlignment="0" applyProtection="0"/>
    <xf numFmtId="0" fontId="23" fillId="23" borderId="146" applyNumberFormat="0" applyFont="0" applyAlignment="0" applyProtection="0"/>
    <xf numFmtId="0" fontId="55" fillId="20" borderId="155" applyNumberFormat="0" applyAlignment="0" applyProtection="0"/>
    <xf numFmtId="0" fontId="55" fillId="20" borderId="131" applyNumberFormat="0" applyAlignment="0" applyProtection="0"/>
    <xf numFmtId="0" fontId="45" fillId="20" borderId="125" applyNumberFormat="0" applyAlignment="0" applyProtection="0"/>
    <xf numFmtId="0" fontId="57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57" fillId="0" borderId="160" applyNumberFormat="0" applyFill="0" applyAlignment="0" applyProtection="0"/>
    <xf numFmtId="0" fontId="57" fillId="0" borderId="136" applyNumberFormat="0" applyFill="0" applyAlignment="0" applyProtection="0"/>
    <xf numFmtId="0" fontId="45" fillId="20" borderId="129" applyNumberFormat="0" applyAlignment="0" applyProtection="0"/>
    <xf numFmtId="0" fontId="45" fillId="20" borderId="149" applyNumberFormat="0" applyAlignment="0" applyProtection="0"/>
    <xf numFmtId="0" fontId="55" fillId="20" borderId="159" applyNumberFormat="0" applyAlignment="0" applyProtection="0"/>
    <xf numFmtId="0" fontId="52" fillId="7" borderId="141" applyNumberFormat="0" applyAlignment="0" applyProtection="0"/>
    <xf numFmtId="0" fontId="55" fillId="20" borderId="174" applyNumberFormat="0" applyAlignment="0" applyProtection="0"/>
    <xf numFmtId="0" fontId="52" fillId="7" borderId="133" applyNumberFormat="0" applyAlignment="0" applyProtection="0"/>
    <xf numFmtId="0" fontId="45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45" fillId="20" borderId="168" applyNumberFormat="0" applyAlignment="0" applyProtection="0"/>
    <xf numFmtId="0" fontId="45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45" fillId="20" borderId="137" applyNumberFormat="0" applyAlignment="0" applyProtection="0"/>
    <xf numFmtId="0" fontId="55" fillId="20" borderId="135" applyNumberFormat="0" applyAlignment="0" applyProtection="0"/>
    <xf numFmtId="0" fontId="45" fillId="20" borderId="172" applyNumberFormat="0" applyAlignment="0" applyProtection="0"/>
    <xf numFmtId="0" fontId="23" fillId="23" borderId="169" applyNumberFormat="0" applyFont="0" applyAlignment="0" applyProtection="0"/>
    <xf numFmtId="0" fontId="55" fillId="20" borderId="151" applyNumberFormat="0" applyAlignment="0" applyProtection="0"/>
    <xf numFmtId="0" fontId="52" fillId="7" borderId="157" applyNumberFormat="0" applyAlignment="0" applyProtection="0"/>
    <xf numFmtId="0" fontId="52" fillId="7" borderId="145" applyNumberFormat="0" applyAlignment="0" applyProtection="0"/>
    <xf numFmtId="0" fontId="52" fillId="7" borderId="153" applyNumberFormat="0" applyAlignment="0" applyProtection="0"/>
    <xf numFmtId="0" fontId="23" fillId="23" borderId="142" applyNumberFormat="0" applyFont="0" applyAlignment="0" applyProtection="0"/>
    <xf numFmtId="0" fontId="55" fillId="20" borderId="143" applyNumberFormat="0" applyAlignment="0" applyProtection="0"/>
    <xf numFmtId="0" fontId="57" fillId="0" borderId="144" applyNumberFormat="0" applyFill="0" applyAlignment="0" applyProtection="0"/>
    <xf numFmtId="0" fontId="23" fillId="23" borderId="162" applyNumberFormat="0" applyFont="0" applyAlignment="0" applyProtection="0"/>
    <xf numFmtId="0" fontId="45" fillId="20" borderId="157" applyNumberFormat="0" applyAlignment="0" applyProtection="0"/>
    <xf numFmtId="0" fontId="52" fillId="7" borderId="168" applyNumberFormat="0" applyAlignment="0" applyProtection="0"/>
    <xf numFmtId="0" fontId="57" fillId="0" borderId="167" applyNumberFormat="0" applyFill="0" applyAlignment="0" applyProtection="0"/>
    <xf numFmtId="0" fontId="45" fillId="20" borderId="153" applyNumberFormat="0" applyAlignment="0" applyProtection="0"/>
    <xf numFmtId="0" fontId="45" fillId="20" borderId="165" applyNumberFormat="0" applyAlignment="0" applyProtection="0"/>
    <xf numFmtId="0" fontId="57" fillId="0" borderId="152" applyNumberFormat="0" applyFill="0" applyAlignment="0" applyProtection="0"/>
    <xf numFmtId="0" fontId="55" fillId="20" borderId="170" applyNumberFormat="0" applyAlignment="0" applyProtection="0"/>
    <xf numFmtId="0" fontId="23" fillId="23" borderId="166" applyNumberFormat="0" applyFont="0" applyAlignment="0" applyProtection="0"/>
    <xf numFmtId="0" fontId="57" fillId="0" borderId="171" applyNumberFormat="0" applyFill="0" applyAlignment="0" applyProtection="0"/>
    <xf numFmtId="0" fontId="15" fillId="0" borderId="0"/>
    <xf numFmtId="0" fontId="23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72" applyNumberFormat="0" applyAlignment="0" applyProtection="0"/>
    <xf numFmtId="0" fontId="4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7" borderId="172" applyNumberFormat="0" applyAlignment="0" applyProtection="0"/>
    <xf numFmtId="0" fontId="53" fillId="0" borderId="6" applyNumberFormat="0" applyFill="0" applyAlignment="0" applyProtection="0"/>
    <xf numFmtId="0" fontId="54" fillId="22" borderId="0" applyNumberFormat="0" applyBorder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9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175" applyNumberFormat="0" applyFill="0" applyAlignment="0" applyProtection="0"/>
    <xf numFmtId="0" fontId="58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45" fillId="20" borderId="172" applyNumberFormat="0" applyAlignment="0" applyProtection="0"/>
    <xf numFmtId="0" fontId="45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5" fillId="20" borderId="174" applyNumberFormat="0" applyAlignment="0" applyProtection="0"/>
    <xf numFmtId="0" fontId="45" fillId="20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52" fillId="7" borderId="172" applyNumberFormat="0" applyAlignment="0" applyProtection="0"/>
    <xf numFmtId="0" fontId="23" fillId="23" borderId="173" applyNumberFormat="0" applyFont="0" applyAlignment="0" applyProtection="0"/>
    <xf numFmtId="0" fontId="55" fillId="20" borderId="174" applyNumberFormat="0" applyAlignment="0" applyProtection="0"/>
    <xf numFmtId="0" fontId="57" fillId="0" borderId="175" applyNumberFormat="0" applyFill="0" applyAlignment="0" applyProtection="0"/>
    <xf numFmtId="0" fontId="23" fillId="23" borderId="173" applyNumberFormat="0" applyFont="0" applyAlignment="0" applyProtection="0"/>
    <xf numFmtId="0" fontId="45" fillId="20" borderId="172" applyNumberFormat="0" applyAlignment="0" applyProtection="0"/>
    <xf numFmtId="0" fontId="52" fillId="7" borderId="172" applyNumberFormat="0" applyAlignment="0" applyProtection="0"/>
    <xf numFmtId="0" fontId="57" fillId="0" borderId="175" applyNumberFormat="0" applyFill="0" applyAlignment="0" applyProtection="0"/>
    <xf numFmtId="0" fontId="45" fillId="20" borderId="172" applyNumberFormat="0" applyAlignment="0" applyProtection="0"/>
    <xf numFmtId="0" fontId="45" fillId="20" borderId="172" applyNumberFormat="0" applyAlignment="0" applyProtection="0"/>
    <xf numFmtId="0" fontId="57" fillId="0" borderId="175" applyNumberFormat="0" applyFill="0" applyAlignment="0" applyProtection="0"/>
    <xf numFmtId="0" fontId="55" fillId="20" borderId="174" applyNumberFormat="0" applyAlignment="0" applyProtection="0"/>
    <xf numFmtId="0" fontId="23" fillId="23" borderId="173" applyNumberFormat="0" applyFont="0" applyAlignment="0" applyProtection="0"/>
    <xf numFmtId="0" fontId="57" fillId="0" borderId="175" applyNumberFormat="0" applyFill="0" applyAlignment="0" applyProtection="0"/>
    <xf numFmtId="0" fontId="57" fillId="0" borderId="180" applyNumberFormat="0" applyFill="0" applyAlignment="0" applyProtection="0"/>
    <xf numFmtId="0" fontId="55" fillId="20" borderId="179" applyNumberFormat="0" applyAlignment="0" applyProtection="0"/>
    <xf numFmtId="0" fontId="23" fillId="23" borderId="178" applyNumberFormat="0" applyFont="0" applyAlignment="0" applyProtection="0"/>
    <xf numFmtId="0" fontId="52" fillId="7" borderId="177" applyNumberFormat="0" applyAlignment="0" applyProtection="0"/>
    <xf numFmtId="0" fontId="45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81" applyNumberFormat="0" applyAlignment="0" applyProtection="0"/>
    <xf numFmtId="0" fontId="4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7" borderId="181" applyNumberFormat="0" applyAlignment="0" applyProtection="0"/>
    <xf numFmtId="0" fontId="53" fillId="0" borderId="6" applyNumberFormat="0" applyFill="0" applyAlignment="0" applyProtection="0"/>
    <xf numFmtId="0" fontId="54" fillId="22" borderId="0" applyNumberFormat="0" applyBorder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9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183" applyNumberFormat="0" applyFill="0" applyAlignment="0" applyProtection="0"/>
    <xf numFmtId="0" fontId="58" fillId="0" borderId="0" applyNumberFormat="0" applyFill="0" applyBorder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5" fillId="20" borderId="181" applyNumberFormat="0" applyAlignment="0" applyProtection="0"/>
    <xf numFmtId="0" fontId="45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14" fillId="0" borderId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45" fillId="20" borderId="181" applyNumberFormat="0" applyAlignment="0" applyProtection="0"/>
    <xf numFmtId="0" fontId="45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4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4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4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13" fillId="0" borderId="0"/>
    <xf numFmtId="0" fontId="55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13" fillId="0" borderId="0"/>
    <xf numFmtId="0" fontId="55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23" fillId="0" borderId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5" fillId="20" borderId="179" applyNumberFormat="0" applyAlignment="0" applyProtection="0"/>
    <xf numFmtId="0" fontId="45" fillId="20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23" fillId="23" borderId="182" applyNumberFormat="0" applyFon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7" fillId="0" borderId="183" applyNumberFormat="0" applyFill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5" fillId="20" borderId="179" applyNumberFormat="0" applyAlignment="0" applyProtection="0"/>
    <xf numFmtId="0" fontId="23" fillId="23" borderId="182" applyNumberFormat="0" applyFont="0" applyAlignment="0" applyProtection="0"/>
    <xf numFmtId="0" fontId="52" fillId="7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45" fillId="20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52" fillId="7" borderId="181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5" fillId="20" borderId="179" applyNumberFormat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57" fillId="0" borderId="183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9" fontId="12" fillId="0" borderId="0" applyFont="0" applyFill="0" applyBorder="0" applyAlignment="0" applyProtection="0"/>
    <xf numFmtId="0" fontId="45" fillId="20" borderId="185" applyNumberFormat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12" fillId="0" borderId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45" fillId="20" borderId="185" applyNumberFormat="0" applyAlignment="0" applyProtection="0"/>
    <xf numFmtId="0" fontId="45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12" fillId="0" borderId="0"/>
    <xf numFmtId="0" fontId="55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12" fillId="0" borderId="0"/>
    <xf numFmtId="0" fontId="55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5" fillId="20" borderId="187" applyNumberFormat="0" applyAlignment="0" applyProtection="0"/>
    <xf numFmtId="0" fontId="45" fillId="20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7" fillId="0" borderId="188" applyNumberFormat="0" applyFill="0" applyAlignment="0" applyProtection="0"/>
    <xf numFmtId="0" fontId="23" fillId="23" borderId="186" applyNumberFormat="0" applyFon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7" fillId="0" borderId="188" applyNumberFormat="0" applyFill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7" fillId="0" borderId="188" applyNumberFormat="0" applyFill="0" applyAlignment="0" applyProtection="0"/>
    <xf numFmtId="0" fontId="57" fillId="0" borderId="188" applyNumberFormat="0" applyFill="0" applyAlignment="0" applyProtection="0"/>
    <xf numFmtId="0" fontId="55" fillId="20" borderId="187" applyNumberFormat="0" applyAlignment="0" applyProtection="0"/>
    <xf numFmtId="0" fontId="23" fillId="23" borderId="186" applyNumberFormat="0" applyFont="0" applyAlignment="0" applyProtection="0"/>
    <xf numFmtId="0" fontId="52" fillId="7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45" fillId="20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52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55" fillId="20" borderId="187" applyNumberFormat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1" fillId="0" borderId="0"/>
    <xf numFmtId="0" fontId="69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89" applyNumberFormat="0" applyAlignment="0" applyProtection="0"/>
    <xf numFmtId="0" fontId="46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7" borderId="189" applyNumberFormat="0" applyAlignment="0" applyProtection="0"/>
    <xf numFmtId="0" fontId="53" fillId="0" borderId="6" applyNumberFormat="0" applyFill="0" applyAlignment="0" applyProtection="0"/>
    <xf numFmtId="0" fontId="54" fillId="22" borderId="0" applyNumberFormat="0" applyBorder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9" fontId="23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192" applyNumberFormat="0" applyFill="0" applyAlignment="0" applyProtection="0"/>
    <xf numFmtId="0" fontId="58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69" fillId="0" borderId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69" fillId="0" borderId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5" fillId="20" borderId="191" applyNumberFormat="0" applyAlignment="0" applyProtection="0"/>
    <xf numFmtId="0" fontId="45" fillId="20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52" fillId="7" borderId="189" applyNumberFormat="0" applyAlignment="0" applyProtection="0"/>
    <xf numFmtId="0" fontId="23" fillId="23" borderId="190" applyNumberFormat="0" applyFont="0" applyAlignment="0" applyProtection="0"/>
    <xf numFmtId="0" fontId="55" fillId="20" borderId="191" applyNumberFormat="0" applyAlignment="0" applyProtection="0"/>
    <xf numFmtId="0" fontId="57" fillId="0" borderId="192" applyNumberFormat="0" applyFill="0" applyAlignment="0" applyProtection="0"/>
    <xf numFmtId="0" fontId="23" fillId="23" borderId="190" applyNumberFormat="0" applyFont="0" applyAlignment="0" applyProtection="0"/>
    <xf numFmtId="0" fontId="45" fillId="20" borderId="189" applyNumberFormat="0" applyAlignment="0" applyProtection="0"/>
    <xf numFmtId="0" fontId="52" fillId="7" borderId="189" applyNumberFormat="0" applyAlignment="0" applyProtection="0"/>
    <xf numFmtId="0" fontId="57" fillId="0" borderId="192" applyNumberFormat="0" applyFill="0" applyAlignment="0" applyProtection="0"/>
    <xf numFmtId="0" fontId="45" fillId="20" borderId="189" applyNumberFormat="0" applyAlignment="0" applyProtection="0"/>
    <xf numFmtId="0" fontId="45" fillId="20" borderId="189" applyNumberFormat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7" fillId="0" borderId="192" applyNumberFormat="0" applyFill="0" applyAlignment="0" applyProtection="0"/>
    <xf numFmtId="0" fontId="57" fillId="0" borderId="192" applyNumberFormat="0" applyFill="0" applyAlignment="0" applyProtection="0"/>
    <xf numFmtId="0" fontId="55" fillId="20" borderId="191" applyNumberFormat="0" applyAlignment="0" applyProtection="0"/>
    <xf numFmtId="0" fontId="23" fillId="23" borderId="190" applyNumberFormat="0" applyFont="0" applyAlignment="0" applyProtection="0"/>
    <xf numFmtId="0" fontId="52" fillId="7" borderId="189" applyNumberFormat="0" applyAlignment="0" applyProtection="0"/>
    <xf numFmtId="0" fontId="45" fillId="20" borderId="189" applyNumberFormat="0" applyAlignment="0" applyProtection="0"/>
    <xf numFmtId="0" fontId="69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10" fillId="0" borderId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45" fillId="20" borderId="193" applyNumberFormat="0" applyAlignment="0" applyProtection="0"/>
    <xf numFmtId="0" fontId="45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10" fillId="0" borderId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10" fillId="0" borderId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5" fillId="20" borderId="195" applyNumberFormat="0" applyAlignment="0" applyProtection="0"/>
    <xf numFmtId="0" fontId="45" fillId="20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52" fillId="7" borderId="193" applyNumberFormat="0" applyAlignment="0" applyProtection="0"/>
    <xf numFmtId="0" fontId="23" fillId="23" borderId="194" applyNumberFormat="0" applyFont="0" applyAlignment="0" applyProtection="0"/>
    <xf numFmtId="0" fontId="55" fillId="20" borderId="195" applyNumberFormat="0" applyAlignment="0" applyProtection="0"/>
    <xf numFmtId="0" fontId="57" fillId="0" borderId="196" applyNumberFormat="0" applyFill="0" applyAlignment="0" applyProtection="0"/>
    <xf numFmtId="0" fontId="23" fillId="23" borderId="194" applyNumberFormat="0" applyFont="0" applyAlignment="0" applyProtection="0"/>
    <xf numFmtId="0" fontId="45" fillId="20" borderId="193" applyNumberFormat="0" applyAlignment="0" applyProtection="0"/>
    <xf numFmtId="0" fontId="52" fillId="7" borderId="193" applyNumberFormat="0" applyAlignment="0" applyProtection="0"/>
    <xf numFmtId="0" fontId="57" fillId="0" borderId="196" applyNumberFormat="0" applyFill="0" applyAlignment="0" applyProtection="0"/>
    <xf numFmtId="0" fontId="45" fillId="20" borderId="193" applyNumberFormat="0" applyAlignment="0" applyProtection="0"/>
    <xf numFmtId="0" fontId="45" fillId="20" borderId="193" applyNumberFormat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7" fillId="0" borderId="196" applyNumberFormat="0" applyFill="0" applyAlignment="0" applyProtection="0"/>
    <xf numFmtId="0" fontId="57" fillId="0" borderId="196" applyNumberFormat="0" applyFill="0" applyAlignment="0" applyProtection="0"/>
    <xf numFmtId="0" fontId="55" fillId="20" borderId="195" applyNumberFormat="0" applyAlignment="0" applyProtection="0"/>
    <xf numFmtId="0" fontId="23" fillId="23" borderId="194" applyNumberFormat="0" applyFont="0" applyAlignment="0" applyProtection="0"/>
    <xf numFmtId="0" fontId="52" fillId="7" borderId="193" applyNumberFormat="0" applyAlignment="0" applyProtection="0"/>
    <xf numFmtId="0" fontId="45" fillId="20" borderId="193" applyNumberFormat="0" applyAlignment="0" applyProtection="0"/>
    <xf numFmtId="0" fontId="23" fillId="0" borderId="0"/>
    <xf numFmtId="0" fontId="45" fillId="20" borderId="206" applyNumberFormat="0" applyAlignment="0" applyProtection="0"/>
    <xf numFmtId="0" fontId="52" fillId="7" borderId="206" applyNumberFormat="0" applyAlignment="0" applyProtection="0"/>
    <xf numFmtId="0" fontId="23" fillId="23" borderId="207" applyNumberFormat="0" applyFont="0" applyAlignment="0" applyProtection="0"/>
    <xf numFmtId="0" fontId="55" fillId="20" borderId="208" applyNumberFormat="0" applyAlignment="0" applyProtection="0"/>
    <xf numFmtId="0" fontId="57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34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08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1" fontId="26" fillId="26" borderId="216" xfId="0" applyNumberFormat="1" applyFont="1" applyFill="1" applyBorder="1" applyAlignment="1" applyProtection="1">
      <alignment horizontal="center" vertical="center"/>
    </xf>
    <xf numFmtId="0" fontId="38" fillId="31" borderId="14" xfId="0" applyFont="1" applyFill="1" applyBorder="1" applyAlignment="1" applyProtection="1">
      <alignment vertical="center" wrapText="1"/>
    </xf>
    <xf numFmtId="0" fontId="0" fillId="0" borderId="0" xfId="0" applyProtection="1"/>
    <xf numFmtId="9" fontId="28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1" fillId="46" borderId="215" xfId="0" applyFont="1" applyFill="1" applyBorder="1" applyAlignment="1" applyProtection="1">
      <alignment horizontal="center" vertical="center" wrapText="1"/>
    </xf>
    <xf numFmtId="0" fontId="31" fillId="45" borderId="215" xfId="0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1" fillId="34" borderId="184" xfId="0" applyFont="1" applyFill="1" applyBorder="1" applyAlignment="1" applyProtection="1">
      <alignment horizontal="center" vertical="center" wrapText="1"/>
    </xf>
    <xf numFmtId="0" fontId="31" fillId="40" borderId="41" xfId="0" applyFont="1" applyFill="1" applyBorder="1" applyAlignment="1" applyProtection="1">
      <alignment horizontal="center" vertical="center" wrapText="1"/>
    </xf>
    <xf numFmtId="0" fontId="31" fillId="35" borderId="41" xfId="0" applyFont="1" applyFill="1" applyBorder="1" applyAlignment="1" applyProtection="1">
      <alignment horizontal="center" vertical="center" wrapText="1"/>
    </xf>
    <xf numFmtId="49" fontId="38" fillId="31" borderId="197" xfId="53" applyNumberFormat="1" applyFont="1" applyFill="1" applyBorder="1" applyAlignment="1" applyProtection="1">
      <alignment horizontal="center" vertical="center" wrapText="1"/>
    </xf>
    <xf numFmtId="49" fontId="38" fillId="31" borderId="14" xfId="53" applyNumberFormat="1" applyFont="1" applyFill="1" applyBorder="1" applyAlignment="1" applyProtection="1">
      <alignment horizontal="center" vertical="center" wrapText="1"/>
    </xf>
    <xf numFmtId="49" fontId="38" fillId="31" borderId="29" xfId="53" applyNumberFormat="1" applyFont="1" applyFill="1" applyBorder="1" applyAlignment="1" applyProtection="1">
      <alignment horizontal="center" vertical="center" wrapText="1"/>
    </xf>
    <xf numFmtId="10" fontId="31" fillId="31" borderId="216" xfId="49" applyNumberFormat="1" applyFont="1" applyFill="1" applyBorder="1" applyAlignment="1" applyProtection="1">
      <alignment horizontal="center" vertical="center" wrapText="1"/>
    </xf>
    <xf numFmtId="6" fontId="31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5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0" fontId="60" fillId="0" borderId="0" xfId="0" applyFont="1" applyBorder="1" applyAlignment="1" applyProtection="1">
      <alignment wrapText="1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1" fontId="28" fillId="26" borderId="263" xfId="0" applyNumberFormat="1" applyFont="1" applyFill="1" applyBorder="1" applyAlignment="1" applyProtection="1">
      <alignment horizontal="center" vertical="center" wrapText="1"/>
    </xf>
    <xf numFmtId="3" fontId="25" fillId="0" borderId="240" xfId="0" applyNumberFormat="1" applyFont="1" applyBorder="1" applyAlignment="1" applyProtection="1">
      <alignment horizontal="center" vertical="center"/>
    </xf>
    <xf numFmtId="3" fontId="25" fillId="0" borderId="258" xfId="0" applyNumberFormat="1" applyFont="1" applyBorder="1" applyAlignment="1" applyProtection="1">
      <alignment vertical="center"/>
    </xf>
    <xf numFmtId="165" fontId="25" fillId="0" borderId="240" xfId="0" applyNumberFormat="1" applyFont="1" applyBorder="1" applyAlignment="1" applyProtection="1">
      <alignment vertical="center"/>
    </xf>
    <xf numFmtId="10" fontId="25" fillId="0" borderId="240" xfId="48" applyNumberFormat="1" applyFont="1" applyFill="1" applyBorder="1" applyAlignment="1" applyProtection="1">
      <alignment vertical="center"/>
    </xf>
    <xf numFmtId="6" fontId="25" fillId="0" borderId="240" xfId="32" applyNumberFormat="1" applyFont="1" applyFill="1" applyBorder="1" applyAlignment="1" applyProtection="1">
      <alignment vertical="center"/>
    </xf>
    <xf numFmtId="2" fontId="34" fillId="0" borderId="240" xfId="45" applyNumberFormat="1" applyFont="1" applyFill="1" applyBorder="1" applyAlignment="1" applyProtection="1">
      <alignment horizontal="right" vertical="center" wrapText="1"/>
    </xf>
    <xf numFmtId="165" fontId="34" fillId="0" borderId="240" xfId="45" applyNumberFormat="1" applyFont="1" applyFill="1" applyBorder="1" applyAlignment="1" applyProtection="1">
      <alignment horizontal="right" vertical="center" wrapText="1"/>
    </xf>
    <xf numFmtId="0" fontId="34" fillId="0" borderId="240" xfId="45" applyFont="1" applyFill="1" applyBorder="1" applyAlignment="1" applyProtection="1">
      <alignment horizontal="right" vertical="center" wrapText="1"/>
    </xf>
    <xf numFmtId="1" fontId="34" fillId="0" borderId="240" xfId="45" applyNumberFormat="1" applyFont="1" applyFill="1" applyBorder="1" applyAlignment="1" applyProtection="1">
      <alignment horizontal="right" vertical="center" wrapText="1"/>
    </xf>
    <xf numFmtId="2" fontId="25" fillId="0" borderId="240" xfId="0" applyNumberFormat="1" applyFont="1" applyBorder="1" applyAlignment="1" applyProtection="1">
      <alignment vertical="center"/>
    </xf>
    <xf numFmtId="4" fontId="25" fillId="0" borderId="240" xfId="28" applyNumberFormat="1" applyFont="1" applyBorder="1" applyAlignment="1" applyProtection="1">
      <alignment vertical="center"/>
    </xf>
    <xf numFmtId="4" fontId="25" fillId="0" borderId="258" xfId="28" applyNumberFormat="1" applyFont="1" applyBorder="1" applyAlignment="1" applyProtection="1">
      <alignment vertical="center"/>
    </xf>
    <xf numFmtId="40" fontId="25" fillId="0" borderId="240" xfId="0" applyNumberFormat="1" applyFont="1" applyFill="1" applyBorder="1" applyAlignment="1" applyProtection="1">
      <alignment vertical="center"/>
    </xf>
    <xf numFmtId="165" fontId="25" fillId="0" borderId="240" xfId="0" applyNumberFormat="1" applyFont="1" applyFill="1" applyBorder="1" applyAlignment="1" applyProtection="1">
      <alignment vertical="center"/>
    </xf>
    <xf numFmtId="10" fontId="25" fillId="0" borderId="240" xfId="0" applyNumberFormat="1" applyFont="1" applyFill="1" applyBorder="1" applyAlignment="1" applyProtection="1">
      <alignment vertical="center"/>
    </xf>
    <xf numFmtId="6" fontId="25" fillId="0" borderId="240" xfId="0" applyNumberFormat="1" applyFont="1" applyFill="1" applyBorder="1" applyAlignment="1" applyProtection="1">
      <alignment vertical="center"/>
    </xf>
    <xf numFmtId="167" fontId="25" fillId="0" borderId="240" xfId="48" applyNumberFormat="1" applyFont="1" applyFill="1" applyBorder="1" applyAlignment="1" applyProtection="1">
      <alignment vertical="center"/>
    </xf>
    <xf numFmtId="10" fontId="25" fillId="32" borderId="240" xfId="0" applyNumberFormat="1" applyFont="1" applyFill="1" applyBorder="1" applyAlignment="1" applyProtection="1">
      <alignment vertical="center"/>
    </xf>
    <xf numFmtId="165" fontId="25" fillId="32" borderId="240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7" xfId="0" applyNumberFormat="1" applyFont="1" applyBorder="1" applyAlignment="1" applyProtection="1">
      <alignment vertical="center"/>
    </xf>
    <xf numFmtId="165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34" fillId="0" borderId="13" xfId="45" applyNumberFormat="1" applyFont="1" applyFill="1" applyBorder="1" applyAlignment="1" applyProtection="1">
      <alignment horizontal="right" vertical="center" wrapText="1"/>
    </xf>
    <xf numFmtId="165" fontId="34" fillId="0" borderId="13" xfId="45" applyNumberFormat="1" applyFont="1" applyFill="1" applyBorder="1" applyAlignment="1" applyProtection="1">
      <alignment horizontal="right" vertical="center" wrapText="1"/>
    </xf>
    <xf numFmtId="0" fontId="34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7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5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7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6" xfId="0" applyNumberFormat="1" applyFont="1" applyFill="1" applyBorder="1" applyAlignment="1" applyProtection="1">
      <alignment vertical="center"/>
    </xf>
    <xf numFmtId="165" fontId="25" fillId="0" borderId="11" xfId="0" applyNumberFormat="1" applyFont="1" applyFill="1" applyBorder="1" applyAlignment="1" applyProtection="1">
      <alignment vertical="center"/>
    </xf>
    <xf numFmtId="165" fontId="25" fillId="0" borderId="16" xfId="0" applyNumberFormat="1" applyFont="1" applyFill="1" applyBorder="1" applyAlignment="1" applyProtection="1">
      <alignment vertical="center"/>
    </xf>
    <xf numFmtId="10" fontId="25" fillId="0" borderId="16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5" fontId="25" fillId="30" borderId="11" xfId="0" applyNumberFormat="1" applyFont="1" applyFill="1" applyBorder="1" applyAlignment="1" applyProtection="1">
      <alignment vertical="center"/>
    </xf>
    <xf numFmtId="4" fontId="25" fillId="30" borderId="11" xfId="28" applyNumberFormat="1" applyFont="1" applyFill="1" applyBorder="1" applyAlignment="1" applyProtection="1">
      <alignment vertical="center"/>
    </xf>
    <xf numFmtId="4" fontId="25" fillId="30" borderId="16" xfId="28" applyNumberFormat="1" applyFont="1" applyFill="1" applyBorder="1" applyAlignment="1" applyProtection="1">
      <alignment vertical="center"/>
    </xf>
    <xf numFmtId="40" fontId="25" fillId="30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7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70" fillId="0" borderId="0" xfId="47822" applyFont="1" applyProtection="1"/>
    <xf numFmtId="0" fontId="26" fillId="28" borderId="262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71" fillId="25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63" fillId="26" borderId="263" xfId="53" applyNumberFormat="1" applyFont="1" applyFill="1" applyBorder="1" applyAlignment="1" applyProtection="1">
      <alignment horizontal="center"/>
    </xf>
    <xf numFmtId="10" fontId="31" fillId="31" borderId="263" xfId="48" applyNumberFormat="1" applyFont="1" applyFill="1" applyBorder="1" applyAlignment="1" applyProtection="1">
      <alignment horizontal="center" vertical="center" wrapText="1"/>
    </xf>
    <xf numFmtId="10" fontId="31" fillId="31" borderId="264" xfId="48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/>
    </xf>
    <xf numFmtId="1" fontId="26" fillId="26" borderId="198" xfId="53" applyNumberFormat="1" applyFont="1" applyFill="1" applyBorder="1" applyAlignment="1" applyProtection="1">
      <alignment horizontal="center"/>
    </xf>
    <xf numFmtId="1" fontId="28" fillId="26" borderId="198" xfId="53" quotePrefix="1" applyNumberFormat="1" applyFont="1" applyFill="1" applyBorder="1" applyAlignment="1" applyProtection="1">
      <alignment horizontal="center"/>
    </xf>
    <xf numFmtId="1" fontId="33" fillId="26" borderId="263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5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28" fillId="26" borderId="198" xfId="53" quotePrefix="1" applyNumberFormat="1" applyFont="1" applyFill="1" applyBorder="1" applyAlignment="1" applyProtection="1">
      <alignment horizontal="center" vertical="center"/>
    </xf>
    <xf numFmtId="6" fontId="23" fillId="46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6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5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6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5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6" fillId="32" borderId="278" xfId="54" applyNumberFormat="1" applyFont="1" applyFill="1" applyBorder="1" applyAlignment="1" applyProtection="1">
      <alignment horizontal="right" vertical="center"/>
    </xf>
    <xf numFmtId="6" fontId="26" fillId="0" borderId="233" xfId="54" applyNumberFormat="1" applyFont="1" applyFill="1" applyBorder="1" applyAlignment="1" applyProtection="1">
      <alignment horizontal="right" vertical="center"/>
    </xf>
    <xf numFmtId="6" fontId="26" fillId="32" borderId="233" xfId="54" applyNumberFormat="1" applyFont="1" applyFill="1" applyBorder="1" applyAlignment="1" applyProtection="1">
      <alignment horizontal="right" vertical="center"/>
    </xf>
    <xf numFmtId="6" fontId="26" fillId="35" borderId="233" xfId="54" applyNumberFormat="1" applyFont="1" applyFill="1" applyBorder="1" applyAlignment="1" applyProtection="1">
      <alignment horizontal="right" vertical="center"/>
    </xf>
    <xf numFmtId="6" fontId="26" fillId="34" borderId="233" xfId="54" applyNumberFormat="1" applyFont="1" applyFill="1" applyBorder="1" applyAlignment="1" applyProtection="1">
      <alignment horizontal="right" vertical="center"/>
    </xf>
    <xf numFmtId="6" fontId="26" fillId="46" borderId="233" xfId="54" applyNumberFormat="1" applyFont="1" applyFill="1" applyBorder="1" applyAlignment="1" applyProtection="1">
      <alignment horizontal="right" vertical="center"/>
    </xf>
    <xf numFmtId="6" fontId="26" fillId="35" borderId="274" xfId="54" applyNumberFormat="1" applyFont="1" applyFill="1" applyBorder="1" applyAlignment="1" applyProtection="1">
      <alignment horizontal="right" vertical="center"/>
    </xf>
    <xf numFmtId="6" fontId="26" fillId="0" borderId="276" xfId="53" applyNumberFormat="1" applyFont="1" applyFill="1" applyBorder="1" applyAlignment="1" applyProtection="1">
      <alignment horizontal="right" vertical="center"/>
    </xf>
    <xf numFmtId="6" fontId="26" fillId="45" borderId="278" xfId="54" applyNumberFormat="1" applyFont="1" applyFill="1" applyBorder="1" applyAlignment="1" applyProtection="1">
      <alignment horizontal="right" vertical="center"/>
    </xf>
    <xf numFmtId="6" fontId="26" fillId="0" borderId="278" xfId="54" applyNumberFormat="1" applyFont="1" applyFill="1" applyBorder="1" applyAlignment="1" applyProtection="1">
      <alignment horizontal="right" vertical="center"/>
    </xf>
    <xf numFmtId="6" fontId="26" fillId="34" borderId="278" xfId="54" applyNumberFormat="1" applyFont="1" applyFill="1" applyBorder="1" applyAlignment="1" applyProtection="1">
      <alignment horizontal="right" vertical="center"/>
    </xf>
    <xf numFmtId="6" fontId="26" fillId="32" borderId="278" xfId="54" applyNumberFormat="1" applyFont="1" applyFill="1" applyBorder="1" applyAlignment="1" applyProtection="1">
      <alignment horizontal="right" vertical="center"/>
    </xf>
    <xf numFmtId="0" fontId="71" fillId="40" borderId="264" xfId="0" quotePrefix="1" applyFont="1" applyFill="1" applyBorder="1" applyAlignment="1" applyProtection="1">
      <alignment horizontal="center" vertical="center" wrapText="1"/>
    </xf>
    <xf numFmtId="0" fontId="31" fillId="35" borderId="10" xfId="0" applyFont="1" applyFill="1" applyBorder="1" applyAlignment="1" applyProtection="1">
      <alignment horizontal="center" vertical="center" wrapText="1"/>
    </xf>
    <xf numFmtId="0" fontId="31" fillId="35" borderId="269" xfId="0" applyFont="1" applyFill="1" applyBorder="1" applyAlignment="1" applyProtection="1">
      <alignment horizontal="center" vertical="center" wrapText="1"/>
    </xf>
    <xf numFmtId="0" fontId="32" fillId="31" borderId="14" xfId="0" applyFont="1" applyFill="1" applyBorder="1" applyAlignment="1" applyProtection="1">
      <alignment horizontal="center" vertical="center" wrapText="1"/>
    </xf>
    <xf numFmtId="0" fontId="32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28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14" xfId="0" applyNumberFormat="1" applyFont="1" applyFill="1" applyBorder="1" applyAlignment="1" applyProtection="1">
      <alignment vertical="center"/>
    </xf>
    <xf numFmtId="0" fontId="31" fillId="0" borderId="0" xfId="0" applyFont="1" applyBorder="1" applyAlignment="1" applyProtection="1">
      <alignment vertical="center"/>
    </xf>
    <xf numFmtId="37" fontId="31" fillId="0" borderId="0" xfId="28" applyNumberFormat="1" applyFont="1" applyBorder="1" applyAlignment="1" applyProtection="1">
      <alignment vertical="center"/>
    </xf>
    <xf numFmtId="8" fontId="31" fillId="0" borderId="0" xfId="0" applyNumberFormat="1" applyFont="1" applyBorder="1" applyAlignment="1" applyProtection="1">
      <alignment vertical="center"/>
    </xf>
    <xf numFmtId="6" fontId="31" fillId="0" borderId="0" xfId="0" applyNumberFormat="1" applyFont="1" applyBorder="1" applyAlignment="1" applyProtection="1">
      <alignment vertical="center"/>
    </xf>
    <xf numFmtId="1" fontId="28" fillId="26" borderId="263" xfId="53" quotePrefix="1" applyNumberFormat="1" applyFont="1" applyFill="1" applyBorder="1" applyAlignment="1" applyProtection="1">
      <alignment horizontal="center"/>
    </xf>
    <xf numFmtId="1" fontId="23" fillId="26" borderId="263" xfId="53" applyNumberFormat="1" applyFont="1" applyFill="1" applyBorder="1" applyAlignment="1" applyProtection="1">
      <alignment horizontal="center"/>
    </xf>
    <xf numFmtId="1" fontId="26" fillId="26" borderId="263" xfId="53" applyNumberFormat="1" applyFont="1" applyFill="1" applyBorder="1" applyAlignment="1" applyProtection="1">
      <alignment horizontal="center"/>
    </xf>
    <xf numFmtId="0" fontId="31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5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vertical="center" wrapText="1"/>
    </xf>
    <xf numFmtId="3" fontId="23" fillId="0" borderId="197" xfId="0" applyNumberFormat="1" applyFont="1" applyFill="1" applyBorder="1" applyAlignment="1" applyProtection="1">
      <alignment horizontal="right" vertical="center"/>
    </xf>
    <xf numFmtId="6" fontId="23" fillId="0" borderId="197" xfId="0" applyNumberFormat="1" applyFont="1" applyBorder="1" applyAlignment="1" applyProtection="1">
      <alignment horizontal="right" vertical="center"/>
    </xf>
    <xf numFmtId="6" fontId="23" fillId="0" borderId="198" xfId="0" applyNumberFormat="1" applyFont="1" applyBorder="1" applyAlignment="1" applyProtection="1">
      <alignment horizontal="right" vertical="center"/>
    </xf>
    <xf numFmtId="6" fontId="23" fillId="0" borderId="198" xfId="0" applyNumberFormat="1" applyFont="1" applyFill="1" applyBorder="1" applyAlignment="1" applyProtection="1">
      <alignment horizontal="right" vertical="center"/>
    </xf>
    <xf numFmtId="6" fontId="23" fillId="32" borderId="198" xfId="0" applyNumberFormat="1" applyFont="1" applyFill="1" applyBorder="1" applyAlignment="1" applyProtection="1">
      <alignment horizontal="right" vertical="center"/>
    </xf>
    <xf numFmtId="6" fontId="23" fillId="34" borderId="198" xfId="0" applyNumberFormat="1" applyFont="1" applyFill="1" applyBorder="1" applyAlignment="1" applyProtection="1">
      <alignment horizontal="right" vertical="center"/>
    </xf>
    <xf numFmtId="6" fontId="23" fillId="45" borderId="198" xfId="0" applyNumberFormat="1" applyFont="1" applyFill="1" applyBorder="1" applyAlignment="1" applyProtection="1">
      <alignment horizontal="right" vertical="center"/>
    </xf>
    <xf numFmtId="38" fontId="23" fillId="0" borderId="198" xfId="0" applyNumberFormat="1" applyFont="1" applyBorder="1" applyAlignment="1" applyProtection="1">
      <alignment horizontal="right" vertical="center"/>
    </xf>
    <xf numFmtId="0" fontId="26" fillId="0" borderId="17" xfId="0" applyFont="1" applyBorder="1" applyAlignment="1" applyProtection="1">
      <alignment horizontal="center" vertical="center" wrapText="1"/>
    </xf>
    <xf numFmtId="0" fontId="26" fillId="0" borderId="17" xfId="0" applyFont="1" applyBorder="1" applyAlignment="1" applyProtection="1">
      <alignment vertical="center" wrapText="1"/>
    </xf>
    <xf numFmtId="3" fontId="26" fillId="0" borderId="17" xfId="0" applyNumberFormat="1" applyFont="1" applyFill="1" applyBorder="1" applyAlignment="1" applyProtection="1">
      <alignment horizontal="right" vertical="center"/>
    </xf>
    <xf numFmtId="6" fontId="26" fillId="0" borderId="17" xfId="0" applyNumberFormat="1" applyFont="1" applyBorder="1" applyAlignment="1" applyProtection="1">
      <alignment horizontal="right" vertical="center"/>
    </xf>
    <xf numFmtId="6" fontId="26" fillId="0" borderId="13" xfId="0" applyNumberFormat="1" applyFont="1" applyBorder="1" applyAlignment="1" applyProtection="1">
      <alignment horizontal="right" vertical="center"/>
    </xf>
    <xf numFmtId="6" fontId="26" fillId="35" borderId="13" xfId="0" applyNumberFormat="1" applyFont="1" applyFill="1" applyBorder="1" applyAlignment="1" applyProtection="1">
      <alignment horizontal="right" vertical="center"/>
    </xf>
    <xf numFmtId="6" fontId="26" fillId="32" borderId="13" xfId="0" applyNumberFormat="1" applyFont="1" applyFill="1" applyBorder="1" applyAlignment="1" applyProtection="1">
      <alignment horizontal="right" vertical="center"/>
    </xf>
    <xf numFmtId="6" fontId="26" fillId="34" borderId="13" xfId="0" applyNumberFormat="1" applyFont="1" applyFill="1" applyBorder="1" applyAlignment="1" applyProtection="1">
      <alignment horizontal="right" vertical="center"/>
    </xf>
    <xf numFmtId="6" fontId="26" fillId="35" borderId="198" xfId="0" applyNumberFormat="1" applyFont="1" applyFill="1" applyBorder="1" applyAlignment="1" applyProtection="1">
      <alignment horizontal="right" vertical="center"/>
    </xf>
    <xf numFmtId="6" fontId="26" fillId="45" borderId="13" xfId="0" applyNumberFormat="1" applyFont="1" applyFill="1" applyBorder="1" applyAlignment="1" applyProtection="1">
      <alignment horizontal="right" vertical="center"/>
    </xf>
    <xf numFmtId="169" fontId="26" fillId="0" borderId="13" xfId="0" applyNumberFormat="1" applyFont="1" applyBorder="1" applyAlignment="1" applyProtection="1">
      <alignment horizontal="right" vertical="center"/>
    </xf>
    <xf numFmtId="38" fontId="26" fillId="0" borderId="13" xfId="0" applyNumberFormat="1" applyFont="1" applyBorder="1" applyAlignment="1" applyProtection="1">
      <alignment horizontal="right" vertical="center"/>
    </xf>
    <xf numFmtId="6" fontId="26" fillId="0" borderId="13" xfId="0" applyNumberFormat="1" applyFont="1" applyFill="1" applyBorder="1" applyAlignment="1" applyProtection="1">
      <alignment horizontal="right" vertical="center"/>
    </xf>
    <xf numFmtId="15" fontId="31" fillId="35" borderId="263" xfId="0" applyNumberFormat="1" applyFont="1" applyFill="1" applyBorder="1" applyAlignment="1" applyProtection="1">
      <alignment horizontal="center" vertical="center" wrapText="1"/>
    </xf>
    <xf numFmtId="0" fontId="31" fillId="45" borderId="263" xfId="252" applyFont="1" applyFill="1" applyBorder="1" applyAlignment="1" applyProtection="1">
      <alignment horizontal="center" vertical="center" wrapText="1"/>
    </xf>
    <xf numFmtId="0" fontId="0" fillId="26" borderId="263" xfId="0" applyFill="1" applyBorder="1" applyAlignment="1" applyProtection="1">
      <alignment horizontal="center"/>
    </xf>
    <xf numFmtId="0" fontId="0" fillId="26" borderId="263" xfId="0" applyFill="1" applyBorder="1" applyProtection="1"/>
    <xf numFmtId="1" fontId="28" fillId="26" borderId="263" xfId="0" quotePrefix="1" applyNumberFormat="1" applyFont="1" applyFill="1" applyBorder="1" applyAlignment="1" applyProtection="1">
      <alignment horizontal="center"/>
    </xf>
    <xf numFmtId="0" fontId="31" fillId="45" borderId="266" xfId="0" applyFont="1" applyFill="1" applyBorder="1" applyAlignment="1" applyProtection="1">
      <alignment horizontal="center" vertical="center" wrapText="1"/>
    </xf>
    <xf numFmtId="3" fontId="41" fillId="0" borderId="0" xfId="0" applyNumberFormat="1" applyFont="1" applyFill="1" applyBorder="1" applyAlignment="1" applyProtection="1">
      <alignment horizontal="right" vertical="center"/>
    </xf>
    <xf numFmtId="6" fontId="41" fillId="0" borderId="0" xfId="0" applyNumberFormat="1" applyFont="1" applyFill="1" applyBorder="1" applyAlignment="1" applyProtection="1">
      <alignment horizontal="right" vertical="center"/>
    </xf>
    <xf numFmtId="169" fontId="41" fillId="0" borderId="0" xfId="0" applyNumberFormat="1" applyFont="1" applyFill="1" applyBorder="1" applyAlignment="1" applyProtection="1">
      <alignment horizontal="right" vertical="center"/>
    </xf>
    <xf numFmtId="38" fontId="41" fillId="0" borderId="0" xfId="0" applyNumberFormat="1" applyFont="1" applyFill="1" applyBorder="1" applyAlignment="1" applyProtection="1">
      <alignment horizontal="right" vertical="center"/>
    </xf>
    <xf numFmtId="0" fontId="71" fillId="45" borderId="263" xfId="0" applyFont="1" applyFill="1" applyBorder="1" applyAlignment="1" applyProtection="1">
      <alignment horizontal="center" vertical="center" wrapText="1"/>
    </xf>
    <xf numFmtId="0" fontId="23" fillId="0" borderId="282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3" fillId="0" borderId="197" xfId="0" applyFont="1" applyBorder="1" applyAlignment="1" applyProtection="1">
      <alignment horizontal="center" vertical="center" wrapText="1"/>
    </xf>
    <xf numFmtId="0" fontId="26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4" fillId="0" borderId="240" xfId="45" applyFont="1" applyBorder="1" applyAlignment="1" applyProtection="1">
      <alignment horizontal="left" vertical="center"/>
    </xf>
    <xf numFmtId="38" fontId="34" fillId="0" borderId="240" xfId="45" applyNumberFormat="1" applyFont="1" applyBorder="1" applyAlignment="1" applyProtection="1">
      <alignment vertical="center"/>
    </xf>
    <xf numFmtId="0" fontId="34" fillId="0" borderId="198" xfId="45" applyFont="1" applyBorder="1" applyAlignment="1" applyProtection="1">
      <alignment horizontal="left" vertical="center"/>
    </xf>
    <xf numFmtId="38" fontId="34" fillId="0" borderId="198" xfId="45" applyNumberFormat="1" applyFont="1" applyBorder="1" applyAlignment="1" applyProtection="1">
      <alignment vertical="center"/>
    </xf>
    <xf numFmtId="0" fontId="34" fillId="0" borderId="239" xfId="45" applyFont="1" applyBorder="1" applyAlignment="1" applyProtection="1">
      <alignment horizontal="left" vertical="center"/>
    </xf>
    <xf numFmtId="38" fontId="34" fillId="0" borderId="239" xfId="45" applyNumberFormat="1" applyFont="1" applyBorder="1" applyAlignment="1" applyProtection="1">
      <alignment vertical="center"/>
    </xf>
    <xf numFmtId="3" fontId="78" fillId="0" borderId="12" xfId="47822" applyNumberFormat="1" applyFont="1" applyBorder="1" applyAlignment="1" applyProtection="1">
      <alignment vertical="center"/>
    </xf>
    <xf numFmtId="38" fontId="78" fillId="0" borderId="12" xfId="47822" applyNumberFormat="1" applyFont="1" applyBorder="1" applyAlignment="1" applyProtection="1">
      <alignment vertical="center"/>
    </xf>
    <xf numFmtId="38" fontId="81" fillId="0" borderId="240" xfId="45" applyNumberFormat="1" applyFont="1" applyBorder="1" applyAlignment="1" applyProtection="1">
      <alignment vertical="center"/>
    </xf>
    <xf numFmtId="38" fontId="81" fillId="0" borderId="198" xfId="45" applyNumberFormat="1" applyFont="1" applyBorder="1" applyAlignment="1" applyProtection="1">
      <alignment vertical="center"/>
    </xf>
    <xf numFmtId="0" fontId="70" fillId="0" borderId="0" xfId="0" applyFont="1" applyAlignment="1">
      <alignment vertical="center"/>
    </xf>
    <xf numFmtId="0" fontId="70" fillId="0" borderId="0" xfId="0" applyFont="1" applyFill="1" applyAlignment="1">
      <alignment vertical="center"/>
    </xf>
    <xf numFmtId="0" fontId="70" fillId="0" borderId="0" xfId="0" applyFont="1" applyAlignment="1">
      <alignment horizontal="center" vertical="center" wrapText="1"/>
    </xf>
    <xf numFmtId="0" fontId="34" fillId="0" borderId="239" xfId="45" applyNumberFormat="1" applyFont="1" applyBorder="1" applyAlignment="1" applyProtection="1">
      <alignment horizontal="center" vertical="center"/>
    </xf>
    <xf numFmtId="38" fontId="34" fillId="42" borderId="239" xfId="45" applyNumberFormat="1" applyFont="1" applyFill="1" applyBorder="1" applyAlignment="1" applyProtection="1">
      <alignment vertical="center"/>
    </xf>
    <xf numFmtId="0" fontId="34" fillId="0" borderId="240" xfId="45" applyNumberFormat="1" applyFont="1" applyBorder="1" applyAlignment="1" applyProtection="1">
      <alignment horizontal="center" vertical="center"/>
    </xf>
    <xf numFmtId="38" fontId="34" fillId="42" borderId="240" xfId="45" applyNumberFormat="1" applyFont="1" applyFill="1" applyBorder="1" applyAlignment="1" applyProtection="1">
      <alignment vertical="center"/>
    </xf>
    <xf numFmtId="0" fontId="34" fillId="0" borderId="198" xfId="45" applyNumberFormat="1" applyFont="1" applyBorder="1" applyAlignment="1" applyProtection="1">
      <alignment horizontal="center" vertical="center"/>
    </xf>
    <xf numFmtId="38" fontId="34" fillId="42" borderId="198" xfId="45" applyNumberFormat="1" applyFont="1" applyFill="1" applyBorder="1" applyAlignment="1" applyProtection="1">
      <alignment vertical="center"/>
    </xf>
    <xf numFmtId="0" fontId="78" fillId="0" borderId="12" xfId="47822" applyNumberFormat="1" applyFont="1" applyBorder="1" applyAlignment="1" applyProtection="1">
      <alignment horizontal="center" vertical="center"/>
    </xf>
    <xf numFmtId="0" fontId="82" fillId="0" borderId="0" xfId="0" applyFont="1" applyAlignment="1">
      <alignment vertical="center"/>
    </xf>
    <xf numFmtId="38" fontId="78" fillId="42" borderId="12" xfId="47822" applyNumberFormat="1" applyFont="1" applyFill="1" applyBorder="1" applyAlignment="1" applyProtection="1">
      <alignment vertical="center"/>
    </xf>
    <xf numFmtId="0" fontId="34" fillId="0" borderId="240" xfId="45" applyFont="1" applyBorder="1" applyAlignment="1" applyProtection="1">
      <alignment horizontal="center" vertical="center"/>
    </xf>
    <xf numFmtId="0" fontId="34" fillId="0" borderId="198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71" fillId="40" borderId="216" xfId="0" applyNumberFormat="1" applyFont="1" applyFill="1" applyBorder="1" applyAlignment="1" applyProtection="1">
      <alignment horizontal="center" vertical="center" wrapText="1"/>
    </xf>
    <xf numFmtId="10" fontId="71" fillId="33" borderId="216" xfId="0" applyNumberFormat="1" applyFont="1" applyFill="1" applyBorder="1" applyAlignment="1" applyProtection="1">
      <alignment horizontal="center" vertical="center" wrapText="1"/>
    </xf>
    <xf numFmtId="164" fontId="25" fillId="26" borderId="15" xfId="28" applyNumberFormat="1" applyFont="1" applyFill="1" applyBorder="1" applyAlignment="1" applyProtection="1">
      <alignment horizontal="center" vertical="center"/>
    </xf>
    <xf numFmtId="1" fontId="28" fillId="26" borderId="15" xfId="28" quotePrefix="1" applyNumberFormat="1" applyFont="1" applyFill="1" applyBorder="1" applyAlignment="1" applyProtection="1">
      <alignment horizontal="center" vertical="center"/>
    </xf>
    <xf numFmtId="1" fontId="28" fillId="26" borderId="15" xfId="28" applyNumberFormat="1" applyFont="1" applyFill="1" applyBorder="1" applyAlignment="1" applyProtection="1">
      <alignment horizontal="center" vertical="center"/>
    </xf>
    <xf numFmtId="1" fontId="28" fillId="26" borderId="18" xfId="28" applyNumberFormat="1" applyFont="1" applyFill="1" applyBorder="1" applyAlignment="1" applyProtection="1">
      <alignment horizontal="center" vertical="center"/>
    </xf>
    <xf numFmtId="3" fontId="25" fillId="0" borderId="240" xfId="0" applyNumberFormat="1" applyFont="1" applyBorder="1" applyAlignment="1" applyProtection="1">
      <alignment vertical="center"/>
    </xf>
    <xf numFmtId="165" fontId="25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4" fillId="0" borderId="283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1" fontId="23" fillId="0" borderId="0" xfId="28" applyNumberFormat="1" applyFont="1" applyAlignment="1" applyProtection="1">
      <alignment horizontal="center" vertical="center"/>
    </xf>
    <xf numFmtId="3" fontId="23" fillId="0" borderId="240" xfId="0" applyNumberFormat="1" applyFont="1" applyFill="1" applyBorder="1" applyAlignment="1" applyProtection="1">
      <alignment vertical="center"/>
    </xf>
    <xf numFmtId="3" fontId="23" fillId="0" borderId="240" xfId="0" applyNumberFormat="1" applyFont="1" applyBorder="1" applyAlignment="1" applyProtection="1">
      <alignment vertical="center"/>
    </xf>
    <xf numFmtId="3" fontId="23" fillId="0" borderId="240" xfId="28" applyNumberFormat="1" applyFont="1" applyBorder="1" applyAlignment="1" applyProtection="1">
      <alignment vertical="center"/>
    </xf>
    <xf numFmtId="168" fontId="23" fillId="0" borderId="240" xfId="48" applyNumberFormat="1" applyFont="1" applyBorder="1" applyAlignment="1" applyProtection="1">
      <alignment vertical="center"/>
    </xf>
    <xf numFmtId="165" fontId="23" fillId="0" borderId="247" xfId="0" applyNumberFormat="1" applyFont="1" applyBorder="1" applyAlignment="1" applyProtection="1">
      <alignment vertical="center"/>
    </xf>
    <xf numFmtId="165" fontId="23" fillId="27" borderId="247" xfId="0" applyNumberFormat="1" applyFont="1" applyFill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65" fontId="23" fillId="0" borderId="240" xfId="0" applyNumberFormat="1" applyFont="1" applyBorder="1" applyAlignment="1" applyProtection="1">
      <alignment vertical="center"/>
    </xf>
    <xf numFmtId="165" fontId="23" fillId="27" borderId="240" xfId="0" applyNumberFormat="1" applyFont="1" applyFill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5" fontId="23" fillId="27" borderId="240" xfId="28" applyNumberFormat="1" applyFont="1" applyFill="1" applyBorder="1" applyAlignment="1" applyProtection="1">
      <alignment vertical="center"/>
    </xf>
    <xf numFmtId="165" fontId="23" fillId="0" borderId="240" xfId="28" applyNumberFormat="1" applyFont="1" applyBorder="1" applyAlignment="1" applyProtection="1">
      <alignment vertical="center"/>
    </xf>
    <xf numFmtId="164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3" fontId="23" fillId="0" borderId="0" xfId="0" applyNumberFormat="1" applyFont="1" applyAlignment="1" applyProtection="1">
      <alignment vertical="center"/>
    </xf>
    <xf numFmtId="3" fontId="23" fillId="0" borderId="257" xfId="0" applyNumberFormat="1" applyFont="1" applyBorder="1" applyAlignment="1" applyProtection="1">
      <alignment vertical="center"/>
    </xf>
    <xf numFmtId="3" fontId="23" fillId="0" borderId="14" xfId="0" applyNumberFormat="1" applyFont="1" applyBorder="1" applyAlignment="1" applyProtection="1">
      <alignment vertical="center"/>
    </xf>
    <xf numFmtId="3" fontId="23" fillId="32" borderId="0" xfId="0" applyNumberFormat="1" applyFont="1" applyFill="1" applyAlignment="1" applyProtection="1">
      <alignment vertical="center"/>
    </xf>
    <xf numFmtId="166" fontId="25" fillId="0" borderId="0" xfId="0" applyNumberFormat="1" applyFont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Alignment="1" applyProtection="1">
      <alignment horizontal="center" vertical="center"/>
    </xf>
    <xf numFmtId="164" fontId="25" fillId="0" borderId="0" xfId="28" applyNumberFormat="1" applyFont="1" applyAlignment="1" applyProtection="1">
      <alignment vertical="center"/>
    </xf>
    <xf numFmtId="0" fontId="73" fillId="0" borderId="0" xfId="0" applyFont="1" applyAlignment="1" applyProtection="1">
      <alignment vertical="center"/>
    </xf>
    <xf numFmtId="1" fontId="23" fillId="26" borderId="263" xfId="0" applyNumberFormat="1" applyFont="1" applyFill="1" applyBorder="1" applyAlignment="1" applyProtection="1">
      <alignment horizontal="center" vertical="center"/>
    </xf>
    <xf numFmtId="1" fontId="26" fillId="26" borderId="263" xfId="0" applyNumberFormat="1" applyFont="1" applyFill="1" applyBorder="1" applyAlignment="1" applyProtection="1">
      <alignment horizontal="center" vertical="center"/>
    </xf>
    <xf numFmtId="1" fontId="28" fillId="26" borderId="263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1" fillId="34" borderId="263" xfId="0" applyFont="1" applyFill="1" applyBorder="1" applyAlignment="1" applyProtection="1">
      <alignment horizontal="center" vertical="center" wrapText="1"/>
    </xf>
    <xf numFmtId="0" fontId="71" fillId="50" borderId="263" xfId="0" applyFont="1" applyFill="1" applyBorder="1" applyAlignment="1" applyProtection="1">
      <alignment horizontal="center" vertical="center" wrapText="1"/>
    </xf>
    <xf numFmtId="0" fontId="25" fillId="0" borderId="245" xfId="0" applyFont="1" applyFill="1" applyBorder="1" applyAlignment="1" applyProtection="1">
      <alignment vertical="center"/>
    </xf>
    <xf numFmtId="0" fontId="25" fillId="0" borderId="255" xfId="0" applyFont="1" applyFill="1" applyBorder="1" applyAlignment="1" applyProtection="1">
      <alignment vertical="center"/>
    </xf>
    <xf numFmtId="6" fontId="25" fillId="0" borderId="239" xfId="0" applyNumberFormat="1" applyFont="1" applyFill="1" applyBorder="1" applyAlignment="1" applyProtection="1">
      <alignment vertical="center"/>
    </xf>
    <xf numFmtId="6" fontId="25" fillId="0" borderId="283" xfId="0" applyNumberFormat="1" applyFont="1" applyFill="1" applyBorder="1" applyAlignment="1" applyProtection="1">
      <alignment vertical="center"/>
    </xf>
    <xf numFmtId="6" fontId="25" fillId="45" borderId="239" xfId="0" applyNumberFormat="1" applyFont="1" applyFill="1" applyBorder="1" applyAlignment="1" applyProtection="1">
      <alignment vertical="center"/>
    </xf>
    <xf numFmtId="6" fontId="25" fillId="34" borderId="239" xfId="0" applyNumberFormat="1" applyFont="1" applyFill="1" applyBorder="1" applyAlignment="1" applyProtection="1">
      <alignment vertical="center"/>
    </xf>
    <xf numFmtId="0" fontId="25" fillId="0" borderId="249" xfId="0" applyFont="1" applyFill="1" applyBorder="1" applyAlignment="1" applyProtection="1">
      <alignment vertical="center"/>
    </xf>
    <xf numFmtId="0" fontId="25" fillId="0" borderId="250" xfId="0" applyFont="1" applyFill="1" applyBorder="1" applyAlignment="1" applyProtection="1">
      <alignment vertical="center"/>
    </xf>
    <xf numFmtId="6" fontId="25" fillId="0" borderId="251" xfId="0" applyNumberFormat="1" applyFont="1" applyFill="1" applyBorder="1" applyAlignment="1" applyProtection="1">
      <alignment vertical="center"/>
    </xf>
    <xf numFmtId="6" fontId="25" fillId="45" borderId="251" xfId="0" applyNumberFormat="1" applyFont="1" applyFill="1" applyBorder="1" applyAlignment="1" applyProtection="1">
      <alignment vertical="center"/>
    </xf>
    <xf numFmtId="6" fontId="25" fillId="34" borderId="251" xfId="0" applyNumberFormat="1" applyFont="1" applyFill="1" applyBorder="1" applyAlignment="1" applyProtection="1">
      <alignment vertical="center"/>
    </xf>
    <xf numFmtId="0" fontId="25" fillId="0" borderId="20" xfId="0" applyFont="1" applyFill="1" applyBorder="1" applyAlignment="1" applyProtection="1">
      <alignment vertical="center"/>
    </xf>
    <xf numFmtId="0" fontId="25" fillId="0" borderId="27" xfId="0" applyFont="1" applyFill="1" applyBorder="1" applyAlignment="1" applyProtection="1">
      <alignment vertical="center"/>
    </xf>
    <xf numFmtId="6" fontId="25" fillId="0" borderId="28" xfId="0" applyNumberFormat="1" applyFont="1" applyFill="1" applyBorder="1" applyAlignment="1" applyProtection="1">
      <alignment vertical="center"/>
    </xf>
    <xf numFmtId="6" fontId="25" fillId="45" borderId="28" xfId="0" applyNumberFormat="1" applyFont="1" applyFill="1" applyBorder="1" applyAlignment="1" applyProtection="1">
      <alignment vertical="center"/>
    </xf>
    <xf numFmtId="6" fontId="25" fillId="34" borderId="28" xfId="0" applyNumberFormat="1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0" fontId="25" fillId="0" borderId="253" xfId="0" applyFont="1" applyFill="1" applyBorder="1" applyAlignment="1" applyProtection="1">
      <alignment vertical="center"/>
    </xf>
    <xf numFmtId="6" fontId="25" fillId="0" borderId="254" xfId="0" applyNumberFormat="1" applyFont="1" applyFill="1" applyBorder="1" applyAlignment="1" applyProtection="1">
      <alignment vertical="center"/>
    </xf>
    <xf numFmtId="6" fontId="25" fillId="45" borderId="254" xfId="0" applyNumberFormat="1" applyFont="1" applyFill="1" applyBorder="1" applyAlignment="1" applyProtection="1">
      <alignment vertical="center"/>
    </xf>
    <xf numFmtId="6" fontId="25" fillId="34" borderId="254" xfId="0" applyNumberFormat="1" applyFont="1" applyFill="1" applyBorder="1" applyAlignment="1" applyProtection="1">
      <alignment vertical="center"/>
    </xf>
    <xf numFmtId="0" fontId="25" fillId="0" borderId="242" xfId="0" applyFont="1" applyFill="1" applyBorder="1" applyAlignment="1" applyProtection="1">
      <alignment vertical="center"/>
    </xf>
    <xf numFmtId="0" fontId="25" fillId="0" borderId="248" xfId="0" applyFont="1" applyFill="1" applyBorder="1" applyAlignment="1" applyProtection="1">
      <alignment vertical="center"/>
    </xf>
    <xf numFmtId="6" fontId="25" fillId="45" borderId="240" xfId="0" applyNumberFormat="1" applyFont="1" applyFill="1" applyBorder="1" applyAlignment="1" applyProtection="1">
      <alignment vertical="center"/>
    </xf>
    <xf numFmtId="6" fontId="25" fillId="34" borderId="240" xfId="0" applyNumberFormat="1" applyFont="1" applyFill="1" applyBorder="1" applyAlignment="1" applyProtection="1">
      <alignment vertical="center"/>
    </xf>
    <xf numFmtId="0" fontId="25" fillId="0" borderId="19" xfId="0" applyFont="1" applyFill="1" applyBorder="1" applyAlignment="1" applyProtection="1">
      <alignment vertical="center"/>
    </xf>
    <xf numFmtId="0" fontId="25" fillId="0" borderId="26" xfId="0" applyFont="1" applyFill="1" applyBorder="1" applyAlignment="1" applyProtection="1">
      <alignment vertical="center"/>
    </xf>
    <xf numFmtId="6" fontId="25" fillId="0" borderId="41" xfId="0" applyNumberFormat="1" applyFont="1" applyFill="1" applyBorder="1" applyAlignment="1" applyProtection="1">
      <alignment vertical="center"/>
    </xf>
    <xf numFmtId="6" fontId="25" fillId="45" borderId="41" xfId="0" applyNumberFormat="1" applyFont="1" applyFill="1" applyBorder="1" applyAlignment="1" applyProtection="1">
      <alignment vertical="center"/>
    </xf>
    <xf numFmtId="6" fontId="25" fillId="34" borderId="41" xfId="0" applyNumberFormat="1" applyFont="1" applyFill="1" applyBorder="1" applyAlignment="1" applyProtection="1">
      <alignment vertical="center"/>
    </xf>
    <xf numFmtId="1" fontId="25" fillId="26" borderId="263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5" fontId="23" fillId="0" borderId="246" xfId="54" applyNumberFormat="1" applyFont="1" applyFill="1" applyBorder="1" applyAlignment="1" applyProtection="1">
      <alignment horizontal="right" vertical="center"/>
    </xf>
    <xf numFmtId="165" fontId="23" fillId="32" borderId="246" xfId="54" applyNumberFormat="1" applyFont="1" applyFill="1" applyBorder="1" applyAlignment="1" applyProtection="1">
      <alignment horizontal="right" vertical="center"/>
    </xf>
    <xf numFmtId="165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5" fontId="23" fillId="0" borderId="243" xfId="54" applyNumberFormat="1" applyFont="1" applyFill="1" applyBorder="1" applyAlignment="1" applyProtection="1">
      <alignment horizontal="right" vertical="center"/>
    </xf>
    <xf numFmtId="165" fontId="23" fillId="32" borderId="243" xfId="54" applyNumberFormat="1" applyFont="1" applyFill="1" applyBorder="1" applyAlignment="1" applyProtection="1">
      <alignment horizontal="right" vertical="center"/>
    </xf>
    <xf numFmtId="165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5" fontId="23" fillId="0" borderId="199" xfId="54" applyNumberFormat="1" applyFont="1" applyFill="1" applyBorder="1" applyAlignment="1" applyProtection="1">
      <alignment horizontal="right" vertical="center"/>
    </xf>
    <xf numFmtId="165" fontId="23" fillId="32" borderId="199" xfId="54" applyNumberFormat="1" applyFont="1" applyFill="1" applyBorder="1" applyAlignment="1" applyProtection="1">
      <alignment horizontal="right" vertical="center"/>
    </xf>
    <xf numFmtId="165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5" fontId="23" fillId="0" borderId="243" xfId="53" applyNumberFormat="1" applyFont="1" applyFill="1" applyBorder="1" applyAlignment="1" applyProtection="1">
      <alignment horizontal="right" vertical="center"/>
    </xf>
    <xf numFmtId="165" fontId="23" fillId="32" borderId="243" xfId="53" applyNumberFormat="1" applyFont="1" applyFill="1" applyBorder="1" applyAlignment="1" applyProtection="1">
      <alignment horizontal="right" vertical="center"/>
    </xf>
    <xf numFmtId="165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5" fontId="23" fillId="0" borderId="200" xfId="53" applyNumberFormat="1" applyFont="1" applyFill="1" applyBorder="1" applyAlignment="1" applyProtection="1">
      <alignment horizontal="right" vertical="center"/>
    </xf>
    <xf numFmtId="165" fontId="23" fillId="32" borderId="200" xfId="53" applyNumberFormat="1" applyFont="1" applyFill="1" applyBorder="1" applyAlignment="1" applyProtection="1">
      <alignment horizontal="right" vertical="center"/>
    </xf>
    <xf numFmtId="165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6" fillId="32" borderId="30" xfId="54" applyNumberFormat="1" applyFont="1" applyFill="1" applyBorder="1" applyAlignment="1" applyProtection="1">
      <alignment horizontal="right" vertical="center"/>
    </xf>
    <xf numFmtId="165" fontId="26" fillId="0" borderId="31" xfId="54" applyNumberFormat="1" applyFont="1" applyFill="1" applyBorder="1" applyAlignment="1" applyProtection="1">
      <alignment horizontal="right" vertical="center"/>
    </xf>
    <xf numFmtId="165" fontId="26" fillId="32" borderId="31" xfId="54" applyNumberFormat="1" applyFont="1" applyFill="1" applyBorder="1" applyAlignment="1" applyProtection="1">
      <alignment horizontal="right" vertical="center"/>
    </xf>
    <xf numFmtId="165" fontId="26" fillId="35" borderId="31" xfId="54" applyNumberFormat="1" applyFont="1" applyFill="1" applyBorder="1" applyAlignment="1" applyProtection="1">
      <alignment horizontal="right" vertical="center"/>
    </xf>
    <xf numFmtId="6" fontId="26" fillId="0" borderId="48" xfId="54" applyNumberFormat="1" applyFont="1" applyFill="1" applyBorder="1" applyAlignment="1" applyProtection="1">
      <alignment horizontal="right" vertical="center"/>
    </xf>
    <xf numFmtId="6" fontId="26" fillId="34" borderId="48" xfId="54" applyNumberFormat="1" applyFont="1" applyFill="1" applyBorder="1" applyAlignment="1" applyProtection="1">
      <alignment horizontal="right" vertical="center"/>
    </xf>
    <xf numFmtId="165" fontId="26" fillId="35" borderId="48" xfId="54" applyNumberFormat="1" applyFont="1" applyFill="1" applyBorder="1" applyAlignment="1" applyProtection="1">
      <alignment horizontal="right" vertical="center"/>
    </xf>
    <xf numFmtId="6" fontId="26" fillId="32" borderId="31" xfId="54" applyNumberFormat="1" applyFont="1" applyFill="1" applyBorder="1" applyAlignment="1" applyProtection="1">
      <alignment horizontal="right" vertical="center"/>
    </xf>
    <xf numFmtId="6" fontId="26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5" fontId="23" fillId="0" borderId="33" xfId="53" applyNumberFormat="1" applyFont="1" applyFill="1" applyBorder="1" applyAlignment="1" applyProtection="1">
      <alignment horizontal="right" vertical="center"/>
    </xf>
    <xf numFmtId="165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5" fontId="23" fillId="0" borderId="35" xfId="53" applyNumberFormat="1" applyFont="1" applyFill="1" applyBorder="1" applyAlignment="1" applyProtection="1">
      <alignment horizontal="right" vertical="center"/>
    </xf>
    <xf numFmtId="165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5" fontId="23" fillId="0" borderId="37" xfId="53" applyNumberFormat="1" applyFont="1" applyFill="1" applyBorder="1" applyAlignment="1" applyProtection="1">
      <alignment horizontal="right" vertical="center"/>
    </xf>
    <xf numFmtId="165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6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6" fillId="26" borderId="216" xfId="53" applyNumberFormat="1" applyFont="1" applyFill="1" applyBorder="1" applyAlignment="1" applyProtection="1">
      <alignment horizontal="center" vertical="center"/>
    </xf>
    <xf numFmtId="1" fontId="28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80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6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6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7" fillId="27" borderId="0" xfId="47838" applyNumberFormat="1" applyFont="1" applyFill="1" applyBorder="1" applyAlignment="1">
      <alignment horizontal="center" vertical="center" wrapText="1"/>
    </xf>
    <xf numFmtId="1" fontId="27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6" borderId="263" xfId="47838" quotePrefix="1" applyNumberFormat="1" applyFont="1" applyFill="1" applyBorder="1" applyAlignment="1">
      <alignment horizontal="center" vertical="center"/>
    </xf>
    <xf numFmtId="1" fontId="23" fillId="26" borderId="263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84" fillId="0" borderId="0" xfId="58" applyFont="1" applyFill="1" applyAlignment="1">
      <alignment vertical="center"/>
    </xf>
    <xf numFmtId="0" fontId="23" fillId="0" borderId="0" xfId="58" applyFont="1" applyFill="1" applyBorder="1" applyAlignment="1">
      <alignment vertical="center"/>
    </xf>
    <xf numFmtId="0" fontId="34" fillId="0" borderId="0" xfId="58" quotePrefix="1" applyFont="1" applyFill="1" applyBorder="1" applyAlignment="1">
      <alignment horizontal="left" vertical="center"/>
    </xf>
    <xf numFmtId="0" fontId="84" fillId="0" borderId="0" xfId="58" applyFont="1"/>
    <xf numFmtId="0" fontId="23" fillId="0" borderId="285" xfId="58" applyFont="1" applyFill="1" applyBorder="1" applyAlignment="1" applyProtection="1">
      <alignment vertical="center"/>
    </xf>
    <xf numFmtId="0" fontId="23" fillId="0" borderId="286" xfId="58" applyFont="1" applyFill="1" applyBorder="1" applyAlignment="1" applyProtection="1">
      <alignment vertical="center"/>
    </xf>
    <xf numFmtId="0" fontId="23" fillId="0" borderId="287" xfId="58" applyFont="1" applyFill="1" applyBorder="1" applyAlignment="1" applyProtection="1">
      <alignment vertical="center"/>
    </xf>
    <xf numFmtId="6" fontId="23" fillId="0" borderId="285" xfId="32" applyNumberFormat="1" applyFont="1" applyFill="1" applyBorder="1" applyAlignment="1">
      <alignment horizontal="right" vertical="center"/>
    </xf>
    <xf numFmtId="6" fontId="23" fillId="46" borderId="285" xfId="32" applyNumberFormat="1" applyFont="1" applyFill="1" applyBorder="1" applyAlignment="1">
      <alignment horizontal="right" vertical="center"/>
    </xf>
    <xf numFmtId="6" fontId="23" fillId="0" borderId="286" xfId="32" applyNumberFormat="1" applyFont="1" applyFill="1" applyBorder="1" applyAlignment="1">
      <alignment horizontal="right" vertical="center"/>
    </xf>
    <xf numFmtId="6" fontId="23" fillId="46" borderId="286" xfId="32" applyNumberFormat="1" applyFont="1" applyFill="1" applyBorder="1" applyAlignment="1">
      <alignment horizontal="right" vertical="center"/>
    </xf>
    <xf numFmtId="6" fontId="23" fillId="0" borderId="287" xfId="32" applyNumberFormat="1" applyFont="1" applyFill="1" applyBorder="1" applyAlignment="1">
      <alignment horizontal="right" vertical="center"/>
    </xf>
    <xf numFmtId="6" fontId="23" fillId="46" borderId="287" xfId="32" applyNumberFormat="1" applyFont="1" applyFill="1" applyBorder="1" applyAlignment="1">
      <alignment horizontal="right" vertical="center"/>
    </xf>
    <xf numFmtId="6" fontId="23" fillId="0" borderId="288" xfId="32" applyNumberFormat="1" applyFont="1" applyFill="1" applyBorder="1" applyAlignment="1">
      <alignment horizontal="right" vertical="center"/>
    </xf>
    <xf numFmtId="6" fontId="23" fillId="46" borderId="288" xfId="32" applyNumberFormat="1" applyFont="1" applyFill="1" applyBorder="1" applyAlignment="1">
      <alignment horizontal="right" vertical="center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1" fontId="28" fillId="26" borderId="263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0" fontId="31" fillId="25" borderId="10" xfId="0" applyFont="1" applyFill="1" applyBorder="1" applyAlignment="1" applyProtection="1">
      <alignment horizontal="center" vertical="center" wrapText="1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0" fontId="26" fillId="50" borderId="264" xfId="0" applyFont="1" applyFill="1" applyBorder="1" applyAlignment="1">
      <alignment horizontal="center" vertical="center" wrapText="1"/>
    </xf>
    <xf numFmtId="0" fontId="26" fillId="42" borderId="264" xfId="0" applyFont="1" applyFill="1" applyBorder="1" applyAlignment="1">
      <alignment horizontal="center" vertical="center" wrapText="1"/>
    </xf>
    <xf numFmtId="0" fontId="26" fillId="46" borderId="264" xfId="0" applyFont="1" applyFill="1" applyBorder="1" applyAlignment="1">
      <alignment horizontal="center" vertical="center" wrapText="1"/>
    </xf>
    <xf numFmtId="0" fontId="26" fillId="35" borderId="264" xfId="0" applyFont="1" applyFill="1" applyBorder="1" applyAlignment="1">
      <alignment horizontal="center" vertical="center" wrapText="1"/>
    </xf>
    <xf numFmtId="0" fontId="26" fillId="45" borderId="264" xfId="0" applyFont="1" applyFill="1" applyBorder="1" applyAlignment="1">
      <alignment horizontal="center" vertical="center" wrapText="1"/>
    </xf>
    <xf numFmtId="0" fontId="40" fillId="0" borderId="0" xfId="0" applyFont="1" applyAlignment="1" applyProtection="1">
      <alignment vertical="center"/>
    </xf>
    <xf numFmtId="164" fontId="25" fillId="26" borderId="263" xfId="28" applyNumberFormat="1" applyFont="1" applyFill="1" applyBorder="1" applyAlignment="1" applyProtection="1">
      <alignment horizontal="center" vertical="center"/>
    </xf>
    <xf numFmtId="0" fontId="28" fillId="26" borderId="263" xfId="28" quotePrefix="1" applyNumberFormat="1" applyFont="1" applyFill="1" applyBorder="1" applyAlignment="1" applyProtection="1">
      <alignment horizontal="center" vertical="center"/>
    </xf>
    <xf numFmtId="1" fontId="28" fillId="26" borderId="263" xfId="28" quotePrefix="1" applyNumberFormat="1" applyFont="1" applyFill="1" applyBorder="1" applyAlignment="1" applyProtection="1">
      <alignment horizontal="center" vertical="center"/>
    </xf>
    <xf numFmtId="1" fontId="28" fillId="26" borderId="263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7" fillId="0" borderId="0" xfId="0" applyFont="1" applyAlignment="1" applyProtection="1">
      <alignment vertical="center"/>
    </xf>
    <xf numFmtId="3" fontId="0" fillId="0" borderId="0" xfId="0" applyNumberFormat="1" applyAlignment="1" applyProtection="1">
      <alignment vertical="center"/>
    </xf>
    <xf numFmtId="165" fontId="25" fillId="0" borderId="198" xfId="0" applyNumberFormat="1" applyFont="1" applyFill="1" applyBorder="1" applyAlignment="1" applyProtection="1">
      <alignment vertical="center"/>
    </xf>
    <xf numFmtId="10" fontId="25" fillId="0" borderId="198" xfId="48" applyNumberFormat="1" applyFont="1" applyFill="1" applyBorder="1" applyAlignment="1" applyProtection="1">
      <alignment vertical="center"/>
    </xf>
    <xf numFmtId="10" fontId="25" fillId="0" borderId="198" xfId="0" applyNumberFormat="1" applyFont="1" applyFill="1" applyBorder="1" applyAlignment="1" applyProtection="1">
      <alignment vertical="center"/>
    </xf>
    <xf numFmtId="3" fontId="25" fillId="0" borderId="283" xfId="0" applyNumberFormat="1" applyFont="1" applyBorder="1" applyAlignment="1" applyProtection="1">
      <alignment horizontal="center" vertical="center"/>
    </xf>
    <xf numFmtId="3" fontId="25" fillId="0" borderId="198" xfId="0" applyNumberFormat="1" applyFont="1" applyBorder="1" applyAlignment="1" applyProtection="1">
      <alignment horizontal="center" vertical="center"/>
    </xf>
    <xf numFmtId="3" fontId="25" fillId="0" borderId="283" xfId="0" applyNumberFormat="1" applyFont="1" applyBorder="1" applyAlignment="1" applyProtection="1">
      <alignment vertical="center"/>
    </xf>
    <xf numFmtId="3" fontId="25" fillId="0" borderId="198" xfId="0" applyNumberFormat="1" applyFont="1" applyBorder="1" applyAlignment="1" applyProtection="1">
      <alignment vertical="center"/>
    </xf>
    <xf numFmtId="165" fontId="25" fillId="0" borderId="283" xfId="0" applyNumberFormat="1" applyFont="1" applyBorder="1" applyAlignment="1" applyProtection="1">
      <alignment vertical="center"/>
    </xf>
    <xf numFmtId="165" fontId="25" fillId="0" borderId="198" xfId="0" applyNumberFormat="1" applyFont="1" applyBorder="1" applyAlignment="1" applyProtection="1">
      <alignment vertical="center"/>
    </xf>
    <xf numFmtId="165" fontId="25" fillId="39" borderId="283" xfId="0" applyNumberFormat="1" applyFont="1" applyFill="1" applyBorder="1" applyAlignment="1" applyProtection="1">
      <alignment vertical="center"/>
    </xf>
    <xf numFmtId="165" fontId="25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9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5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6" fontId="0" fillId="0" borderId="0" xfId="0" applyNumberFormat="1" applyBorder="1" applyProtection="1"/>
    <xf numFmtId="49" fontId="31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1" fontId="0" fillId="0" borderId="0" xfId="0" applyNumberFormat="1" applyProtection="1"/>
    <xf numFmtId="3" fontId="78" fillId="0" borderId="0" xfId="47822" applyNumberFormat="1" applyFont="1" applyBorder="1" applyAlignment="1" applyProtection="1">
      <alignment horizontal="center" vertical="center"/>
    </xf>
    <xf numFmtId="3" fontId="78" fillId="0" borderId="0" xfId="47822" applyNumberFormat="1" applyFont="1" applyBorder="1" applyAlignment="1" applyProtection="1">
      <alignment vertical="center"/>
    </xf>
    <xf numFmtId="38" fontId="78" fillId="0" borderId="0" xfId="47822" applyNumberFormat="1" applyFont="1" applyBorder="1" applyAlignment="1" applyProtection="1">
      <alignment vertical="center"/>
    </xf>
    <xf numFmtId="0" fontId="71" fillId="35" borderId="263" xfId="0" applyFont="1" applyFill="1" applyBorder="1" applyAlignment="1" applyProtection="1">
      <alignment horizontal="center" vertical="center" wrapText="1"/>
    </xf>
    <xf numFmtId="0" fontId="71" fillId="39" borderId="263" xfId="0" applyFont="1" applyFill="1" applyBorder="1" applyAlignment="1" applyProtection="1">
      <alignment horizontal="center" vertical="center" wrapText="1"/>
    </xf>
    <xf numFmtId="0" fontId="71" fillId="40" borderId="263" xfId="0" quotePrefix="1" applyFont="1" applyFill="1" applyBorder="1" applyAlignment="1" applyProtection="1">
      <alignment horizontal="center" vertical="center" wrapText="1"/>
    </xf>
    <xf numFmtId="0" fontId="31" fillId="25" borderId="263" xfId="0" applyFont="1" applyFill="1" applyBorder="1" applyAlignment="1" applyProtection="1">
      <alignment horizontal="center" vertical="center" wrapText="1"/>
    </xf>
    <xf numFmtId="0" fontId="71" fillId="35" borderId="263" xfId="0" applyFont="1" applyFill="1" applyBorder="1" applyAlignment="1" applyProtection="1">
      <alignment horizontal="center" vertical="center" wrapText="1"/>
    </xf>
    <xf numFmtId="0" fontId="31" fillId="34" borderId="263" xfId="0" applyFont="1" applyFill="1" applyBorder="1" applyAlignment="1" applyProtection="1">
      <alignment horizontal="center" vertical="center" wrapText="1"/>
    </xf>
    <xf numFmtId="0" fontId="31" fillId="34" borderId="263" xfId="0" applyFont="1" applyFill="1" applyBorder="1" applyAlignment="1" applyProtection="1">
      <alignment horizontal="center" vertical="center" wrapText="1"/>
      <protection locked="0"/>
    </xf>
    <xf numFmtId="0" fontId="31" fillId="45" borderId="263" xfId="0" applyFont="1" applyFill="1" applyBorder="1" applyAlignment="1" applyProtection="1">
      <alignment horizontal="center" vertical="center" wrapText="1"/>
      <protection locked="0"/>
    </xf>
    <xf numFmtId="0" fontId="31" fillId="35" borderId="263" xfId="0" applyFont="1" applyFill="1" applyBorder="1" applyAlignment="1" applyProtection="1">
      <alignment horizontal="center" vertical="center" wrapText="1"/>
    </xf>
    <xf numFmtId="0" fontId="71" fillId="45" borderId="263" xfId="0" applyFont="1" applyFill="1" applyBorder="1" applyAlignment="1" applyProtection="1">
      <alignment horizontal="center" vertical="center" wrapText="1"/>
      <protection locked="0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49" fontId="31" fillId="34" borderId="264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49" fontId="31" fillId="45" borderId="263" xfId="53" applyNumberFormat="1" applyFont="1" applyFill="1" applyBorder="1" applyAlignment="1" applyProtection="1">
      <alignment horizontal="center" vertical="center" wrapText="1"/>
    </xf>
    <xf numFmtId="0" fontId="31" fillId="45" borderId="263" xfId="0" applyFont="1" applyFill="1" applyBorder="1" applyAlignment="1" applyProtection="1">
      <alignment horizontal="center" vertical="center" wrapText="1"/>
    </xf>
    <xf numFmtId="0" fontId="31" fillId="35" borderId="263" xfId="252" applyFont="1" applyFill="1" applyBorder="1" applyAlignment="1" applyProtection="1">
      <alignment horizontal="center" vertical="center" wrapText="1"/>
    </xf>
    <xf numFmtId="0" fontId="26" fillId="28" borderId="263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0" fontId="26" fillId="25" borderId="263" xfId="0" applyFont="1" applyFill="1" applyBorder="1" applyAlignment="1">
      <alignment horizontal="center" vertical="center" wrapText="1"/>
    </xf>
    <xf numFmtId="1" fontId="28" fillId="26" borderId="198" xfId="0" quotePrefix="1" applyNumberFormat="1" applyFont="1" applyFill="1" applyBorder="1" applyAlignment="1" applyProtection="1">
      <alignment horizontal="center" vertical="center" wrapText="1"/>
    </xf>
    <xf numFmtId="1" fontId="28" fillId="26" borderId="263" xfId="28" quotePrefix="1" applyNumberFormat="1" applyFont="1" applyFill="1" applyBorder="1" applyAlignment="1" applyProtection="1">
      <alignment horizontal="center" vertical="center" wrapText="1"/>
    </xf>
    <xf numFmtId="0" fontId="28" fillId="26" borderId="264" xfId="28" quotePrefix="1" applyNumberFormat="1" applyFont="1" applyFill="1" applyBorder="1" applyAlignment="1" applyProtection="1">
      <alignment horizontal="center" vertical="center"/>
    </xf>
    <xf numFmtId="1" fontId="23" fillId="26" borderId="263" xfId="47838" quotePrefix="1" applyNumberFormat="1" applyFont="1" applyFill="1" applyBorder="1" applyAlignment="1">
      <alignment horizontal="center" vertical="center" wrapText="1"/>
    </xf>
    <xf numFmtId="0" fontId="23" fillId="26" borderId="40" xfId="58" applyFont="1" applyFill="1" applyBorder="1" applyAlignment="1">
      <alignment vertical="center"/>
    </xf>
    <xf numFmtId="0" fontId="23" fillId="26" borderId="22" xfId="58" applyFont="1" applyFill="1" applyBorder="1" applyAlignment="1">
      <alignment vertical="center"/>
    </xf>
    <xf numFmtId="1" fontId="23" fillId="26" borderId="263" xfId="53" applyNumberFormat="1" applyFont="1" applyFill="1" applyBorder="1" applyAlignment="1" applyProtection="1">
      <alignment horizontal="center" vertical="center"/>
    </xf>
    <xf numFmtId="1" fontId="26" fillId="26" borderId="263" xfId="53" applyNumberFormat="1" applyFont="1" applyFill="1" applyBorder="1" applyAlignment="1" applyProtection="1">
      <alignment horizontal="center" vertical="center"/>
    </xf>
    <xf numFmtId="0" fontId="78" fillId="0" borderId="0" xfId="47822" applyNumberFormat="1" applyFont="1" applyBorder="1" applyAlignment="1" applyProtection="1">
      <alignment horizontal="center" vertical="center"/>
    </xf>
    <xf numFmtId="165" fontId="71" fillId="47" borderId="296" xfId="252" applyNumberFormat="1" applyFont="1" applyFill="1" applyBorder="1" applyAlignment="1" applyProtection="1">
      <alignment horizontal="center" vertical="center" wrapText="1"/>
    </xf>
    <xf numFmtId="165" fontId="71" fillId="33" borderId="296" xfId="64" applyNumberFormat="1" applyFont="1" applyFill="1" applyBorder="1" applyAlignment="1" applyProtection="1">
      <alignment horizontal="center" vertical="center" wrapText="1"/>
    </xf>
    <xf numFmtId="6" fontId="31" fillId="31" borderId="296" xfId="64" applyNumberFormat="1" applyFont="1" applyFill="1" applyBorder="1" applyAlignment="1" applyProtection="1">
      <alignment horizontal="center" vertical="center" wrapText="1"/>
    </xf>
    <xf numFmtId="165" fontId="71" fillId="52" borderId="296" xfId="64" applyNumberFormat="1" applyFont="1" applyFill="1" applyBorder="1" applyAlignment="1" applyProtection="1">
      <alignment horizontal="center" vertical="center" wrapText="1"/>
    </xf>
    <xf numFmtId="1" fontId="28" fillId="26" borderId="296" xfId="64" quotePrefix="1" applyNumberFormat="1" applyFont="1" applyFill="1" applyBorder="1" applyAlignment="1" applyProtection="1">
      <alignment horizontal="center"/>
    </xf>
    <xf numFmtId="0" fontId="23" fillId="0" borderId="302" xfId="64" applyFont="1" applyFill="1" applyBorder="1" applyAlignment="1" applyProtection="1">
      <alignment horizontal="center" vertical="center"/>
    </xf>
    <xf numFmtId="0" fontId="23" fillId="0" borderId="303" xfId="64" applyFont="1" applyFill="1" applyBorder="1" applyAlignment="1" applyProtection="1">
      <alignment horizontal="center" vertical="center"/>
    </xf>
    <xf numFmtId="0" fontId="23" fillId="0" borderId="304" xfId="64" applyFont="1" applyFill="1" applyBorder="1" applyAlignment="1" applyProtection="1">
      <alignment vertical="center"/>
    </xf>
    <xf numFmtId="38" fontId="23" fillId="0" borderId="305" xfId="252" applyNumberFormat="1" applyFont="1" applyBorder="1" applyAlignment="1" applyProtection="1">
      <alignment vertical="center"/>
    </xf>
    <xf numFmtId="0" fontId="23" fillId="0" borderId="306" xfId="64" applyFont="1" applyFill="1" applyBorder="1" applyAlignment="1" applyProtection="1">
      <alignment vertical="center"/>
    </xf>
    <xf numFmtId="38" fontId="23" fillId="0" borderId="307" xfId="252" applyNumberFormat="1" applyFont="1" applyBorder="1" applyAlignment="1" applyProtection="1">
      <alignment vertical="center"/>
    </xf>
    <xf numFmtId="0" fontId="23" fillId="0" borderId="308" xfId="64" applyFont="1" applyFill="1" applyBorder="1" applyAlignment="1" applyProtection="1">
      <alignment horizontal="center" vertical="center"/>
    </xf>
    <xf numFmtId="0" fontId="23" fillId="0" borderId="309" xfId="64" applyFont="1" applyFill="1" applyBorder="1" applyAlignment="1" applyProtection="1">
      <alignment horizontal="center" vertical="center"/>
    </xf>
    <xf numFmtId="0" fontId="23" fillId="0" borderId="298" xfId="64" applyFont="1" applyFill="1" applyBorder="1" applyAlignment="1" applyProtection="1">
      <alignment horizontal="center" vertical="center"/>
    </xf>
    <xf numFmtId="0" fontId="23" fillId="0" borderId="310" xfId="64" applyFont="1" applyFill="1" applyBorder="1" applyAlignment="1" applyProtection="1">
      <alignment vertical="center"/>
    </xf>
    <xf numFmtId="38" fontId="23" fillId="0" borderId="300" xfId="252" applyNumberFormat="1" applyFont="1" applyBorder="1" applyAlignment="1" applyProtection="1">
      <alignment vertical="center"/>
    </xf>
    <xf numFmtId="38" fontId="23" fillId="0" borderId="307" xfId="252" applyNumberFormat="1" applyFont="1" applyFill="1" applyBorder="1" applyAlignment="1" applyProtection="1">
      <alignment vertical="center"/>
    </xf>
    <xf numFmtId="38" fontId="23" fillId="0" borderId="300" xfId="252" applyNumberFormat="1" applyFont="1" applyFill="1" applyBorder="1" applyAlignment="1" applyProtection="1">
      <alignment vertical="center"/>
    </xf>
    <xf numFmtId="38" fontId="23" fillId="0" borderId="305" xfId="252" applyNumberFormat="1" applyFont="1" applyFill="1" applyBorder="1" applyAlignment="1" applyProtection="1">
      <alignment vertical="center"/>
    </xf>
    <xf numFmtId="6" fontId="23" fillId="34" borderId="305" xfId="252" applyNumberFormat="1" applyFont="1" applyFill="1" applyBorder="1" applyAlignment="1" applyProtection="1">
      <alignment vertical="center"/>
    </xf>
    <xf numFmtId="0" fontId="23" fillId="0" borderId="307" xfId="64" applyNumberFormat="1" applyFont="1" applyFill="1" applyBorder="1" applyAlignment="1" applyProtection="1">
      <alignment horizontal="center" vertical="center"/>
    </xf>
    <xf numFmtId="6" fontId="23" fillId="34" borderId="307" xfId="252" applyNumberFormat="1" applyFont="1" applyFill="1" applyBorder="1" applyAlignment="1" applyProtection="1">
      <alignment vertical="center"/>
    </xf>
    <xf numFmtId="0" fontId="23" fillId="0" borderId="300" xfId="64" applyNumberFormat="1" applyFont="1" applyFill="1" applyBorder="1" applyAlignment="1" applyProtection="1">
      <alignment horizontal="center" vertical="center"/>
    </xf>
    <xf numFmtId="0" fontId="23" fillId="0" borderId="299" xfId="64" applyNumberFormat="1" applyFont="1" applyFill="1" applyBorder="1" applyAlignment="1" applyProtection="1">
      <alignment horizontal="center" vertical="center"/>
    </xf>
    <xf numFmtId="6" fontId="23" fillId="34" borderId="300" xfId="252" applyNumberFormat="1" applyFont="1" applyFill="1" applyBorder="1" applyAlignment="1" applyProtection="1">
      <alignment vertical="center"/>
    </xf>
    <xf numFmtId="0" fontId="26" fillId="0" borderId="311" xfId="64" applyFont="1" applyFill="1" applyBorder="1" applyAlignment="1" applyProtection="1">
      <alignment horizontal="center" vertical="center"/>
    </xf>
    <xf numFmtId="0" fontId="26" fillId="0" borderId="312" xfId="64" applyFont="1" applyFill="1" applyBorder="1" applyAlignment="1" applyProtection="1">
      <alignment horizontal="center" vertical="center"/>
    </xf>
    <xf numFmtId="0" fontId="26" fillId="24" borderId="313" xfId="64" applyFont="1" applyFill="1" applyBorder="1" applyAlignment="1" applyProtection="1">
      <alignment horizontal="left" vertical="center"/>
    </xf>
    <xf numFmtId="38" fontId="26" fillId="0" borderId="314" xfId="28" applyNumberFormat="1" applyFont="1" applyFill="1" applyBorder="1" applyAlignment="1" applyProtection="1">
      <alignment vertical="center"/>
    </xf>
    <xf numFmtId="0" fontId="23" fillId="28" borderId="298" xfId="64" applyFont="1" applyFill="1" applyBorder="1" applyAlignment="1" applyProtection="1">
      <alignment horizontal="center" vertical="center"/>
    </xf>
    <xf numFmtId="38" fontId="26" fillId="28" borderId="300" xfId="64" applyNumberFormat="1" applyFont="1" applyFill="1" applyBorder="1" applyAlignment="1" applyProtection="1">
      <alignment horizontal="left" vertical="center"/>
    </xf>
    <xf numFmtId="38" fontId="26" fillId="28" borderId="299" xfId="64" applyNumberFormat="1" applyFont="1" applyFill="1" applyBorder="1" applyAlignment="1" applyProtection="1">
      <alignment horizontal="left" vertical="center"/>
    </xf>
    <xf numFmtId="6" fontId="26" fillId="28" borderId="299" xfId="64" applyNumberFormat="1" applyFont="1" applyFill="1" applyBorder="1" applyAlignment="1" applyProtection="1">
      <alignment horizontal="left" vertical="center"/>
    </xf>
    <xf numFmtId="0" fontId="23" fillId="28" borderId="292" xfId="64" applyFont="1" applyFill="1" applyBorder="1" applyAlignment="1" applyProtection="1">
      <alignment horizontal="center" vertical="center"/>
    </xf>
    <xf numFmtId="6" fontId="26" fillId="28" borderId="300" xfId="64" applyNumberFormat="1" applyFont="1" applyFill="1" applyBorder="1" applyAlignment="1" applyProtection="1">
      <alignment horizontal="left" vertical="center"/>
    </xf>
    <xf numFmtId="6" fontId="23" fillId="28" borderId="299" xfId="64" applyNumberFormat="1" applyFont="1" applyFill="1" applyBorder="1" applyAlignment="1" applyProtection="1">
      <alignment horizontal="left" vertical="center"/>
    </xf>
    <xf numFmtId="6" fontId="23" fillId="0" borderId="297" xfId="0" applyNumberFormat="1" applyFont="1" applyFill="1" applyBorder="1" applyAlignment="1" applyProtection="1">
      <alignment vertical="center"/>
    </xf>
    <xf numFmtId="6" fontId="26" fillId="0" borderId="314" xfId="28" applyNumberFormat="1" applyFont="1" applyFill="1" applyBorder="1" applyAlignment="1" applyProtection="1">
      <alignment vertical="center"/>
    </xf>
    <xf numFmtId="0" fontId="71" fillId="35" borderId="296" xfId="0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0" fontId="71" fillId="50" borderId="296" xfId="0" applyFont="1" applyFill="1" applyBorder="1" applyAlignment="1" applyProtection="1">
      <alignment horizontal="center" vertical="center" wrapText="1"/>
    </xf>
    <xf numFmtId="0" fontId="31" fillId="45" borderId="296" xfId="0" applyFont="1" applyFill="1" applyBorder="1" applyAlignment="1" applyProtection="1">
      <alignment horizontal="center" vertical="center" wrapText="1"/>
    </xf>
    <xf numFmtId="0" fontId="71" fillId="45" borderId="296" xfId="0" applyFont="1" applyFill="1" applyBorder="1" applyAlignment="1" applyProtection="1">
      <alignment horizontal="center" vertical="center" wrapText="1"/>
    </xf>
    <xf numFmtId="1" fontId="27" fillId="26" borderId="263" xfId="0" applyNumberFormat="1" applyFont="1" applyFill="1" applyBorder="1" applyAlignment="1" applyProtection="1">
      <alignment horizontal="center" vertical="center"/>
    </xf>
    <xf numFmtId="1" fontId="86" fillId="26" borderId="263" xfId="0" applyNumberFormat="1" applyFont="1" applyFill="1" applyBorder="1" applyAlignment="1" applyProtection="1">
      <alignment horizontal="center" vertical="center" wrapText="1"/>
    </xf>
    <xf numFmtId="1" fontId="86" fillId="26" borderId="296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1" fontId="86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71" fillId="35" borderId="296" xfId="0" applyFont="1" applyFill="1" applyBorder="1" applyAlignment="1" applyProtection="1">
      <alignment horizontal="center" vertical="center" wrapText="1"/>
    </xf>
    <xf numFmtId="0" fontId="31" fillId="25" borderId="291" xfId="0" applyFont="1" applyFill="1" applyBorder="1" applyAlignment="1" applyProtection="1">
      <alignment horizontal="center" vertical="center" wrapText="1"/>
    </xf>
    <xf numFmtId="1" fontId="28" fillId="26" borderId="296" xfId="28" quotePrefix="1" applyNumberFormat="1" applyFont="1" applyFill="1" applyBorder="1" applyAlignment="1" applyProtection="1">
      <alignment horizontal="center" vertical="center" wrapText="1"/>
    </xf>
    <xf numFmtId="165" fontId="23" fillId="0" borderId="299" xfId="0" applyNumberFormat="1" applyFont="1" applyBorder="1" applyAlignment="1" applyProtection="1">
      <alignment vertical="center"/>
    </xf>
    <xf numFmtId="165" fontId="23" fillId="27" borderId="299" xfId="0" applyNumberFormat="1" applyFont="1" applyFill="1" applyBorder="1" applyAlignment="1" applyProtection="1">
      <alignment vertical="center"/>
    </xf>
    <xf numFmtId="10" fontId="23" fillId="0" borderId="299" xfId="0" applyNumberFormat="1" applyFont="1" applyBorder="1" applyAlignment="1" applyProtection="1">
      <alignment vertical="center"/>
    </xf>
    <xf numFmtId="6" fontId="23" fillId="0" borderId="299" xfId="32" applyNumberFormat="1" applyFont="1" applyBorder="1" applyAlignment="1" applyProtection="1">
      <alignment vertical="center"/>
    </xf>
    <xf numFmtId="6" fontId="23" fillId="0" borderId="316" xfId="0" applyNumberFormat="1" applyFont="1" applyFill="1" applyBorder="1" applyAlignment="1" applyProtection="1">
      <alignment vertical="center"/>
    </xf>
    <xf numFmtId="0" fontId="28" fillId="26" borderId="296" xfId="28" quotePrefix="1" applyNumberFormat="1" applyFont="1" applyFill="1" applyBorder="1" applyAlignment="1" applyProtection="1">
      <alignment horizontal="center" vertical="center"/>
    </xf>
    <xf numFmtId="38" fontId="34" fillId="0" borderId="317" xfId="45" applyNumberFormat="1" applyFont="1" applyBorder="1" applyAlignment="1" applyProtection="1">
      <alignment vertical="center"/>
    </xf>
    <xf numFmtId="38" fontId="34" fillId="0" borderId="318" xfId="45" applyNumberFormat="1" applyFont="1" applyBorder="1" applyAlignment="1" applyProtection="1">
      <alignment vertical="center"/>
    </xf>
    <xf numFmtId="0" fontId="28" fillId="26" borderId="297" xfId="28" quotePrefix="1" applyNumberFormat="1" applyFont="1" applyFill="1" applyBorder="1" applyAlignment="1" applyProtection="1">
      <alignment horizontal="center" vertical="center"/>
    </xf>
    <xf numFmtId="38" fontId="34" fillId="36" borderId="240" xfId="45" applyNumberFormat="1" applyFont="1" applyFill="1" applyBorder="1" applyAlignment="1" applyProtection="1">
      <alignment vertical="center"/>
    </xf>
    <xf numFmtId="38" fontId="34" fillId="36" borderId="198" xfId="45" applyNumberFormat="1" applyFont="1" applyFill="1" applyBorder="1" applyAlignment="1" applyProtection="1">
      <alignment vertical="center"/>
    </xf>
    <xf numFmtId="6" fontId="23" fillId="34" borderId="305" xfId="64" applyNumberFormat="1" applyFont="1" applyFill="1" applyBorder="1" applyAlignment="1" applyProtection="1">
      <alignment vertical="center"/>
    </xf>
    <xf numFmtId="6" fontId="23" fillId="34" borderId="307" xfId="64" applyNumberFormat="1" applyFont="1" applyFill="1" applyBorder="1" applyAlignment="1" applyProtection="1">
      <alignment vertical="center"/>
    </xf>
    <xf numFmtId="6" fontId="23" fillId="34" borderId="300" xfId="64" applyNumberFormat="1" applyFont="1" applyFill="1" applyBorder="1" applyAlignment="1" applyProtection="1">
      <alignment vertical="center"/>
    </xf>
    <xf numFmtId="6" fontId="26" fillId="34" borderId="314" xfId="252" applyNumberFormat="1" applyFont="1" applyFill="1" applyBorder="1" applyAlignment="1" applyProtection="1">
      <alignment vertical="center"/>
    </xf>
    <xf numFmtId="6" fontId="23" fillId="0" borderId="305" xfId="64" applyNumberFormat="1" applyFont="1" applyFill="1" applyBorder="1" applyAlignment="1" applyProtection="1">
      <alignment vertical="center"/>
    </xf>
    <xf numFmtId="6" fontId="23" fillId="0" borderId="307" xfId="64" applyNumberFormat="1" applyFont="1" applyFill="1" applyBorder="1" applyAlignment="1" applyProtection="1">
      <alignment vertical="center"/>
    </xf>
    <xf numFmtId="6" fontId="23" fillId="0" borderId="300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6" fillId="0" borderId="314" xfId="64" applyNumberFormat="1" applyFont="1" applyFill="1" applyBorder="1" applyAlignment="1" applyProtection="1">
      <alignment vertical="center"/>
    </xf>
    <xf numFmtId="6" fontId="23" fillId="35" borderId="307" xfId="64" applyNumberFormat="1" applyFont="1" applyFill="1" applyBorder="1" applyAlignment="1" applyProtection="1">
      <alignment vertical="center"/>
    </xf>
    <xf numFmtId="6" fontId="23" fillId="38" borderId="307" xfId="64" applyNumberFormat="1" applyFont="1" applyFill="1" applyBorder="1" applyAlignment="1" applyProtection="1">
      <alignment vertical="center"/>
    </xf>
    <xf numFmtId="6" fontId="23" fillId="35" borderId="300" xfId="64" applyNumberFormat="1" applyFont="1" applyFill="1" applyBorder="1" applyAlignment="1" applyProtection="1">
      <alignment vertical="center"/>
    </xf>
    <xf numFmtId="6" fontId="23" fillId="38" borderId="300" xfId="64" applyNumberFormat="1" applyFont="1" applyFill="1" applyBorder="1" applyAlignment="1" applyProtection="1">
      <alignment vertical="center"/>
    </xf>
    <xf numFmtId="6" fontId="23" fillId="35" borderId="305" xfId="64" applyNumberFormat="1" applyFont="1" applyFill="1" applyBorder="1" applyAlignment="1" applyProtection="1">
      <alignment vertical="center"/>
    </xf>
    <xf numFmtId="6" fontId="23" fillId="38" borderId="305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6" fillId="35" borderId="314" xfId="64" applyNumberFormat="1" applyFont="1" applyFill="1" applyBorder="1" applyAlignment="1" applyProtection="1">
      <alignment vertical="center"/>
    </xf>
    <xf numFmtId="6" fontId="26" fillId="38" borderId="314" xfId="64" applyNumberFormat="1" applyFont="1" applyFill="1" applyBorder="1" applyAlignment="1" applyProtection="1">
      <alignment vertical="center"/>
    </xf>
    <xf numFmtId="6" fontId="23" fillId="42" borderId="305" xfId="64" applyNumberFormat="1" applyFont="1" applyFill="1" applyBorder="1" applyAlignment="1" applyProtection="1">
      <alignment vertical="center"/>
    </xf>
    <xf numFmtId="6" fontId="70" fillId="32" borderId="305" xfId="64" applyNumberFormat="1" applyFont="1" applyFill="1" applyBorder="1" applyAlignment="1" applyProtection="1">
      <alignment vertical="center"/>
    </xf>
    <xf numFmtId="6" fontId="26" fillId="40" borderId="305" xfId="64" applyNumberFormat="1" applyFont="1" applyFill="1" applyBorder="1" applyAlignment="1" applyProtection="1">
      <alignment vertical="center"/>
    </xf>
    <xf numFmtId="6" fontId="23" fillId="42" borderId="307" xfId="64" applyNumberFormat="1" applyFont="1" applyFill="1" applyBorder="1" applyAlignment="1" applyProtection="1">
      <alignment vertical="center"/>
    </xf>
    <xf numFmtId="6" fontId="70" fillId="32" borderId="307" xfId="64" applyNumberFormat="1" applyFont="1" applyFill="1" applyBorder="1" applyAlignment="1" applyProtection="1">
      <alignment vertical="center"/>
    </xf>
    <xf numFmtId="6" fontId="26" fillId="40" borderId="307" xfId="64" applyNumberFormat="1" applyFont="1" applyFill="1" applyBorder="1" applyAlignment="1" applyProtection="1">
      <alignment vertical="center"/>
    </xf>
    <xf numFmtId="6" fontId="23" fillId="42" borderId="300" xfId="64" applyNumberFormat="1" applyFont="1" applyFill="1" applyBorder="1" applyAlignment="1" applyProtection="1">
      <alignment vertical="center"/>
    </xf>
    <xf numFmtId="6" fontId="70" fillId="32" borderId="300" xfId="64" applyNumberFormat="1" applyFont="1" applyFill="1" applyBorder="1" applyAlignment="1" applyProtection="1">
      <alignment vertical="center"/>
    </xf>
    <xf numFmtId="6" fontId="26" fillId="40" borderId="300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70" fillId="32" borderId="251" xfId="64" applyNumberFormat="1" applyFont="1" applyFill="1" applyBorder="1" applyAlignment="1" applyProtection="1">
      <alignment vertical="center"/>
    </xf>
    <xf numFmtId="6" fontId="26" fillId="40" borderId="251" xfId="64" applyNumberFormat="1" applyFont="1" applyFill="1" applyBorder="1" applyAlignment="1" applyProtection="1">
      <alignment vertical="center"/>
    </xf>
    <xf numFmtId="6" fontId="26" fillId="42" borderId="314" xfId="64" applyNumberFormat="1" applyFont="1" applyFill="1" applyBorder="1" applyAlignment="1" applyProtection="1">
      <alignment vertical="center"/>
    </xf>
    <xf numFmtId="6" fontId="78" fillId="32" borderId="314" xfId="64" applyNumberFormat="1" applyFont="1" applyFill="1" applyBorder="1" applyAlignment="1" applyProtection="1">
      <alignment vertical="center"/>
    </xf>
    <xf numFmtId="6" fontId="26" fillId="40" borderId="314" xfId="64" applyNumberFormat="1" applyFont="1" applyFill="1" applyBorder="1" applyAlignment="1" applyProtection="1">
      <alignment vertical="center"/>
    </xf>
    <xf numFmtId="6" fontId="78" fillId="28" borderId="299" xfId="64" applyNumberFormat="1" applyFont="1" applyFill="1" applyBorder="1" applyAlignment="1" applyProtection="1">
      <alignment horizontal="left" vertical="center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6" fontId="25" fillId="0" borderId="317" xfId="0" applyNumberFormat="1" applyFont="1" applyFill="1" applyBorder="1" applyAlignment="1" applyProtection="1">
      <alignment vertical="center"/>
    </xf>
    <xf numFmtId="6" fontId="25" fillId="0" borderId="316" xfId="0" applyNumberFormat="1" applyFont="1" applyFill="1" applyBorder="1" applyAlignment="1" applyProtection="1">
      <alignment vertical="center"/>
    </xf>
    <xf numFmtId="0" fontId="71" fillId="35" borderId="296" xfId="0" applyFont="1" applyFill="1" applyBorder="1" applyAlignment="1" applyProtection="1">
      <alignment horizontal="center" vertical="center" wrapText="1"/>
    </xf>
    <xf numFmtId="49" fontId="31" fillId="34" borderId="296" xfId="53" applyNumberFormat="1" applyFont="1" applyFill="1" applyBorder="1" applyAlignment="1" applyProtection="1">
      <alignment horizontal="center" vertical="center" wrapText="1"/>
    </xf>
    <xf numFmtId="0" fontId="31" fillId="34" borderId="296" xfId="252" applyFont="1" applyFill="1" applyBorder="1" applyAlignment="1" applyProtection="1">
      <alignment horizontal="center" vertical="center" wrapText="1"/>
    </xf>
    <xf numFmtId="0" fontId="31" fillId="45" borderId="296" xfId="64" applyFont="1" applyFill="1" applyBorder="1" applyAlignment="1" applyProtection="1">
      <alignment horizontal="center" vertical="center" wrapText="1"/>
    </xf>
    <xf numFmtId="0" fontId="31" fillId="42" borderId="296" xfId="64" applyFont="1" applyFill="1" applyBorder="1" applyAlignment="1" applyProtection="1">
      <alignment horizontal="center" vertical="center" wrapText="1"/>
    </xf>
    <xf numFmtId="6" fontId="31" fillId="51" borderId="296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3" fillId="0" borderId="285" xfId="58" applyNumberFormat="1" applyFont="1" applyFill="1" applyBorder="1" applyAlignment="1" applyProtection="1">
      <alignment vertical="center"/>
    </xf>
    <xf numFmtId="0" fontId="23" fillId="0" borderId="286" xfId="58" applyNumberFormat="1" applyFont="1" applyFill="1" applyBorder="1" applyAlignment="1" applyProtection="1">
      <alignment vertical="center"/>
    </xf>
    <xf numFmtId="0" fontId="23" fillId="0" borderId="287" xfId="58" applyNumberFormat="1" applyFont="1" applyFill="1" applyBorder="1" applyAlignment="1" applyProtection="1">
      <alignment vertical="center"/>
    </xf>
    <xf numFmtId="0" fontId="31" fillId="25" borderId="10" xfId="0" applyFont="1" applyFill="1" applyBorder="1" applyAlignment="1" applyProtection="1">
      <alignment horizontal="center" vertical="center" wrapText="1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Border="1" applyAlignment="1" applyProtection="1">
      <alignment vertical="center"/>
    </xf>
    <xf numFmtId="1" fontId="27" fillId="26" borderId="263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0" fontId="26" fillId="0" borderId="296" xfId="0" applyFont="1" applyBorder="1" applyProtection="1"/>
    <xf numFmtId="1" fontId="27" fillId="26" borderId="296" xfId="28" applyNumberFormat="1" applyFont="1" applyFill="1" applyBorder="1" applyAlignment="1" applyProtection="1">
      <alignment horizontal="center" vertical="center"/>
    </xf>
    <xf numFmtId="1" fontId="27" fillId="0" borderId="0" xfId="28" applyNumberFormat="1" applyFont="1" applyAlignment="1" applyProtection="1">
      <alignment horizontal="center" vertical="center"/>
    </xf>
    <xf numFmtId="1" fontId="86" fillId="26" borderId="296" xfId="28" applyNumberFormat="1" applyFont="1" applyFill="1" applyBorder="1" applyAlignment="1" applyProtection="1">
      <alignment horizontal="center" vertical="center" wrapText="1"/>
    </xf>
    <xf numFmtId="1" fontId="86" fillId="26" borderId="296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18" xfId="0" applyNumberFormat="1" applyFont="1" applyFill="1" applyBorder="1" applyAlignment="1" applyProtection="1">
      <alignment horizontal="center" vertical="center"/>
    </xf>
    <xf numFmtId="3" fontId="23" fillId="0" borderId="318" xfId="0" applyNumberFormat="1" applyFont="1" applyFill="1" applyBorder="1" applyAlignment="1" applyProtection="1">
      <alignment vertical="center"/>
    </xf>
    <xf numFmtId="3" fontId="23" fillId="0" borderId="318" xfId="0" applyNumberFormat="1" applyFont="1" applyBorder="1" applyAlignment="1" applyProtection="1">
      <alignment vertical="center"/>
    </xf>
    <xf numFmtId="168" fontId="23" fillId="0" borderId="318" xfId="48" applyNumberFormat="1" applyFont="1" applyBorder="1" applyAlignment="1" applyProtection="1">
      <alignment vertical="center"/>
    </xf>
    <xf numFmtId="10" fontId="23" fillId="0" borderId="318" xfId="0" applyNumberFormat="1" applyFont="1" applyBorder="1" applyAlignment="1" applyProtection="1">
      <alignment vertical="center"/>
    </xf>
    <xf numFmtId="6" fontId="23" fillId="0" borderId="318" xfId="0" applyNumberFormat="1" applyFont="1" applyBorder="1" applyAlignment="1" applyProtection="1">
      <alignment vertical="center"/>
    </xf>
    <xf numFmtId="165" fontId="23" fillId="0" borderId="318" xfId="0" applyNumberFormat="1" applyFont="1" applyBorder="1" applyAlignment="1" applyProtection="1">
      <alignment vertical="center"/>
    </xf>
    <xf numFmtId="165" fontId="23" fillId="27" borderId="318" xfId="0" applyNumberFormat="1" applyFont="1" applyFill="1" applyBorder="1" applyAlignment="1" applyProtection="1">
      <alignment vertical="center"/>
    </xf>
    <xf numFmtId="10" fontId="23" fillId="0" borderId="318" xfId="48" applyNumberFormat="1" applyFont="1" applyBorder="1" applyAlignment="1" applyProtection="1">
      <alignment vertical="center"/>
    </xf>
    <xf numFmtId="165" fontId="23" fillId="27" borderId="318" xfId="28" applyNumberFormat="1" applyFont="1" applyFill="1" applyBorder="1" applyAlignment="1" applyProtection="1">
      <alignment vertical="center"/>
    </xf>
    <xf numFmtId="165" fontId="23" fillId="0" borderId="318" xfId="28" applyNumberFormat="1" applyFont="1" applyBorder="1" applyAlignment="1" applyProtection="1">
      <alignment vertical="center"/>
    </xf>
    <xf numFmtId="164" fontId="23" fillId="0" borderId="318" xfId="28" applyNumberFormat="1" applyFont="1" applyBorder="1" applyAlignment="1" applyProtection="1">
      <alignment vertical="center"/>
    </xf>
    <xf numFmtId="6" fontId="23" fillId="0" borderId="318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7" borderId="12" xfId="0" applyNumberFormat="1" applyFont="1" applyFill="1" applyBorder="1" applyAlignment="1" applyProtection="1">
      <alignment vertical="center"/>
    </xf>
    <xf numFmtId="10" fontId="26" fillId="27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5" fontId="26" fillId="27" borderId="12" xfId="0" applyNumberFormat="1" applyFont="1" applyFill="1" applyBorder="1" applyAlignment="1" applyProtection="1">
      <alignment vertical="center"/>
    </xf>
    <xf numFmtId="165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6" borderId="318" xfId="28" applyNumberFormat="1" applyFont="1" applyFill="1" applyBorder="1" applyAlignment="1" applyProtection="1">
      <alignment horizontal="center" vertical="center"/>
    </xf>
    <xf numFmtId="165" fontId="28" fillId="27" borderId="296" xfId="28" applyNumberFormat="1" applyFont="1" applyFill="1" applyBorder="1" applyAlignment="1" applyProtection="1">
      <alignment horizontal="center" vertical="center"/>
    </xf>
    <xf numFmtId="164" fontId="28" fillId="27" borderId="296" xfId="28" applyNumberFormat="1" applyFont="1" applyFill="1" applyBorder="1" applyAlignment="1" applyProtection="1">
      <alignment horizontal="center" vertical="center"/>
    </xf>
    <xf numFmtId="1" fontId="27" fillId="26" borderId="263" xfId="0" applyNumberFormat="1" applyFont="1" applyFill="1" applyBorder="1" applyAlignment="1" applyProtection="1">
      <alignment vertical="center"/>
    </xf>
    <xf numFmtId="1" fontId="86" fillId="26" borderId="263" xfId="0" quotePrefix="1" applyNumberFormat="1" applyFont="1" applyFill="1" applyBorder="1" applyAlignment="1" applyProtection="1">
      <alignment horizontal="center" vertical="center" wrapText="1"/>
    </xf>
    <xf numFmtId="1" fontId="86" fillId="26" borderId="263" xfId="0" quotePrefix="1" applyNumberFormat="1" applyFont="1" applyFill="1" applyBorder="1" applyAlignment="1" applyProtection="1">
      <alignment horizontal="center" vertical="center"/>
    </xf>
    <xf numFmtId="0" fontId="23" fillId="28" borderId="320" xfId="64" applyFont="1" applyFill="1" applyBorder="1" applyAlignment="1" applyProtection="1">
      <alignment horizontal="center" vertical="center"/>
    </xf>
    <xf numFmtId="0" fontId="23" fillId="28" borderId="321" xfId="64" applyFont="1" applyFill="1" applyBorder="1" applyAlignment="1" applyProtection="1">
      <alignment horizontal="center" vertical="center"/>
    </xf>
    <xf numFmtId="0" fontId="26" fillId="28" borderId="322" xfId="64" applyFont="1" applyFill="1" applyBorder="1" applyAlignment="1" applyProtection="1">
      <alignment horizontal="left" vertical="center"/>
    </xf>
    <xf numFmtId="38" fontId="26" fillId="28" borderId="319" xfId="64" applyNumberFormat="1" applyFont="1" applyFill="1" applyBorder="1" applyAlignment="1" applyProtection="1">
      <alignment horizontal="left" vertical="center"/>
    </xf>
    <xf numFmtId="6" fontId="23" fillId="28" borderId="322" xfId="64" applyNumberFormat="1" applyFont="1" applyFill="1" applyBorder="1" applyAlignment="1" applyProtection="1">
      <alignment horizontal="left" vertical="center"/>
    </xf>
    <xf numFmtId="38" fontId="23" fillId="28" borderId="319" xfId="64" applyNumberFormat="1" applyFont="1" applyFill="1" applyBorder="1" applyAlignment="1" applyProtection="1">
      <alignment horizontal="left" vertical="center"/>
    </xf>
    <xf numFmtId="38" fontId="23" fillId="28" borderId="322" xfId="64" applyNumberFormat="1" applyFont="1" applyFill="1" applyBorder="1" applyAlignment="1" applyProtection="1">
      <alignment horizontal="left" vertical="center"/>
    </xf>
    <xf numFmtId="6" fontId="26" fillId="28" borderId="322" xfId="64" applyNumberFormat="1" applyFont="1" applyFill="1" applyBorder="1" applyAlignment="1" applyProtection="1">
      <alignment horizontal="left" vertical="center"/>
    </xf>
    <xf numFmtId="6" fontId="78" fillId="28" borderId="322" xfId="64" applyNumberFormat="1" applyFont="1" applyFill="1" applyBorder="1" applyAlignment="1" applyProtection="1">
      <alignment horizontal="left" vertical="center"/>
    </xf>
    <xf numFmtId="0" fontId="23" fillId="36" borderId="320" xfId="64" applyFont="1" applyFill="1" applyBorder="1" applyAlignment="1" applyProtection="1">
      <alignment horizontal="center" vertical="center"/>
    </xf>
    <xf numFmtId="0" fontId="23" fillId="36" borderId="321" xfId="64" applyFont="1" applyFill="1" applyBorder="1" applyAlignment="1" applyProtection="1">
      <alignment horizontal="center" vertical="center"/>
    </xf>
    <xf numFmtId="0" fontId="26" fillId="36" borderId="322" xfId="64" applyFont="1" applyFill="1" applyBorder="1" applyAlignment="1" applyProtection="1">
      <alignment horizontal="left" vertical="center"/>
    </xf>
    <xf numFmtId="0" fontId="26" fillId="28" borderId="322" xfId="64" applyFont="1" applyFill="1" applyBorder="1" applyAlignment="1" applyProtection="1">
      <alignment vertical="center"/>
    </xf>
    <xf numFmtId="38" fontId="26" fillId="28" borderId="322" xfId="64" applyNumberFormat="1" applyFont="1" applyFill="1" applyBorder="1" applyAlignment="1" applyProtection="1">
      <alignment horizontal="left" vertical="center"/>
    </xf>
    <xf numFmtId="1" fontId="27" fillId="26" borderId="301" xfId="64" applyNumberFormat="1" applyFont="1" applyFill="1" applyBorder="1" applyAlignment="1" applyProtection="1">
      <alignment horizontal="center"/>
    </xf>
    <xf numFmtId="1" fontId="27" fillId="26" borderId="290" xfId="64" applyNumberFormat="1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64" applyFont="1" applyProtection="1"/>
    <xf numFmtId="1" fontId="86" fillId="26" borderId="296" xfId="0" quotePrefix="1" applyNumberFormat="1" applyFont="1" applyFill="1" applyBorder="1" applyAlignment="1" applyProtection="1">
      <alignment horizontal="center" vertical="center" wrapText="1"/>
    </xf>
    <xf numFmtId="1" fontId="27" fillId="26" borderId="291" xfId="64" applyNumberFormat="1" applyFont="1" applyFill="1" applyBorder="1" applyProtection="1"/>
    <xf numFmtId="1" fontId="86" fillId="26" borderId="295" xfId="64" quotePrefix="1" applyNumberFormat="1" applyFont="1" applyFill="1" applyBorder="1" applyAlignment="1" applyProtection="1">
      <alignment horizontal="center" vertical="center" wrapText="1"/>
    </xf>
    <xf numFmtId="1" fontId="86" fillId="26" borderId="295" xfId="64" quotePrefix="1" applyNumberFormat="1" applyFont="1" applyFill="1" applyBorder="1" applyAlignment="1" applyProtection="1">
      <alignment horizontal="center"/>
    </xf>
    <xf numFmtId="0" fontId="27" fillId="26" borderId="198" xfId="0" applyFont="1" applyFill="1" applyBorder="1" applyAlignment="1" applyProtection="1">
      <alignment vertical="center"/>
    </xf>
    <xf numFmtId="1" fontId="27" fillId="26" borderId="198" xfId="53" applyNumberFormat="1" applyFont="1" applyFill="1" applyBorder="1" applyAlignment="1" applyProtection="1">
      <alignment horizontal="center"/>
    </xf>
    <xf numFmtId="1" fontId="88" fillId="26" borderId="198" xfId="53" applyNumberFormat="1" applyFont="1" applyFill="1" applyBorder="1" applyAlignment="1" applyProtection="1">
      <alignment horizontal="center"/>
    </xf>
    <xf numFmtId="1" fontId="86" fillId="26" borderId="198" xfId="53" quotePrefix="1" applyNumberFormat="1" applyFont="1" applyFill="1" applyBorder="1" applyAlignment="1" applyProtection="1">
      <alignment horizontal="center" vertical="center" wrapText="1"/>
    </xf>
    <xf numFmtId="0" fontId="27" fillId="0" borderId="0" xfId="0" applyFont="1" applyProtection="1"/>
    <xf numFmtId="1" fontId="27" fillId="26" borderId="263" xfId="53" applyNumberFormat="1" applyFont="1" applyFill="1" applyBorder="1" applyAlignment="1" applyProtection="1">
      <alignment horizontal="center"/>
    </xf>
    <xf numFmtId="1" fontId="88" fillId="26" borderId="263" xfId="53" applyNumberFormat="1" applyFont="1" applyFill="1" applyBorder="1" applyAlignment="1" applyProtection="1">
      <alignment horizontal="center"/>
    </xf>
    <xf numFmtId="1" fontId="27" fillId="26" borderId="263" xfId="53" applyNumberFormat="1" applyFont="1" applyFill="1" applyBorder="1" applyAlignment="1" applyProtection="1">
      <alignment horizontal="center" vertical="center"/>
    </xf>
    <xf numFmtId="1" fontId="27" fillId="26" borderId="15" xfId="53" applyNumberFormat="1" applyFont="1" applyFill="1" applyBorder="1" applyAlignment="1" applyProtection="1">
      <alignment horizontal="center" vertical="center"/>
    </xf>
    <xf numFmtId="0" fontId="27" fillId="26" borderId="197" xfId="0" applyFont="1" applyFill="1" applyBorder="1" applyAlignment="1" applyProtection="1">
      <alignment horizontal="center"/>
    </xf>
    <xf numFmtId="0" fontId="27" fillId="26" borderId="197" xfId="0" applyFont="1" applyFill="1" applyBorder="1" applyProtection="1"/>
    <xf numFmtId="0" fontId="0" fillId="31" borderId="315" xfId="0" applyFill="1" applyBorder="1" applyProtection="1"/>
    <xf numFmtId="0" fontId="0" fillId="31" borderId="299" xfId="0" applyFill="1" applyBorder="1" applyProtection="1"/>
    <xf numFmtId="0" fontId="0" fillId="31" borderId="298" xfId="0" applyFill="1" applyBorder="1" applyProtection="1"/>
    <xf numFmtId="0" fontId="32" fillId="31" borderId="315" xfId="0" applyFont="1" applyFill="1" applyBorder="1" applyAlignment="1" applyProtection="1">
      <alignment horizontal="center" wrapText="1"/>
    </xf>
    <xf numFmtId="165" fontId="29" fillId="31" borderId="298" xfId="28" applyNumberFormat="1" applyFont="1" applyFill="1" applyBorder="1" applyAlignment="1" applyProtection="1">
      <alignment horizontal="center"/>
    </xf>
    <xf numFmtId="0" fontId="0" fillId="31" borderId="298" xfId="0" applyFill="1" applyBorder="1" applyAlignment="1" applyProtection="1">
      <alignment horizontal="center"/>
    </xf>
    <xf numFmtId="0" fontId="38" fillId="31" borderId="298" xfId="0" applyFont="1" applyFill="1" applyBorder="1" applyAlignment="1" applyProtection="1">
      <alignment vertical="center" wrapText="1"/>
    </xf>
    <xf numFmtId="0" fontId="38" fillId="31" borderId="298" xfId="0" quotePrefix="1" applyFont="1" applyFill="1" applyBorder="1" applyAlignment="1" applyProtection="1">
      <alignment vertical="center" wrapText="1"/>
    </xf>
    <xf numFmtId="0" fontId="36" fillId="31" borderId="298" xfId="0" applyFont="1" applyFill="1" applyBorder="1" applyAlignment="1" applyProtection="1">
      <alignment vertical="center"/>
    </xf>
    <xf numFmtId="0" fontId="36" fillId="31" borderId="299" xfId="0" applyFont="1" applyFill="1" applyBorder="1" applyAlignment="1" applyProtection="1">
      <alignment horizontal="center" vertical="center"/>
    </xf>
    <xf numFmtId="0" fontId="0" fillId="33" borderId="298" xfId="0" applyFill="1" applyBorder="1" applyProtection="1"/>
    <xf numFmtId="0" fontId="0" fillId="33" borderId="315" xfId="0" applyFill="1" applyBorder="1" applyProtection="1"/>
    <xf numFmtId="0" fontId="36" fillId="33" borderId="298" xfId="0" applyFont="1" applyFill="1" applyBorder="1" applyAlignment="1" applyProtection="1">
      <alignment vertical="center"/>
    </xf>
    <xf numFmtId="0" fontId="36" fillId="33" borderId="299" xfId="0" applyFont="1" applyFill="1" applyBorder="1" applyAlignment="1" applyProtection="1">
      <alignment vertical="center"/>
    </xf>
    <xf numFmtId="0" fontId="0" fillId="33" borderId="299" xfId="0" applyFill="1" applyBorder="1" applyProtection="1"/>
    <xf numFmtId="49" fontId="31" fillId="35" borderId="296" xfId="53" applyNumberFormat="1" applyFont="1" applyFill="1" applyBorder="1" applyAlignment="1" applyProtection="1">
      <alignment horizontal="center" vertical="center" wrapText="1"/>
    </xf>
    <xf numFmtId="1" fontId="28" fillId="26" borderId="296" xfId="53" quotePrefix="1" applyNumberFormat="1" applyFont="1" applyFill="1" applyBorder="1" applyAlignment="1" applyProtection="1">
      <alignment horizontal="center" vertical="center"/>
    </xf>
    <xf numFmtId="1" fontId="86" fillId="26" borderId="296" xfId="53" quotePrefix="1" applyNumberFormat="1" applyFont="1" applyFill="1" applyBorder="1" applyAlignment="1" applyProtection="1">
      <alignment horizontal="center" vertical="center" wrapText="1"/>
    </xf>
    <xf numFmtId="1" fontId="27" fillId="26" borderId="318" xfId="53" applyNumberFormat="1" applyFont="1" applyFill="1" applyBorder="1" applyAlignment="1" applyProtection="1">
      <alignment horizontal="center" vertical="center"/>
    </xf>
    <xf numFmtId="1" fontId="26" fillId="26" borderId="291" xfId="53" applyNumberFormat="1" applyFont="1" applyFill="1" applyBorder="1" applyAlignment="1" applyProtection="1">
      <alignment horizontal="center" vertical="center"/>
    </xf>
    <xf numFmtId="1" fontId="88" fillId="26" borderId="318" xfId="53" applyNumberFormat="1" applyFont="1" applyFill="1" applyBorder="1" applyAlignment="1" applyProtection="1">
      <alignment horizontal="center" vertical="center"/>
    </xf>
    <xf numFmtId="1" fontId="23" fillId="26" borderId="301" xfId="53" applyNumberFormat="1" applyFont="1" applyFill="1" applyBorder="1" applyAlignment="1" applyProtection="1">
      <alignment horizontal="center" vertical="center"/>
    </xf>
    <xf numFmtId="1" fontId="23" fillId="26" borderId="290" xfId="53" applyNumberFormat="1" applyFont="1" applyFill="1" applyBorder="1" applyAlignment="1" applyProtection="1">
      <alignment horizontal="center" vertical="center"/>
    </xf>
    <xf numFmtId="1" fontId="27" fillId="26" borderId="315" xfId="53" applyNumberFormat="1" applyFont="1" applyFill="1" applyBorder="1" applyAlignment="1" applyProtection="1">
      <alignment horizontal="center" vertical="center"/>
    </xf>
    <xf numFmtId="1" fontId="27" fillId="26" borderId="298" xfId="53" applyNumberFormat="1" applyFont="1" applyFill="1" applyBorder="1" applyAlignment="1" applyProtection="1">
      <alignment horizontal="center" vertical="center"/>
    </xf>
    <xf numFmtId="38" fontId="23" fillId="32" borderId="323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4" xfId="54" applyNumberFormat="1" applyFont="1" applyFill="1" applyBorder="1" applyAlignment="1" applyProtection="1">
      <alignment horizontal="right" vertical="center"/>
    </xf>
    <xf numFmtId="0" fontId="23" fillId="0" borderId="325" xfId="53" applyFont="1" applyFill="1" applyBorder="1" applyAlignment="1" applyProtection="1">
      <alignment horizontal="center" vertical="center"/>
    </xf>
    <xf numFmtId="0" fontId="23" fillId="0" borderId="323" xfId="53" applyFont="1" applyFill="1" applyBorder="1" applyAlignment="1" applyProtection="1">
      <alignment horizontal="center" vertical="center"/>
    </xf>
    <xf numFmtId="0" fontId="23" fillId="0" borderId="304" xfId="53" applyFont="1" applyFill="1" applyBorder="1" applyAlignment="1" applyProtection="1">
      <alignment vertical="center"/>
    </xf>
    <xf numFmtId="0" fontId="23" fillId="0" borderId="306" xfId="53" applyFont="1" applyFill="1" applyBorder="1" applyAlignment="1" applyProtection="1">
      <alignment vertical="center"/>
    </xf>
    <xf numFmtId="0" fontId="23" fillId="0" borderId="309" xfId="53" applyFont="1" applyFill="1" applyBorder="1" applyAlignment="1" applyProtection="1">
      <alignment horizontal="center" vertical="center"/>
    </xf>
    <xf numFmtId="0" fontId="23" fillId="0" borderId="324" xfId="53" applyFont="1" applyFill="1" applyBorder="1" applyAlignment="1" applyProtection="1">
      <alignment horizontal="center" vertical="center"/>
    </xf>
    <xf numFmtId="0" fontId="23" fillId="0" borderId="310" xfId="53" applyFont="1" applyFill="1" applyBorder="1" applyAlignment="1" applyProtection="1">
      <alignment vertical="center"/>
    </xf>
    <xf numFmtId="1" fontId="27" fillId="26" borderId="299" xfId="53" applyNumberFormat="1" applyFont="1" applyFill="1" applyBorder="1" applyAlignment="1" applyProtection="1">
      <alignment horizontal="center" vertical="center"/>
    </xf>
    <xf numFmtId="6" fontId="23" fillId="39" borderId="245" xfId="53" applyNumberFormat="1" applyFont="1" applyFill="1" applyBorder="1" applyAlignment="1" applyProtection="1">
      <alignment horizontal="right" vertical="center"/>
    </xf>
    <xf numFmtId="6" fontId="23" fillId="39" borderId="246" xfId="53" applyNumberFormat="1" applyFont="1" applyFill="1" applyBorder="1" applyAlignment="1" applyProtection="1">
      <alignment horizontal="right" vertical="center"/>
    </xf>
    <xf numFmtId="6" fontId="23" fillId="39" borderId="242" xfId="53" applyNumberFormat="1" applyFont="1" applyFill="1" applyBorder="1" applyAlignment="1" applyProtection="1">
      <alignment horizontal="right" vertical="center"/>
    </xf>
    <xf numFmtId="6" fontId="23" fillId="39" borderId="243" xfId="53" applyNumberFormat="1" applyFont="1" applyFill="1" applyBorder="1" applyAlignment="1" applyProtection="1">
      <alignment horizontal="right" vertical="center"/>
    </xf>
    <xf numFmtId="6" fontId="23" fillId="39" borderId="224" xfId="53" applyNumberFormat="1" applyFont="1" applyFill="1" applyBorder="1" applyAlignment="1" applyProtection="1">
      <alignment horizontal="right" vertical="center"/>
    </xf>
    <xf numFmtId="6" fontId="23" fillId="39" borderId="199" xfId="53" applyNumberFormat="1" applyFont="1" applyFill="1" applyBorder="1" applyAlignment="1" applyProtection="1">
      <alignment horizontal="right" vertical="center"/>
    </xf>
    <xf numFmtId="6" fontId="23" fillId="32" borderId="243" xfId="53" applyNumberFormat="1" applyFont="1" applyFill="1" applyBorder="1" applyAlignment="1" applyProtection="1">
      <alignment horizontal="right" vertical="center"/>
    </xf>
    <xf numFmtId="6" fontId="23" fillId="32" borderId="200" xfId="53" applyNumberFormat="1" applyFont="1" applyFill="1" applyBorder="1" applyAlignment="1" applyProtection="1">
      <alignment horizontal="right" vertical="center"/>
    </xf>
    <xf numFmtId="6" fontId="26" fillId="39" borderId="278" xfId="54" applyNumberFormat="1" applyFont="1" applyFill="1" applyBorder="1" applyAlignment="1" applyProtection="1">
      <alignment horizontal="right" vertical="center"/>
    </xf>
    <xf numFmtId="6" fontId="26" fillId="32" borderId="0" xfId="54" applyNumberFormat="1" applyFont="1" applyFill="1" applyBorder="1" applyAlignment="1" applyProtection="1">
      <alignment horizontal="right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9" borderId="240" xfId="53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6" fontId="23" fillId="39" borderId="28" xfId="53" applyNumberFormat="1" applyFont="1" applyFill="1" applyBorder="1" applyAlignment="1" applyProtection="1">
      <alignment horizontal="right" vertical="center"/>
    </xf>
    <xf numFmtId="8" fontId="71" fillId="25" borderId="201" xfId="0" applyNumberFormat="1" applyFont="1" applyFill="1" applyBorder="1" applyAlignment="1" applyProtection="1">
      <alignment horizontal="center" vertical="center" wrapText="1"/>
    </xf>
    <xf numFmtId="6" fontId="71" fillId="25" borderId="201" xfId="0" applyNumberFormat="1" applyFont="1" applyFill="1" applyBorder="1" applyAlignment="1" applyProtection="1">
      <alignment horizontal="center" vertical="center" wrapText="1"/>
    </xf>
    <xf numFmtId="1" fontId="25" fillId="26" borderId="201" xfId="0" applyNumberFormat="1" applyFont="1" applyFill="1" applyBorder="1" applyAlignment="1" applyProtection="1">
      <alignment vertical="center"/>
    </xf>
    <xf numFmtId="1" fontId="26" fillId="26" borderId="201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7" fillId="0" borderId="0" xfId="0" applyNumberFormat="1" applyFont="1" applyAlignment="1" applyProtection="1">
      <alignment vertical="center"/>
    </xf>
    <xf numFmtId="5" fontId="23" fillId="0" borderId="240" xfId="0" applyNumberFormat="1" applyFont="1" applyFill="1" applyBorder="1" applyAlignment="1" applyProtection="1">
      <alignment vertical="center"/>
    </xf>
    <xf numFmtId="165" fontId="23" fillId="0" borderId="240" xfId="28" applyNumberFormat="1" applyFont="1" applyFill="1" applyBorder="1" applyAlignment="1" applyProtection="1">
      <alignment vertical="center"/>
    </xf>
    <xf numFmtId="164" fontId="23" fillId="0" borderId="240" xfId="28" applyNumberFormat="1" applyFont="1" applyFill="1" applyBorder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5" fontId="23" fillId="0" borderId="28" xfId="0" applyNumberFormat="1" applyFont="1" applyFill="1" applyBorder="1" applyAlignment="1" applyProtection="1">
      <alignment vertical="center"/>
    </xf>
    <xf numFmtId="165" fontId="23" fillId="0" borderId="28" xfId="28" applyNumberFormat="1" applyFont="1" applyFill="1" applyBorder="1" applyAlignment="1" applyProtection="1">
      <alignment vertical="center"/>
    </xf>
    <xf numFmtId="164" fontId="23" fillId="0" borderId="28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0" fontId="23" fillId="0" borderId="0" xfId="0" quotePrefix="1" applyFont="1" applyAlignment="1" applyProtection="1">
      <alignment vertical="center"/>
    </xf>
    <xf numFmtId="5" fontId="23" fillId="0" borderId="41" xfId="0" applyNumberFormat="1" applyFont="1" applyFill="1" applyBorder="1" applyAlignment="1" applyProtection="1">
      <alignment vertical="center"/>
    </xf>
    <xf numFmtId="165" fontId="23" fillId="0" borderId="41" xfId="28" applyNumberFormat="1" applyFont="1" applyFill="1" applyBorder="1" applyAlignment="1" applyProtection="1">
      <alignment vertical="center"/>
    </xf>
    <xf numFmtId="164" fontId="23" fillId="0" borderId="41" xfId="28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6" fillId="0" borderId="212" xfId="0" applyFont="1" applyFill="1" applyBorder="1" applyAlignment="1" applyProtection="1">
      <alignment vertical="center"/>
    </xf>
    <xf numFmtId="0" fontId="26" fillId="0" borderId="213" xfId="0" applyFont="1" applyFill="1" applyBorder="1" applyAlignment="1" applyProtection="1">
      <alignment horizontal="center" vertical="center"/>
    </xf>
    <xf numFmtId="5" fontId="63" fillId="0" borderId="12" xfId="0" applyNumberFormat="1" applyFont="1" applyFill="1" applyBorder="1" applyAlignment="1" applyProtection="1">
      <alignment vertical="center"/>
    </xf>
    <xf numFmtId="164" fontId="63" fillId="0" borderId="12" xfId="28" applyNumberFormat="1" applyFont="1" applyFill="1" applyBorder="1" applyAlignment="1" applyProtection="1">
      <alignment vertical="center"/>
    </xf>
    <xf numFmtId="38" fontId="26" fillId="0" borderId="12" xfId="28" applyNumberFormat="1" applyFont="1" applyFill="1" applyBorder="1" applyAlignment="1" applyProtection="1">
      <alignment vertical="center"/>
    </xf>
    <xf numFmtId="5" fontId="26" fillId="0" borderId="12" xfId="0" applyNumberFormat="1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31" fillId="0" borderId="0" xfId="0" applyFont="1" applyFill="1" applyBorder="1" applyAlignment="1" applyProtection="1">
      <alignment horizontal="center" vertical="center"/>
    </xf>
    <xf numFmtId="0" fontId="71" fillId="45" borderId="296" xfId="0" applyFont="1" applyFill="1" applyBorder="1" applyAlignment="1" applyProtection="1">
      <alignment horizontal="center" vertical="center" wrapText="1"/>
      <protection locked="0"/>
    </xf>
    <xf numFmtId="0" fontId="31" fillId="45" borderId="296" xfId="0" applyFont="1" applyFill="1" applyBorder="1" applyAlignment="1" applyProtection="1">
      <alignment horizontal="center" vertical="center" wrapText="1"/>
      <protection locked="0"/>
    </xf>
    <xf numFmtId="0" fontId="30" fillId="25" borderId="326" xfId="0" applyFont="1" applyFill="1" applyBorder="1" applyAlignment="1" applyProtection="1">
      <alignment horizontal="center" vertical="center" wrapText="1"/>
    </xf>
    <xf numFmtId="0" fontId="31" fillId="25" borderId="295" xfId="0" applyFont="1" applyFill="1" applyBorder="1" applyAlignment="1" applyProtection="1">
      <alignment horizontal="center" vertical="center" wrapText="1"/>
    </xf>
    <xf numFmtId="1" fontId="23" fillId="26" borderId="292" xfId="64" applyNumberFormat="1" applyFont="1" applyFill="1" applyBorder="1" applyAlignment="1" applyProtection="1">
      <alignment horizontal="center"/>
    </xf>
    <xf numFmtId="1" fontId="26" fillId="26" borderId="293" xfId="64" applyNumberFormat="1" applyFont="1" applyFill="1" applyBorder="1" applyProtection="1"/>
    <xf numFmtId="1" fontId="23" fillId="26" borderId="294" xfId="64" applyNumberFormat="1" applyFont="1" applyFill="1" applyBorder="1" applyAlignment="1" applyProtection="1">
      <alignment horizontal="center"/>
    </xf>
    <xf numFmtId="164" fontId="27" fillId="26" borderId="263" xfId="28" applyNumberFormat="1" applyFont="1" applyFill="1" applyBorder="1" applyAlignment="1" applyProtection="1">
      <alignment horizontal="center" vertical="center"/>
    </xf>
    <xf numFmtId="1" fontId="86" fillId="26" borderId="263" xfId="28" quotePrefix="1" applyNumberFormat="1" applyFont="1" applyFill="1" applyBorder="1" applyAlignment="1" applyProtection="1">
      <alignment horizontal="center" vertical="center"/>
    </xf>
    <xf numFmtId="1" fontId="86" fillId="26" borderId="263" xfId="28" applyNumberFormat="1" applyFont="1" applyFill="1" applyBorder="1" applyAlignment="1" applyProtection="1">
      <alignment horizontal="center" vertical="center"/>
    </xf>
    <xf numFmtId="164" fontId="27" fillId="26" borderId="263" xfId="28" applyNumberFormat="1" applyFont="1" applyFill="1" applyBorder="1" applyAlignment="1" applyProtection="1">
      <alignment horizontal="center" vertical="center" wrapText="1"/>
    </xf>
    <xf numFmtId="0" fontId="86" fillId="26" borderId="263" xfId="28" quotePrefix="1" applyNumberFormat="1" applyFont="1" applyFill="1" applyBorder="1" applyAlignment="1" applyProtection="1">
      <alignment horizontal="center" vertical="center" wrapText="1"/>
    </xf>
    <xf numFmtId="1" fontId="86" fillId="26" borderId="263" xfId="28" quotePrefix="1" applyNumberFormat="1" applyFont="1" applyFill="1" applyBorder="1" applyAlignment="1" applyProtection="1">
      <alignment horizontal="center" vertical="center" wrapText="1"/>
    </xf>
    <xf numFmtId="1" fontId="86" fillId="26" borderId="263" xfId="28" applyNumberFormat="1" applyFont="1" applyFill="1" applyBorder="1" applyAlignment="1" applyProtection="1">
      <alignment horizontal="center" vertical="center" wrapText="1"/>
    </xf>
    <xf numFmtId="49" fontId="31" fillId="34" borderId="296" xfId="53" applyNumberFormat="1" applyFont="1" applyFill="1" applyBorder="1" applyAlignment="1" applyProtection="1">
      <alignment horizontal="center" vertical="center" wrapText="1"/>
    </xf>
    <xf numFmtId="0" fontId="71" fillId="43" borderId="296" xfId="70" applyFont="1" applyFill="1" applyBorder="1" applyAlignment="1" applyProtection="1">
      <alignment horizontal="center" vertical="center" wrapText="1"/>
    </xf>
    <xf numFmtId="0" fontId="71" fillId="48" borderId="296" xfId="70" applyFont="1" applyFill="1" applyBorder="1" applyAlignment="1" applyProtection="1">
      <alignment horizontal="center" vertical="center" wrapText="1"/>
    </xf>
    <xf numFmtId="0" fontId="71" fillId="49" borderId="296" xfId="70" applyFont="1" applyFill="1" applyBorder="1" applyAlignment="1" applyProtection="1">
      <alignment horizontal="center" vertical="center" wrapText="1"/>
    </xf>
    <xf numFmtId="0" fontId="71" fillId="34" borderId="296" xfId="70" applyFont="1" applyFill="1" applyBorder="1" applyAlignment="1" applyProtection="1">
      <alignment horizontal="center" vertical="center" wrapText="1"/>
    </xf>
    <xf numFmtId="0" fontId="71" fillId="55" borderId="296" xfId="70" applyFont="1" applyFill="1" applyBorder="1" applyAlignment="1" applyProtection="1">
      <alignment horizontal="center" vertical="center" wrapText="1"/>
    </xf>
    <xf numFmtId="0" fontId="71" fillId="56" borderId="296" xfId="70" applyFont="1" applyFill="1" applyBorder="1" applyAlignment="1" applyProtection="1">
      <alignment horizontal="center" vertical="center" wrapText="1"/>
    </xf>
    <xf numFmtId="0" fontId="71" fillId="57" borderId="296" xfId="70" applyFont="1" applyFill="1" applyBorder="1" applyAlignment="1" applyProtection="1">
      <alignment horizontal="center" vertical="center" wrapText="1"/>
    </xf>
    <xf numFmtId="0" fontId="71" fillId="50" borderId="296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0" fontId="31" fillId="35" borderId="296" xfId="64" applyFont="1" applyFill="1" applyBorder="1" applyAlignment="1" applyProtection="1">
      <alignment horizontal="center" vertical="center" wrapText="1"/>
    </xf>
    <xf numFmtId="38" fontId="65" fillId="54" borderId="305" xfId="252" applyNumberFormat="1" applyFont="1" applyFill="1" applyBorder="1" applyAlignment="1" applyProtection="1">
      <alignment vertical="center"/>
    </xf>
    <xf numFmtId="0" fontId="23" fillId="0" borderId="327" xfId="64" applyFont="1" applyFill="1" applyBorder="1" applyAlignment="1" applyProtection="1">
      <alignment horizontal="center" vertical="center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86" fillId="26" borderId="328" xfId="53" quotePrefix="1" applyNumberFormat="1" applyFont="1" applyFill="1" applyBorder="1" applyAlignment="1" applyProtection="1">
      <alignment horizontal="center" vertical="center" wrapText="1"/>
    </xf>
    <xf numFmtId="6" fontId="23" fillId="35" borderId="306" xfId="54" applyNumberFormat="1" applyFont="1" applyFill="1" applyBorder="1" applyAlignment="1" applyProtection="1">
      <alignment horizontal="right" vertical="center"/>
    </xf>
    <xf numFmtId="1" fontId="28" fillId="26" borderId="328" xfId="53" quotePrefix="1" applyNumberFormat="1" applyFont="1" applyFill="1" applyBorder="1" applyAlignment="1" applyProtection="1">
      <alignment horizontal="center"/>
    </xf>
    <xf numFmtId="1" fontId="86" fillId="26" borderId="328" xfId="0" quotePrefix="1" applyNumberFormat="1" applyFont="1" applyFill="1" applyBorder="1" applyAlignment="1" applyProtection="1">
      <alignment horizontal="center" vertical="center" wrapText="1"/>
    </xf>
    <xf numFmtId="6" fontId="23" fillId="45" borderId="330" xfId="53" applyNumberFormat="1" applyFont="1" applyFill="1" applyBorder="1" applyAlignment="1" applyProtection="1">
      <alignment horizontal="right" vertical="center"/>
    </xf>
    <xf numFmtId="1" fontId="27" fillId="26" borderId="328" xfId="53" applyNumberFormat="1" applyFont="1" applyFill="1" applyBorder="1" applyAlignment="1" applyProtection="1">
      <alignment horizontal="center" vertical="center"/>
    </xf>
    <xf numFmtId="0" fontId="23" fillId="0" borderId="338" xfId="53" applyFont="1" applyFill="1" applyBorder="1" applyAlignment="1" applyProtection="1">
      <alignment horizontal="center" vertical="center"/>
    </xf>
    <xf numFmtId="0" fontId="23" fillId="0" borderId="282" xfId="53" applyFont="1" applyFill="1" applyBorder="1" applyAlignment="1" applyProtection="1">
      <alignment horizontal="center" vertical="center"/>
    </xf>
    <xf numFmtId="0" fontId="23" fillId="0" borderId="298" xfId="53" applyFont="1" applyFill="1" applyBorder="1" applyAlignment="1" applyProtection="1">
      <alignment horizontal="center" vertical="center"/>
    </xf>
    <xf numFmtId="0" fontId="71" fillId="35" borderId="334" xfId="0" applyFont="1" applyFill="1" applyBorder="1" applyAlignment="1" applyProtection="1">
      <alignment horizontal="center" vertical="center" wrapText="1"/>
    </xf>
    <xf numFmtId="6" fontId="23" fillId="0" borderId="335" xfId="0" applyNumberFormat="1" applyFont="1" applyFill="1" applyBorder="1" applyAlignment="1" applyProtection="1">
      <alignment vertical="center"/>
    </xf>
    <xf numFmtId="6" fontId="23" fillId="0" borderId="339" xfId="0" applyNumberFormat="1" applyFont="1" applyFill="1" applyBorder="1" applyAlignment="1" applyProtection="1">
      <alignment vertical="center"/>
    </xf>
    <xf numFmtId="38" fontId="34" fillId="0" borderId="240" xfId="45" applyNumberFormat="1" applyFont="1" applyFill="1" applyBorder="1" applyAlignment="1" applyProtection="1">
      <alignment vertical="center"/>
    </xf>
    <xf numFmtId="172" fontId="0" fillId="0" borderId="0" xfId="0" applyNumberFormat="1" applyAlignment="1" applyProtection="1">
      <alignment vertical="center"/>
    </xf>
    <xf numFmtId="173" fontId="0" fillId="0" borderId="0" xfId="0" applyNumberFormat="1" applyAlignment="1" applyProtection="1">
      <alignment vertical="center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0" fontId="26" fillId="35" borderId="289" xfId="0" applyFont="1" applyFill="1" applyBorder="1" applyAlignment="1">
      <alignment horizontal="center" vertical="center" wrapText="1"/>
    </xf>
    <xf numFmtId="49" fontId="31" fillId="34" borderId="334" xfId="53" applyNumberFormat="1" applyFont="1" applyFill="1" applyBorder="1" applyAlignment="1" applyProtection="1">
      <alignment horizontal="center" vertical="center" wrapText="1"/>
    </xf>
    <xf numFmtId="6" fontId="25" fillId="0" borderId="335" xfId="0" applyNumberFormat="1" applyFont="1" applyFill="1" applyBorder="1" applyAlignment="1" applyProtection="1">
      <alignment vertical="center"/>
    </xf>
    <xf numFmtId="6" fontId="23" fillId="0" borderId="305" xfId="252" applyNumberFormat="1" applyFont="1" applyBorder="1" applyAlignment="1" applyProtection="1">
      <alignment vertical="center"/>
    </xf>
    <xf numFmtId="6" fontId="23" fillId="0" borderId="307" xfId="252" applyNumberFormat="1" applyFont="1" applyBorder="1" applyAlignment="1" applyProtection="1">
      <alignment vertical="center"/>
    </xf>
    <xf numFmtId="6" fontId="23" fillId="0" borderId="300" xfId="252" applyNumberFormat="1" applyFont="1" applyBorder="1" applyAlignment="1" applyProtection="1">
      <alignment vertical="center"/>
    </xf>
    <xf numFmtId="3" fontId="25" fillId="0" borderId="258" xfId="0" applyNumberFormat="1" applyFont="1" applyFill="1" applyBorder="1" applyAlignment="1" applyProtection="1">
      <alignment vertical="center"/>
    </xf>
    <xf numFmtId="3" fontId="25" fillId="0" borderId="17" xfId="0" applyNumberFormat="1" applyFont="1" applyFill="1" applyBorder="1" applyAlignment="1" applyProtection="1">
      <alignment vertical="center"/>
    </xf>
    <xf numFmtId="0" fontId="23" fillId="39" borderId="346" xfId="0" applyFont="1" applyFill="1" applyBorder="1" applyAlignment="1" applyProtection="1">
      <alignment horizontal="center" vertical="center"/>
    </xf>
    <xf numFmtId="0" fontId="23" fillId="53" borderId="346" xfId="0" applyFont="1" applyFill="1" applyBorder="1" applyAlignment="1" applyProtection="1">
      <alignment vertical="center"/>
    </xf>
    <xf numFmtId="9" fontId="28" fillId="53" borderId="296" xfId="28" applyNumberFormat="1" applyFont="1" applyFill="1" applyBorder="1" applyAlignment="1" applyProtection="1">
      <alignment horizontal="center" vertical="center"/>
    </xf>
    <xf numFmtId="9" fontId="26" fillId="31" borderId="346" xfId="0" applyNumberFormat="1" applyFont="1" applyFill="1" applyBorder="1" applyAlignment="1" applyProtection="1">
      <alignment horizontal="center" vertical="center"/>
    </xf>
    <xf numFmtId="9" fontId="28" fillId="39" borderId="296" xfId="0" applyNumberFormat="1" applyFont="1" applyFill="1" applyBorder="1" applyAlignment="1" applyProtection="1">
      <alignment horizontal="center" vertical="center"/>
    </xf>
    <xf numFmtId="39" fontId="28" fillId="39" borderId="296" xfId="28" applyNumberFormat="1" applyFont="1" applyFill="1" applyBorder="1" applyAlignment="1" applyProtection="1">
      <alignment horizontal="center" vertical="center"/>
    </xf>
    <xf numFmtId="165" fontId="23" fillId="0" borderId="247" xfId="0" applyNumberFormat="1" applyFont="1" applyFill="1" applyBorder="1" applyAlignment="1" applyProtection="1">
      <alignment vertical="center"/>
    </xf>
    <xf numFmtId="0" fontId="70" fillId="0" borderId="0" xfId="47846" applyFont="1" applyAlignment="1">
      <alignment horizontal="center" vertical="center"/>
    </xf>
    <xf numFmtId="1" fontId="28" fillId="26" borderId="336" xfId="64" quotePrefix="1" applyNumberFormat="1" applyFont="1" applyFill="1" applyBorder="1" applyAlignment="1" applyProtection="1">
      <alignment vertical="center"/>
    </xf>
    <xf numFmtId="1" fontId="28" fillId="26" borderId="333" xfId="64" quotePrefix="1" applyNumberFormat="1" applyFont="1" applyFill="1" applyBorder="1" applyAlignment="1" applyProtection="1">
      <alignment vertical="center"/>
    </xf>
    <xf numFmtId="1" fontId="28" fillId="26" borderId="340" xfId="64" quotePrefix="1" applyNumberFormat="1" applyFont="1" applyFill="1" applyBorder="1" applyAlignment="1" applyProtection="1">
      <alignment vertical="center"/>
    </xf>
    <xf numFmtId="1" fontId="28" fillId="26" borderId="347" xfId="64" quotePrefix="1" applyNumberFormat="1" applyFont="1" applyFill="1" applyBorder="1" applyAlignment="1" applyProtection="1">
      <alignment horizontal="center" vertical="center"/>
    </xf>
    <xf numFmtId="0" fontId="70" fillId="0" borderId="0" xfId="47846" applyFont="1" applyAlignment="1">
      <alignment vertical="center"/>
    </xf>
    <xf numFmtId="0" fontId="78" fillId="0" borderId="0" xfId="47846" applyFont="1" applyAlignment="1">
      <alignment vertical="center"/>
    </xf>
    <xf numFmtId="0" fontId="23" fillId="0" borderId="338" xfId="64" applyFont="1" applyFill="1" applyBorder="1" applyAlignment="1" applyProtection="1">
      <alignment horizontal="center" vertical="center"/>
    </xf>
    <xf numFmtId="0" fontId="23" fillId="0" borderId="348" xfId="64" applyFont="1" applyFill="1" applyBorder="1" applyAlignment="1" applyProtection="1">
      <alignment vertical="center"/>
    </xf>
    <xf numFmtId="40" fontId="23" fillId="0" borderId="305" xfId="252" applyNumberFormat="1" applyFont="1" applyBorder="1" applyAlignment="1" applyProtection="1">
      <alignment vertical="center"/>
    </xf>
    <xf numFmtId="6" fontId="23" fillId="45" borderId="305" xfId="252" applyNumberFormat="1" applyFont="1" applyFill="1" applyBorder="1" applyAlignment="1" applyProtection="1">
      <alignment vertical="center"/>
    </xf>
    <xf numFmtId="6" fontId="23" fillId="46" borderId="305" xfId="252" applyNumberFormat="1" applyFont="1" applyFill="1" applyBorder="1" applyAlignment="1" applyProtection="1">
      <alignment vertical="center"/>
    </xf>
    <xf numFmtId="6" fontId="23" fillId="42" borderId="305" xfId="252" applyNumberFormat="1" applyFont="1" applyFill="1" applyBorder="1" applyAlignment="1" applyProtection="1">
      <alignment vertical="center"/>
    </xf>
    <xf numFmtId="40" fontId="23" fillId="0" borderId="307" xfId="252" applyNumberFormat="1" applyFont="1" applyBorder="1" applyAlignment="1" applyProtection="1">
      <alignment vertical="center"/>
    </xf>
    <xf numFmtId="6" fontId="23" fillId="45" borderId="307" xfId="252" applyNumberFormat="1" applyFont="1" applyFill="1" applyBorder="1" applyAlignment="1" applyProtection="1">
      <alignment vertical="center"/>
    </xf>
    <xf numFmtId="6" fontId="23" fillId="46" borderId="307" xfId="252" applyNumberFormat="1" applyFont="1" applyFill="1" applyBorder="1" applyAlignment="1" applyProtection="1">
      <alignment vertical="center"/>
    </xf>
    <xf numFmtId="6" fontId="23" fillId="42" borderId="307" xfId="252" applyNumberFormat="1" applyFont="1" applyFill="1" applyBorder="1" applyAlignment="1" applyProtection="1">
      <alignment vertical="center"/>
    </xf>
    <xf numFmtId="0" fontId="23" fillId="0" borderId="349" xfId="64" applyFont="1" applyFill="1" applyBorder="1" applyAlignment="1" applyProtection="1">
      <alignment horizontal="center" vertical="center"/>
    </xf>
    <xf numFmtId="0" fontId="23" fillId="0" borderId="331" xfId="64" applyFont="1" applyFill="1" applyBorder="1" applyAlignment="1" applyProtection="1">
      <alignment vertical="center"/>
    </xf>
    <xf numFmtId="40" fontId="23" fillId="0" borderId="350" xfId="252" applyNumberFormat="1" applyFont="1" applyBorder="1" applyAlignment="1" applyProtection="1">
      <alignment vertical="center"/>
    </xf>
    <xf numFmtId="6" fontId="23" fillId="0" borderId="350" xfId="252" applyNumberFormat="1" applyFont="1" applyBorder="1" applyAlignment="1" applyProtection="1">
      <alignment vertical="center"/>
    </xf>
    <xf numFmtId="6" fontId="23" fillId="45" borderId="350" xfId="252" applyNumberFormat="1" applyFont="1" applyFill="1" applyBorder="1" applyAlignment="1" applyProtection="1">
      <alignment vertical="center"/>
    </xf>
    <xf numFmtId="6" fontId="23" fillId="46" borderId="350" xfId="252" applyNumberFormat="1" applyFont="1" applyFill="1" applyBorder="1" applyAlignment="1" applyProtection="1">
      <alignment vertical="center"/>
    </xf>
    <xf numFmtId="6" fontId="23" fillId="42" borderId="350" xfId="252" applyNumberFormat="1" applyFont="1" applyFill="1" applyBorder="1" applyAlignment="1" applyProtection="1">
      <alignment vertical="center"/>
    </xf>
    <xf numFmtId="40" fontId="23" fillId="0" borderId="307" xfId="252" applyNumberFormat="1" applyFont="1" applyFill="1" applyBorder="1" applyAlignment="1" applyProtection="1">
      <alignment vertical="center"/>
    </xf>
    <xf numFmtId="6" fontId="23" fillId="0" borderId="307" xfId="252" applyNumberFormat="1" applyFont="1" applyFill="1" applyBorder="1" applyAlignment="1" applyProtection="1">
      <alignment vertical="center"/>
    </xf>
    <xf numFmtId="40" fontId="23" fillId="0" borderId="350" xfId="252" applyNumberFormat="1" applyFont="1" applyFill="1" applyBorder="1" applyAlignment="1" applyProtection="1">
      <alignment vertical="center"/>
    </xf>
    <xf numFmtId="6" fontId="23" fillId="0" borderId="350" xfId="252" applyNumberFormat="1" applyFont="1" applyFill="1" applyBorder="1" applyAlignment="1" applyProtection="1">
      <alignment vertical="center"/>
    </xf>
    <xf numFmtId="40" fontId="23" fillId="0" borderId="305" xfId="252" applyNumberFormat="1" applyFont="1" applyFill="1" applyBorder="1" applyAlignment="1" applyProtection="1">
      <alignment vertical="center"/>
    </xf>
    <xf numFmtId="6" fontId="23" fillId="0" borderId="305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6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50" xfId="64" applyNumberFormat="1" applyFont="1" applyFill="1" applyBorder="1" applyAlignment="1" applyProtection="1">
      <alignment horizontal="center" vertical="center"/>
    </xf>
    <xf numFmtId="40" fontId="26" fillId="0" borderId="214" xfId="54" applyNumberFormat="1" applyFont="1" applyFill="1" applyBorder="1" applyAlignment="1" applyProtection="1">
      <alignment vertical="center"/>
    </xf>
    <xf numFmtId="6" fontId="26" fillId="0" borderId="214" xfId="54" applyNumberFormat="1" applyFont="1" applyFill="1" applyBorder="1" applyAlignment="1" applyProtection="1">
      <alignment vertical="center"/>
    </xf>
    <xf numFmtId="6" fontId="26" fillId="45" borderId="214" xfId="54" applyNumberFormat="1" applyFont="1" applyFill="1" applyBorder="1" applyAlignment="1" applyProtection="1">
      <alignment vertical="center"/>
    </xf>
    <xf numFmtId="6" fontId="26" fillId="46" borderId="214" xfId="54" applyNumberFormat="1" applyFont="1" applyFill="1" applyBorder="1" applyAlignment="1" applyProtection="1">
      <alignment vertical="center"/>
    </xf>
    <xf numFmtId="6" fontId="26" fillId="42" borderId="214" xfId="54" applyNumberFormat="1" applyFont="1" applyFill="1" applyBorder="1" applyAlignment="1" applyProtection="1">
      <alignment vertical="center"/>
    </xf>
    <xf numFmtId="40" fontId="26" fillId="28" borderId="319" xfId="64" applyNumberFormat="1" applyFont="1" applyFill="1" applyBorder="1" applyAlignment="1" applyProtection="1">
      <alignment horizontal="left" vertical="center"/>
    </xf>
    <xf numFmtId="0" fontId="23" fillId="0" borderId="325" xfId="64" applyFont="1" applyFill="1" applyBorder="1" applyAlignment="1" applyProtection="1">
      <alignment horizontal="center" vertical="center"/>
    </xf>
    <xf numFmtId="40" fontId="23" fillId="28" borderId="319" xfId="64" applyNumberFormat="1" applyFont="1" applyFill="1" applyBorder="1" applyAlignment="1" applyProtection="1">
      <alignment horizontal="left" vertical="center"/>
    </xf>
    <xf numFmtId="0" fontId="38" fillId="31" borderId="354" xfId="0" applyFont="1" applyFill="1" applyBorder="1" applyAlignment="1" applyProtection="1">
      <alignment vertical="center" wrapText="1"/>
    </xf>
    <xf numFmtId="0" fontId="31" fillId="35" borderId="346" xfId="0" applyFont="1" applyFill="1" applyBorder="1" applyAlignment="1" applyProtection="1">
      <alignment horizontal="center" vertical="center" wrapText="1"/>
    </xf>
    <xf numFmtId="6" fontId="0" fillId="0" borderId="328" xfId="0" applyNumberFormat="1" applyBorder="1" applyAlignment="1" applyProtection="1">
      <alignment vertical="center"/>
    </xf>
    <xf numFmtId="6" fontId="23" fillId="35" borderId="348" xfId="54" applyNumberFormat="1" applyFont="1" applyFill="1" applyBorder="1" applyAlignment="1" applyProtection="1">
      <alignment horizontal="right" vertical="center"/>
    </xf>
    <xf numFmtId="6" fontId="23" fillId="35" borderId="331" xfId="54" applyNumberFormat="1" applyFont="1" applyFill="1" applyBorder="1" applyAlignment="1" applyProtection="1">
      <alignment horizontal="right" vertical="center"/>
    </xf>
    <xf numFmtId="6" fontId="26" fillId="35" borderId="355" xfId="54" applyNumberFormat="1" applyFont="1" applyFill="1" applyBorder="1" applyAlignment="1" applyProtection="1">
      <alignment horizontal="right" vertical="center"/>
    </xf>
    <xf numFmtId="40" fontId="70" fillId="0" borderId="0" xfId="47846" applyNumberFormat="1" applyFont="1" applyAlignment="1">
      <alignment vertical="center"/>
    </xf>
    <xf numFmtId="1" fontId="86" fillId="26" borderId="347" xfId="28" quotePrefix="1" applyNumberFormat="1" applyFont="1" applyFill="1" applyBorder="1" applyAlignment="1" applyProtection="1">
      <alignment horizontal="center" vertical="center" wrapText="1"/>
    </xf>
    <xf numFmtId="165" fontId="23" fillId="0" borderId="326" xfId="0" applyNumberFormat="1" applyFont="1" applyBorder="1" applyAlignment="1" applyProtection="1">
      <alignment vertical="center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1" fontId="86" fillId="26" borderId="201" xfId="28" quotePrefix="1" applyNumberFormat="1" applyFont="1" applyFill="1" applyBorder="1" applyAlignment="1" applyProtection="1">
      <alignment horizontal="center" vertical="center" wrapText="1"/>
    </xf>
    <xf numFmtId="0" fontId="60" fillId="27" borderId="356" xfId="0" applyFont="1" applyFill="1" applyBorder="1" applyAlignment="1" applyProtection="1">
      <alignment horizontal="center" vertical="center" wrapText="1"/>
    </xf>
    <xf numFmtId="165" fontId="23" fillId="0" borderId="350" xfId="0" applyNumberFormat="1" applyFont="1" applyBorder="1" applyAlignment="1" applyProtection="1">
      <alignment vertical="center"/>
    </xf>
    <xf numFmtId="0" fontId="60" fillId="39" borderId="356" xfId="0" applyFont="1" applyFill="1" applyBorder="1" applyAlignment="1" applyProtection="1">
      <alignment horizontal="center" vertical="center" wrapText="1"/>
    </xf>
    <xf numFmtId="0" fontId="38" fillId="31" borderId="358" xfId="0" quotePrefix="1" applyFont="1" applyFill="1" applyBorder="1" applyAlignment="1" applyProtection="1">
      <alignment vertical="center" wrapText="1"/>
    </xf>
    <xf numFmtId="1" fontId="86" fillId="26" borderId="347" xfId="0" quotePrefix="1" applyNumberFormat="1" applyFont="1" applyFill="1" applyBorder="1" applyAlignment="1" applyProtection="1">
      <alignment horizontal="center" vertical="center" wrapText="1"/>
    </xf>
    <xf numFmtId="6" fontId="23" fillId="0" borderId="328" xfId="0" applyNumberFormat="1" applyFont="1" applyBorder="1" applyAlignment="1" applyProtection="1">
      <alignment horizontal="right" vertical="center"/>
    </xf>
    <xf numFmtId="6" fontId="23" fillId="32" borderId="329" xfId="54" applyNumberFormat="1" applyFont="1" applyFill="1" applyBorder="1" applyAlignment="1" applyProtection="1">
      <alignment horizontal="right" vertical="center"/>
    </xf>
    <xf numFmtId="6" fontId="23" fillId="32" borderId="306" xfId="54" applyNumberFormat="1" applyFont="1" applyFill="1" applyBorder="1" applyAlignment="1" applyProtection="1">
      <alignment horizontal="right" vertical="center"/>
    </xf>
    <xf numFmtId="6" fontId="23" fillId="32" borderId="331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67" xfId="53" applyNumberFormat="1" applyFont="1" applyFill="1" applyBorder="1" applyAlignment="1" applyProtection="1">
      <alignment horizontal="right" vertical="center"/>
    </xf>
    <xf numFmtId="165" fontId="23" fillId="0" borderId="368" xfId="53" applyNumberFormat="1" applyFont="1" applyFill="1" applyBorder="1" applyAlignment="1" applyProtection="1">
      <alignment horizontal="right" vertical="center"/>
    </xf>
    <xf numFmtId="165" fontId="23" fillId="35" borderId="368" xfId="53" applyNumberFormat="1" applyFont="1" applyFill="1" applyBorder="1" applyAlignment="1" applyProtection="1">
      <alignment horizontal="right" vertical="center"/>
    </xf>
    <xf numFmtId="6" fontId="23" fillId="0" borderId="368" xfId="53" applyNumberFormat="1" applyFont="1" applyFill="1" applyBorder="1" applyAlignment="1" applyProtection="1">
      <alignment horizontal="right" vertical="center"/>
    </xf>
    <xf numFmtId="6" fontId="23" fillId="35" borderId="368" xfId="53" applyNumberFormat="1" applyFont="1" applyFill="1" applyBorder="1" applyAlignment="1" applyProtection="1">
      <alignment horizontal="right" vertical="center"/>
    </xf>
    <xf numFmtId="6" fontId="23" fillId="0" borderId="368" xfId="54" applyNumberFormat="1" applyFont="1" applyFill="1" applyBorder="1" applyAlignment="1" applyProtection="1">
      <alignment horizontal="right" vertical="center"/>
    </xf>
    <xf numFmtId="6" fontId="23" fillId="35" borderId="368" xfId="54" applyNumberFormat="1" applyFont="1" applyFill="1" applyBorder="1" applyAlignment="1" applyProtection="1">
      <alignment horizontal="right" vertical="center"/>
    </xf>
    <xf numFmtId="1" fontId="28" fillId="26" borderId="216" xfId="0" quotePrefix="1" applyNumberFormat="1" applyFont="1" applyFill="1" applyBorder="1" applyAlignment="1" applyProtection="1">
      <alignment horizontal="center" vertical="center"/>
    </xf>
    <xf numFmtId="1" fontId="27" fillId="26" borderId="41" xfId="0" applyNumberFormat="1" applyFont="1" applyFill="1" applyBorder="1" applyAlignment="1" applyProtection="1">
      <alignment horizontal="center" vertical="center"/>
    </xf>
    <xf numFmtId="0" fontId="25" fillId="0" borderId="231" xfId="0" applyFont="1" applyFill="1" applyBorder="1" applyAlignment="1" applyProtection="1">
      <alignment vertical="center"/>
    </xf>
    <xf numFmtId="0" fontId="25" fillId="0" borderId="226" xfId="0" applyFont="1" applyFill="1" applyBorder="1" applyAlignment="1" applyProtection="1">
      <alignment vertical="center"/>
    </xf>
    <xf numFmtId="170" fontId="25" fillId="32" borderId="226" xfId="30" applyNumberFormat="1" applyFont="1" applyFill="1" applyBorder="1" applyAlignment="1" applyProtection="1">
      <alignment horizontal="right" vertical="center"/>
    </xf>
    <xf numFmtId="165" fontId="25" fillId="0" borderId="225" xfId="0" applyNumberFormat="1" applyFont="1" applyFill="1" applyBorder="1" applyAlignment="1" applyProtection="1">
      <alignment horizontal="right" vertical="center"/>
    </xf>
    <xf numFmtId="3" fontId="25" fillId="32" borderId="226" xfId="30" applyNumberFormat="1" applyFont="1" applyFill="1" applyBorder="1" applyAlignment="1" applyProtection="1">
      <alignment horizontal="right" vertical="center"/>
    </xf>
    <xf numFmtId="0" fontId="25" fillId="0" borderId="232" xfId="0" applyFont="1" applyFill="1" applyBorder="1" applyAlignment="1" applyProtection="1">
      <alignment vertical="center"/>
    </xf>
    <xf numFmtId="0" fontId="25" fillId="0" borderId="229" xfId="0" applyFont="1" applyFill="1" applyBorder="1" applyAlignment="1" applyProtection="1">
      <alignment vertical="center"/>
    </xf>
    <xf numFmtId="170" fontId="25" fillId="32" borderId="229" xfId="30" applyNumberFormat="1" applyFont="1" applyFill="1" applyBorder="1" applyAlignment="1" applyProtection="1">
      <alignment horizontal="right" vertical="center"/>
    </xf>
    <xf numFmtId="165" fontId="25" fillId="0" borderId="228" xfId="0" applyNumberFormat="1" applyFont="1" applyFill="1" applyBorder="1" applyAlignment="1" applyProtection="1">
      <alignment horizontal="right" vertical="center"/>
    </xf>
    <xf numFmtId="3" fontId="25" fillId="32" borderId="229" xfId="30" applyNumberFormat="1" applyFont="1" applyFill="1" applyBorder="1" applyAlignment="1" applyProtection="1">
      <alignment horizontal="right" vertical="center"/>
    </xf>
    <xf numFmtId="0" fontId="25" fillId="0" borderId="24" xfId="0" applyFont="1" applyFill="1" applyBorder="1" applyAlignment="1" applyProtection="1">
      <alignment vertical="center"/>
    </xf>
    <xf numFmtId="0" fontId="25" fillId="0" borderId="224" xfId="0" applyFont="1" applyFill="1" applyBorder="1" applyAlignment="1" applyProtection="1">
      <alignment vertical="center"/>
    </xf>
    <xf numFmtId="170" fontId="25" fillId="32" borderId="224" xfId="30" applyNumberFormat="1" applyFont="1" applyFill="1" applyBorder="1" applyAlignment="1" applyProtection="1">
      <alignment horizontal="right" vertical="center"/>
    </xf>
    <xf numFmtId="165" fontId="25" fillId="0" borderId="210" xfId="0" applyNumberFormat="1" applyFont="1" applyFill="1" applyBorder="1" applyAlignment="1" applyProtection="1">
      <alignment horizontal="right" vertical="center"/>
    </xf>
    <xf numFmtId="3" fontId="25" fillId="32" borderId="224" xfId="30" applyNumberFormat="1" applyFont="1" applyFill="1" applyBorder="1" applyAlignment="1" applyProtection="1">
      <alignment horizontal="right" vertical="center"/>
    </xf>
    <xf numFmtId="0" fontId="25" fillId="0" borderId="238" xfId="0" applyFont="1" applyFill="1" applyBorder="1" applyAlignment="1" applyProtection="1">
      <alignment vertical="center"/>
    </xf>
    <xf numFmtId="170" fontId="26" fillId="32" borderId="30" xfId="54" applyNumberFormat="1" applyFont="1" applyFill="1" applyBorder="1" applyAlignment="1" applyProtection="1">
      <alignment horizontal="right" vertical="center"/>
    </xf>
    <xf numFmtId="6" fontId="26" fillId="32" borderId="205" xfId="54" applyNumberFormat="1" applyFont="1" applyFill="1" applyBorder="1" applyAlignment="1" applyProtection="1">
      <alignment horizontal="right" vertical="center"/>
    </xf>
    <xf numFmtId="6" fontId="26" fillId="45" borderId="30" xfId="54" applyNumberFormat="1" applyFont="1" applyFill="1" applyBorder="1" applyAlignment="1" applyProtection="1">
      <alignment horizontal="right" vertical="center"/>
    </xf>
    <xf numFmtId="6" fontId="26" fillId="0" borderId="261" xfId="53" applyNumberFormat="1" applyFont="1" applyFill="1" applyBorder="1" applyAlignment="1" applyProtection="1">
      <alignment horizontal="right" vertical="center"/>
    </xf>
    <xf numFmtId="170" fontId="25" fillId="32" borderId="367" xfId="30" applyNumberFormat="1" applyFont="1" applyFill="1" applyBorder="1" applyAlignment="1" applyProtection="1">
      <alignment horizontal="right" vertical="center"/>
    </xf>
    <xf numFmtId="165" fontId="25" fillId="0" borderId="371" xfId="0" applyNumberFormat="1" applyFont="1" applyFill="1" applyBorder="1" applyAlignment="1" applyProtection="1">
      <alignment horizontal="right" vertical="center"/>
    </xf>
    <xf numFmtId="3" fontId="25" fillId="32" borderId="367" xfId="30" applyNumberFormat="1" applyFont="1" applyFill="1" applyBorder="1" applyAlignment="1" applyProtection="1">
      <alignment horizontal="right" vertical="center"/>
    </xf>
    <xf numFmtId="3" fontId="23" fillId="0" borderId="373" xfId="53" applyNumberFormat="1" applyFont="1" applyFill="1" applyBorder="1" applyAlignment="1" applyProtection="1">
      <alignment horizontal="right" vertical="center"/>
    </xf>
    <xf numFmtId="6" fontId="23" fillId="0" borderId="375" xfId="53" applyNumberFormat="1" applyFont="1" applyFill="1" applyBorder="1" applyAlignment="1" applyProtection="1">
      <alignment horizontal="right" vertical="center"/>
    </xf>
    <xf numFmtId="3" fontId="23" fillId="0" borderId="376" xfId="53" applyNumberFormat="1" applyFont="1" applyFill="1" applyBorder="1" applyAlignment="1" applyProtection="1">
      <alignment horizontal="right" vertical="center"/>
    </xf>
    <xf numFmtId="6" fontId="23" fillId="0" borderId="374" xfId="54" applyNumberFormat="1" applyFont="1" applyFill="1" applyBorder="1" applyAlignment="1" applyProtection="1">
      <alignment horizontal="right" vertical="center"/>
    </xf>
    <xf numFmtId="6" fontId="23" fillId="0" borderId="374" xfId="53" applyNumberFormat="1" applyFont="1" applyFill="1" applyBorder="1" applyAlignment="1" applyProtection="1">
      <alignment horizontal="right" vertical="center"/>
    </xf>
    <xf numFmtId="3" fontId="23" fillId="0" borderId="279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3" fontId="23" fillId="32" borderId="236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3" fontId="23" fillId="32" borderId="281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38" fontId="23" fillId="32" borderId="367" xfId="54" applyNumberFormat="1" applyFont="1" applyFill="1" applyBorder="1" applyAlignment="1" applyProtection="1">
      <alignment horizontal="right" vertical="center"/>
    </xf>
    <xf numFmtId="6" fontId="23" fillId="32" borderId="368" xfId="54" applyNumberFormat="1" applyFont="1" applyFill="1" applyBorder="1" applyAlignment="1" applyProtection="1">
      <alignment horizontal="right" vertical="center"/>
    </xf>
    <xf numFmtId="38" fontId="23" fillId="0" borderId="367" xfId="54" applyNumberFormat="1" applyFont="1" applyFill="1" applyBorder="1" applyAlignment="1" applyProtection="1">
      <alignment horizontal="right" vertical="center"/>
    </xf>
    <xf numFmtId="6" fontId="23" fillId="35" borderId="372" xfId="54" applyNumberFormat="1" applyFont="1" applyFill="1" applyBorder="1" applyAlignment="1" applyProtection="1">
      <alignment horizontal="right" vertical="center"/>
    </xf>
    <xf numFmtId="38" fontId="26" fillId="32" borderId="363" xfId="54" applyNumberFormat="1" applyFont="1" applyFill="1" applyBorder="1" applyAlignment="1" applyProtection="1">
      <alignment horizontal="right" vertical="center"/>
    </xf>
    <xf numFmtId="6" fontId="26" fillId="0" borderId="364" xfId="54" applyNumberFormat="1" applyFont="1" applyFill="1" applyBorder="1" applyAlignment="1" applyProtection="1">
      <alignment horizontal="right" vertical="center"/>
    </xf>
    <xf numFmtId="6" fontId="26" fillId="32" borderId="364" xfId="54" applyNumberFormat="1" applyFont="1" applyFill="1" applyBorder="1" applyAlignment="1" applyProtection="1">
      <alignment horizontal="right" vertical="center"/>
    </xf>
    <xf numFmtId="38" fontId="26" fillId="32" borderId="365" xfId="54" applyNumberFormat="1" applyFont="1" applyFill="1" applyBorder="1" applyAlignment="1" applyProtection="1">
      <alignment horizontal="right" vertical="center"/>
    </xf>
    <xf numFmtId="6" fontId="26" fillId="0" borderId="359" xfId="54" applyNumberFormat="1" applyFont="1" applyFill="1" applyBorder="1" applyAlignment="1" applyProtection="1">
      <alignment horizontal="right" vertical="center"/>
    </xf>
    <xf numFmtId="6" fontId="26" fillId="32" borderId="359" xfId="54" applyNumberFormat="1" applyFont="1" applyFill="1" applyBorder="1" applyAlignment="1" applyProtection="1">
      <alignment horizontal="right" vertical="center"/>
    </xf>
    <xf numFmtId="6" fontId="26" fillId="35" borderId="359" xfId="54" applyNumberFormat="1" applyFont="1" applyFill="1" applyBorder="1" applyAlignment="1" applyProtection="1">
      <alignment horizontal="right" vertical="center"/>
    </xf>
    <xf numFmtId="6" fontId="26" fillId="34" borderId="359" xfId="54" applyNumberFormat="1" applyFont="1" applyFill="1" applyBorder="1" applyAlignment="1" applyProtection="1">
      <alignment horizontal="right" vertical="center"/>
    </xf>
    <xf numFmtId="6" fontId="26" fillId="35" borderId="366" xfId="54" applyNumberFormat="1" applyFont="1" applyFill="1" applyBorder="1" applyAlignment="1" applyProtection="1">
      <alignment horizontal="right" vertical="center"/>
    </xf>
    <xf numFmtId="6" fontId="26" fillId="45" borderId="359" xfId="54" applyNumberFormat="1" applyFont="1" applyFill="1" applyBorder="1" applyAlignment="1" applyProtection="1">
      <alignment horizontal="right" vertical="center"/>
    </xf>
    <xf numFmtId="6" fontId="23" fillId="0" borderId="331" xfId="54" applyNumberFormat="1" applyFont="1" applyFill="1" applyBorder="1" applyAlignment="1" applyProtection="1">
      <alignment horizontal="right" vertical="center"/>
    </xf>
    <xf numFmtId="6" fontId="26" fillId="39" borderId="341" xfId="54" applyNumberFormat="1" applyFont="1" applyFill="1" applyBorder="1" applyAlignment="1" applyProtection="1">
      <alignment horizontal="right" vertical="center"/>
    </xf>
    <xf numFmtId="6" fontId="23" fillId="0" borderId="341" xfId="0" applyNumberFormat="1" applyFont="1" applyBorder="1" applyAlignment="1" applyProtection="1">
      <alignment vertical="center"/>
    </xf>
    <xf numFmtId="6" fontId="26" fillId="32" borderId="341" xfId="54" applyNumberFormat="1" applyFont="1" applyFill="1" applyBorder="1" applyAlignment="1" applyProtection="1">
      <alignment horizontal="right" vertical="center"/>
    </xf>
    <xf numFmtId="6" fontId="26" fillId="0" borderId="370" xfId="54" applyNumberFormat="1" applyFont="1" applyFill="1" applyBorder="1" applyAlignment="1" applyProtection="1">
      <alignment horizontal="right" vertical="center"/>
    </xf>
    <xf numFmtId="3" fontId="23" fillId="0" borderId="240" xfId="0" applyNumberFormat="1" applyFont="1" applyFill="1" applyBorder="1" applyAlignment="1">
      <alignment vertical="center"/>
    </xf>
    <xf numFmtId="165" fontId="23" fillId="0" borderId="247" xfId="0" applyNumberFormat="1" applyFont="1" applyFill="1" applyBorder="1" applyAlignment="1">
      <alignment vertical="center"/>
    </xf>
    <xf numFmtId="164" fontId="23" fillId="0" borderId="247" xfId="47838" applyNumberFormat="1" applyFont="1" applyFill="1" applyBorder="1" applyAlignment="1">
      <alignment vertical="center"/>
    </xf>
    <xf numFmtId="10" fontId="23" fillId="0" borderId="247" xfId="0" applyNumberFormat="1" applyFont="1" applyFill="1" applyBorder="1" applyAlignment="1">
      <alignment vertical="center"/>
    </xf>
    <xf numFmtId="165" fontId="23" fillId="27" borderId="24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5" fontId="23" fillId="28" borderId="264" xfId="0" applyNumberFormat="1" applyFont="1" applyFill="1" applyBorder="1" applyAlignment="1">
      <alignment vertical="center"/>
    </xf>
    <xf numFmtId="165" fontId="23" fillId="28" borderId="22" xfId="0" applyNumberFormat="1" applyFont="1" applyFill="1" applyBorder="1" applyAlignment="1">
      <alignment vertical="center"/>
    </xf>
    <xf numFmtId="165" fontId="23" fillId="28" borderId="41" xfId="0" applyNumberFormat="1" applyFont="1" applyFill="1" applyBorder="1" applyAlignment="1">
      <alignment vertical="center"/>
    </xf>
    <xf numFmtId="3" fontId="23" fillId="0" borderId="198" xfId="0" applyNumberFormat="1" applyFont="1" applyFill="1" applyBorder="1" applyAlignment="1">
      <alignment vertical="center"/>
    </xf>
    <xf numFmtId="165" fontId="23" fillId="0" borderId="198" xfId="0" applyNumberFormat="1" applyFont="1" applyFill="1" applyBorder="1" applyAlignment="1">
      <alignment vertical="center"/>
    </xf>
    <xf numFmtId="164" fontId="23" fillId="0" borderId="198" xfId="47838" applyNumberFormat="1" applyFont="1" applyFill="1" applyBorder="1" applyAlignment="1">
      <alignment vertical="center"/>
    </xf>
    <xf numFmtId="164" fontId="23" fillId="0" borderId="29" xfId="47838" applyNumberFormat="1" applyFont="1" applyFill="1" applyBorder="1" applyAlignment="1">
      <alignment vertical="center"/>
    </xf>
    <xf numFmtId="10" fontId="23" fillId="0" borderId="29" xfId="0" applyNumberFormat="1" applyFont="1" applyFill="1" applyBorder="1" applyAlignment="1">
      <alignment vertical="center"/>
    </xf>
    <xf numFmtId="165" fontId="23" fillId="27" borderId="29" xfId="0" applyNumberFormat="1" applyFont="1" applyFill="1" applyBorder="1" applyAlignment="1">
      <alignment vertical="center"/>
    </xf>
    <xf numFmtId="165" fontId="23" fillId="28" borderId="198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4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8" borderId="12" xfId="0" applyNumberFormat="1" applyFont="1" applyFill="1" applyBorder="1" applyAlignment="1">
      <alignment vertical="center"/>
    </xf>
    <xf numFmtId="6" fontId="26" fillId="28" borderId="275" xfId="0" applyNumberFormat="1" applyFont="1" applyFill="1" applyBorder="1" applyAlignment="1">
      <alignment vertical="center"/>
    </xf>
    <xf numFmtId="9" fontId="26" fillId="53" borderId="295" xfId="0" applyNumberFormat="1" applyFont="1" applyFill="1" applyBorder="1" applyAlignment="1" applyProtection="1">
      <alignment vertical="center"/>
    </xf>
    <xf numFmtId="9" fontId="26" fillId="39" borderId="295" xfId="0" applyNumberFormat="1" applyFont="1" applyFill="1" applyBorder="1" applyAlignment="1" applyProtection="1">
      <alignment vertical="center"/>
    </xf>
    <xf numFmtId="0" fontId="71" fillId="35" borderId="360" xfId="0" applyFont="1" applyFill="1" applyBorder="1" applyAlignment="1" applyProtection="1">
      <alignment horizontal="center" vertical="center" wrapText="1"/>
    </xf>
    <xf numFmtId="1" fontId="28" fillId="26" borderId="360" xfId="0" applyNumberFormat="1" applyFont="1" applyFill="1" applyBorder="1" applyAlignment="1" applyProtection="1">
      <alignment horizontal="center" vertical="center"/>
    </xf>
    <xf numFmtId="1" fontId="86" fillId="26" borderId="360" xfId="0" applyNumberFormat="1" applyFont="1" applyFill="1" applyBorder="1" applyAlignment="1" applyProtection="1">
      <alignment horizontal="center" vertical="center" wrapText="1"/>
    </xf>
    <xf numFmtId="6" fontId="23" fillId="35" borderId="377" xfId="0" applyNumberFormat="1" applyFont="1" applyFill="1" applyBorder="1" applyAlignment="1" applyProtection="1">
      <alignment vertical="center"/>
    </xf>
    <xf numFmtId="6" fontId="23" fillId="35" borderId="339" xfId="0" applyNumberFormat="1" applyFont="1" applyFill="1" applyBorder="1" applyAlignment="1" applyProtection="1">
      <alignment vertical="center"/>
    </xf>
    <xf numFmtId="6" fontId="26" fillId="35" borderId="214" xfId="28" applyNumberFormat="1" applyFont="1" applyFill="1" applyBorder="1" applyAlignment="1" applyProtection="1">
      <alignment vertical="center"/>
    </xf>
    <xf numFmtId="1" fontId="86" fillId="26" borderId="360" xfId="53" quotePrefix="1" applyNumberFormat="1" applyFont="1" applyFill="1" applyBorder="1" applyAlignment="1" applyProtection="1">
      <alignment horizontal="center" vertical="center" wrapText="1"/>
    </xf>
    <xf numFmtId="1" fontId="86" fillId="26" borderId="360" xfId="0" applyNumberFormat="1" applyFont="1" applyFill="1" applyBorder="1" applyAlignment="1" applyProtection="1">
      <alignment horizontal="center" vertical="center"/>
    </xf>
    <xf numFmtId="1" fontId="86" fillId="26" borderId="339" xfId="0" applyNumberFormat="1" applyFont="1" applyFill="1" applyBorder="1" applyAlignment="1" applyProtection="1">
      <alignment horizontal="center" vertical="center"/>
    </xf>
    <xf numFmtId="1" fontId="28" fillId="26" borderId="328" xfId="28" applyNumberFormat="1" applyFont="1" applyFill="1" applyBorder="1" applyAlignment="1" applyProtection="1">
      <alignment horizontal="center" vertical="center"/>
    </xf>
    <xf numFmtId="1" fontId="28" fillId="26" borderId="328" xfId="28" quotePrefix="1" applyNumberFormat="1" applyFont="1" applyFill="1" applyBorder="1" applyAlignment="1" applyProtection="1">
      <alignment horizontal="center" vertical="center"/>
    </xf>
    <xf numFmtId="1" fontId="28" fillId="26" borderId="360" xfId="28" quotePrefix="1" applyNumberFormat="1" applyFont="1" applyFill="1" applyBorder="1" applyAlignment="1" applyProtection="1">
      <alignment horizontal="center" vertical="center"/>
    </xf>
    <xf numFmtId="1" fontId="86" fillId="26" borderId="360" xfId="28" applyNumberFormat="1" applyFont="1" applyFill="1" applyBorder="1" applyAlignment="1" applyProtection="1">
      <alignment horizontal="center" vertical="center" wrapText="1"/>
    </xf>
    <xf numFmtId="1" fontId="86" fillId="26" borderId="360" xfId="28" quotePrefix="1" applyNumberFormat="1" applyFont="1" applyFill="1" applyBorder="1" applyAlignment="1" applyProtection="1">
      <alignment horizontal="center" vertical="center" wrapText="1"/>
    </xf>
    <xf numFmtId="1" fontId="28" fillId="26" borderId="378" xfId="0" quotePrefix="1" applyNumberFormat="1" applyFont="1" applyFill="1" applyBorder="1" applyAlignment="1" applyProtection="1">
      <alignment horizontal="center" vertical="center"/>
    </xf>
    <xf numFmtId="1" fontId="86" fillId="26" borderId="360" xfId="0" quotePrefix="1" applyNumberFormat="1" applyFont="1" applyFill="1" applyBorder="1" applyAlignment="1" applyProtection="1">
      <alignment horizontal="center" vertical="center"/>
    </xf>
    <xf numFmtId="1" fontId="86" fillId="26" borderId="360" xfId="0" quotePrefix="1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6" fontId="34" fillId="0" borderId="239" xfId="45" applyNumberFormat="1" applyFont="1" applyBorder="1" applyAlignment="1" applyProtection="1">
      <alignment vertical="center"/>
    </xf>
    <xf numFmtId="6" fontId="34" fillId="0" borderId="283" xfId="45" applyNumberFormat="1" applyFont="1" applyBorder="1" applyAlignment="1" applyProtection="1">
      <alignment vertical="center"/>
    </xf>
    <xf numFmtId="6" fontId="34" fillId="42" borderId="239" xfId="45" applyNumberFormat="1" applyFont="1" applyFill="1" applyBorder="1" applyAlignment="1" applyProtection="1">
      <alignment vertical="center"/>
    </xf>
    <xf numFmtId="6" fontId="34" fillId="0" borderId="317" xfId="45" applyNumberFormat="1" applyFont="1" applyBorder="1" applyAlignment="1" applyProtection="1">
      <alignment vertical="center"/>
    </xf>
    <xf numFmtId="6" fontId="34" fillId="0" borderId="240" xfId="45" applyNumberFormat="1" applyFont="1" applyBorder="1" applyAlignment="1" applyProtection="1">
      <alignment vertical="center"/>
    </xf>
    <xf numFmtId="6" fontId="34" fillId="42" borderId="240" xfId="45" applyNumberFormat="1" applyFont="1" applyFill="1" applyBorder="1" applyAlignment="1" applyProtection="1">
      <alignment vertical="center"/>
    </xf>
    <xf numFmtId="6" fontId="34" fillId="0" borderId="198" xfId="45" applyNumberFormat="1" applyFont="1" applyBorder="1" applyAlignment="1" applyProtection="1">
      <alignment vertical="center"/>
    </xf>
    <xf numFmtId="6" fontId="34" fillId="42" borderId="198" xfId="45" applyNumberFormat="1" applyFont="1" applyFill="1" applyBorder="1" applyAlignment="1" applyProtection="1">
      <alignment vertical="center"/>
    </xf>
    <xf numFmtId="6" fontId="34" fillId="0" borderId="318" xfId="45" applyNumberFormat="1" applyFont="1" applyBorder="1" applyAlignment="1" applyProtection="1">
      <alignment vertical="center"/>
    </xf>
    <xf numFmtId="6" fontId="78" fillId="0" borderId="12" xfId="47822" applyNumberFormat="1" applyFont="1" applyBorder="1" applyAlignment="1" applyProtection="1">
      <alignment vertical="center"/>
    </xf>
    <xf numFmtId="6" fontId="78" fillId="42" borderId="12" xfId="47822" applyNumberFormat="1" applyFont="1" applyFill="1" applyBorder="1" applyAlignment="1" applyProtection="1">
      <alignment vertical="center"/>
    </xf>
    <xf numFmtId="6" fontId="71" fillId="42" borderId="360" xfId="47833" applyNumberFormat="1" applyFont="1" applyFill="1" applyBorder="1" applyAlignment="1" applyProtection="1">
      <alignment horizontal="center" vertical="center" wrapText="1"/>
    </xf>
    <xf numFmtId="6" fontId="71" fillId="56" borderId="360" xfId="70" applyNumberFormat="1" applyFont="1" applyFill="1" applyBorder="1" applyAlignment="1" applyProtection="1">
      <alignment horizontal="center" vertical="center" wrapText="1"/>
    </xf>
    <xf numFmtId="6" fontId="71" fillId="57" borderId="360" xfId="70" applyNumberFormat="1" applyFont="1" applyFill="1" applyBorder="1" applyAlignment="1" applyProtection="1">
      <alignment horizontal="center" vertical="center" wrapText="1"/>
    </xf>
    <xf numFmtId="6" fontId="71" fillId="50" borderId="360" xfId="70" applyNumberFormat="1" applyFont="1" applyFill="1" applyBorder="1" applyAlignment="1" applyProtection="1">
      <alignment horizontal="center" vertical="center" wrapText="1"/>
    </xf>
    <xf numFmtId="8" fontId="23" fillId="0" borderId="256" xfId="0" applyNumberFormat="1" applyFont="1" applyFill="1" applyBorder="1" applyAlignment="1" applyProtection="1">
      <alignment vertical="center"/>
    </xf>
    <xf numFmtId="165" fontId="23" fillId="31" borderId="240" xfId="0" applyNumberFormat="1" applyFont="1" applyFill="1" applyBorder="1" applyAlignment="1" applyProtection="1">
      <alignment vertical="center"/>
    </xf>
    <xf numFmtId="165" fontId="23" fillId="31" borderId="326" xfId="0" applyNumberFormat="1" applyFont="1" applyFill="1" applyBorder="1" applyAlignment="1" applyProtection="1">
      <alignment vertical="center"/>
    </xf>
    <xf numFmtId="165" fontId="26" fillId="31" borderId="12" xfId="0" applyNumberFormat="1" applyFont="1" applyFill="1" applyBorder="1" applyAlignment="1" applyProtection="1">
      <alignment vertical="center"/>
    </xf>
    <xf numFmtId="6" fontId="23" fillId="0" borderId="348" xfId="54" applyNumberFormat="1" applyFont="1" applyFill="1" applyBorder="1" applyAlignment="1" applyProtection="1">
      <alignment horizontal="right" vertical="center"/>
    </xf>
    <xf numFmtId="6" fontId="23" fillId="0" borderId="306" xfId="54" applyNumberFormat="1" applyFont="1" applyFill="1" applyBorder="1" applyAlignment="1" applyProtection="1">
      <alignment horizontal="right" vertical="center"/>
    </xf>
    <xf numFmtId="6" fontId="26" fillId="0" borderId="355" xfId="54" applyNumberFormat="1" applyFont="1" applyFill="1" applyBorder="1" applyAlignment="1" applyProtection="1">
      <alignment horizontal="right" vertical="center"/>
    </xf>
    <xf numFmtId="38" fontId="23" fillId="32" borderId="379" xfId="54" applyNumberFormat="1" applyFont="1" applyFill="1" applyBorder="1" applyAlignment="1" applyProtection="1">
      <alignment horizontal="right" vertical="center"/>
    </xf>
    <xf numFmtId="6" fontId="23" fillId="0" borderId="379" xfId="54" applyNumberFormat="1" applyFont="1" applyFill="1" applyBorder="1" applyAlignment="1" applyProtection="1">
      <alignment horizontal="right" vertical="center"/>
    </xf>
    <xf numFmtId="38" fontId="23" fillId="32" borderId="328" xfId="54" applyNumberFormat="1" applyFont="1" applyFill="1" applyBorder="1" applyAlignment="1" applyProtection="1">
      <alignment horizontal="right" vertical="center"/>
    </xf>
    <xf numFmtId="6" fontId="23" fillId="0" borderId="328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6" fontId="26" fillId="0" borderId="12" xfId="32" applyNumberFormat="1" applyFont="1" applyFill="1" applyBorder="1" applyAlignment="1">
      <alignment horizontal="right" vertical="center"/>
    </xf>
    <xf numFmtId="0" fontId="34" fillId="0" borderId="297" xfId="45" applyFont="1" applyBorder="1" applyAlignment="1" applyProtection="1">
      <alignment horizontal="center" vertical="center"/>
    </xf>
    <xf numFmtId="0" fontId="34" fillId="0" borderId="297" xfId="45" applyFont="1" applyBorder="1" applyAlignment="1" applyProtection="1">
      <alignment horizontal="left" vertical="center"/>
    </xf>
    <xf numFmtId="38" fontId="34" fillId="36" borderId="297" xfId="45" applyNumberFormat="1" applyFont="1" applyFill="1" applyBorder="1" applyAlignment="1" applyProtection="1">
      <alignment vertical="center"/>
    </xf>
    <xf numFmtId="38" fontId="34" fillId="0" borderId="297" xfId="45" applyNumberFormat="1" applyFont="1" applyBorder="1" applyAlignment="1" applyProtection="1">
      <alignment vertical="center"/>
    </xf>
    <xf numFmtId="38" fontId="81" fillId="0" borderId="297" xfId="45" applyNumberFormat="1" applyFont="1" applyBorder="1" applyAlignment="1" applyProtection="1">
      <alignment vertical="center"/>
    </xf>
    <xf numFmtId="0" fontId="34" fillId="0" borderId="12" xfId="45" applyFont="1" applyBorder="1" applyAlignment="1" applyProtection="1">
      <alignment horizontal="center" vertical="center"/>
    </xf>
    <xf numFmtId="0" fontId="34" fillId="0" borderId="12" xfId="45" applyFont="1" applyBorder="1" applyAlignment="1" applyProtection="1">
      <alignment horizontal="left" vertical="center"/>
    </xf>
    <xf numFmtId="38" fontId="81" fillId="0" borderId="12" xfId="45" applyNumberFormat="1" applyFont="1" applyBorder="1" applyAlignment="1" applyProtection="1">
      <alignment vertical="center"/>
    </xf>
    <xf numFmtId="0" fontId="95" fillId="0" borderId="0" xfId="47830" applyFont="1" applyAlignment="1">
      <alignment horizontal="center" vertical="center"/>
    </xf>
    <xf numFmtId="0" fontId="95" fillId="0" borderId="0" xfId="47830" applyFont="1"/>
    <xf numFmtId="0" fontId="95" fillId="0" borderId="0" xfId="47830" applyFont="1" applyAlignment="1">
      <alignment horizontal="center"/>
    </xf>
    <xf numFmtId="0" fontId="96" fillId="0" borderId="0" xfId="47830" applyFont="1"/>
    <xf numFmtId="0" fontId="71" fillId="53" borderId="263" xfId="47830" applyFont="1" applyFill="1" applyBorder="1" applyAlignment="1">
      <alignment horizontal="center" vertical="center"/>
    </xf>
    <xf numFmtId="0" fontId="71" fillId="53" borderId="263" xfId="45" applyFont="1" applyFill="1" applyBorder="1" applyAlignment="1">
      <alignment horizontal="center" vertical="center" wrapText="1"/>
    </xf>
    <xf numFmtId="0" fontId="71" fillId="42" borderId="360" xfId="0" applyFont="1" applyFill="1" applyBorder="1" applyAlignment="1">
      <alignment horizontal="center" vertical="center" wrapText="1"/>
    </xf>
    <xf numFmtId="0" fontId="71" fillId="40" borderId="360" xfId="0" applyFont="1" applyFill="1" applyBorder="1" applyAlignment="1">
      <alignment horizontal="center" vertical="center" wrapText="1"/>
    </xf>
    <xf numFmtId="0" fontId="94" fillId="40" borderId="360" xfId="0" quotePrefix="1" applyFont="1" applyFill="1" applyBorder="1" applyAlignment="1">
      <alignment horizontal="center" vertical="center" wrapText="1"/>
    </xf>
    <xf numFmtId="0" fontId="94" fillId="40" borderId="360" xfId="0" applyFont="1" applyFill="1" applyBorder="1" applyAlignment="1">
      <alignment horizontal="center" vertical="center" wrapText="1"/>
    </xf>
    <xf numFmtId="0" fontId="26" fillId="26" borderId="360" xfId="58" applyFont="1" applyFill="1" applyBorder="1" applyAlignment="1">
      <alignment vertical="center"/>
    </xf>
    <xf numFmtId="1" fontId="93" fillId="26" borderId="360" xfId="28" quotePrefix="1" applyNumberFormat="1" applyFont="1" applyFill="1" applyBorder="1" applyAlignment="1" applyProtection="1">
      <alignment horizontal="center" vertical="center"/>
    </xf>
    <xf numFmtId="0" fontId="93" fillId="26" borderId="360" xfId="58" applyFont="1" applyFill="1" applyBorder="1" applyAlignment="1">
      <alignment horizontal="center" vertical="center"/>
    </xf>
    <xf numFmtId="0" fontId="31" fillId="45" borderId="382" xfId="0" applyFont="1" applyFill="1" applyBorder="1" applyAlignment="1" applyProtection="1">
      <alignment horizontal="center" vertical="center" wrapText="1"/>
    </xf>
    <xf numFmtId="1" fontId="86" fillId="26" borderId="382" xfId="0" applyNumberFormat="1" applyFont="1" applyFill="1" applyBorder="1" applyAlignment="1" applyProtection="1">
      <alignment horizontal="center" vertical="center"/>
    </xf>
    <xf numFmtId="1" fontId="86" fillId="26" borderId="382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1" fontId="27" fillId="26" borderId="198" xfId="53" applyNumberFormat="1" applyFont="1" applyFill="1" applyBorder="1" applyAlignment="1" applyProtection="1">
      <alignment horizontal="center" vertical="center"/>
    </xf>
    <xf numFmtId="6" fontId="23" fillId="0" borderId="344" xfId="53" applyNumberFormat="1" applyFont="1" applyFill="1" applyBorder="1" applyAlignment="1" applyProtection="1">
      <alignment horizontal="right" vertical="center"/>
    </xf>
    <xf numFmtId="38" fontId="23" fillId="32" borderId="343" xfId="54" applyNumberFormat="1" applyFont="1" applyFill="1" applyBorder="1" applyAlignment="1" applyProtection="1">
      <alignment horizontal="right" vertical="center"/>
    </xf>
    <xf numFmtId="0" fontId="71" fillId="43" borderId="382" xfId="70" applyFont="1" applyFill="1" applyBorder="1" applyAlignment="1" applyProtection="1">
      <alignment horizontal="center" vertical="center" wrapText="1"/>
    </xf>
    <xf numFmtId="0" fontId="71" fillId="55" borderId="382" xfId="70" applyFont="1" applyFill="1" applyBorder="1" applyAlignment="1" applyProtection="1">
      <alignment horizontal="center" vertical="center" wrapText="1"/>
    </xf>
    <xf numFmtId="6" fontId="31" fillId="53" borderId="382" xfId="53" applyNumberFormat="1" applyFont="1" applyFill="1" applyBorder="1" applyAlignment="1" applyProtection="1">
      <alignment horizontal="center" vertical="center" wrapText="1"/>
    </xf>
    <xf numFmtId="6" fontId="71" fillId="55" borderId="382" xfId="70" applyNumberFormat="1" applyFont="1" applyFill="1" applyBorder="1" applyAlignment="1" applyProtection="1">
      <alignment horizontal="center" vertical="center" wrapText="1"/>
    </xf>
    <xf numFmtId="6" fontId="31" fillId="25" borderId="386" xfId="53" applyNumberFormat="1" applyFont="1" applyFill="1" applyBorder="1" applyAlignment="1" applyProtection="1">
      <alignment horizontal="center" vertical="center" wrapText="1"/>
    </xf>
    <xf numFmtId="0" fontId="28" fillId="26" borderId="328" xfId="28" quotePrefix="1" applyNumberFormat="1" applyFont="1" applyFill="1" applyBorder="1" applyAlignment="1" applyProtection="1">
      <alignment horizontal="center" vertical="center"/>
    </xf>
    <xf numFmtId="0" fontId="38" fillId="25" borderId="337" xfId="53" applyFont="1" applyFill="1" applyBorder="1" applyAlignment="1" applyProtection="1">
      <alignment horizontal="center" vertical="center" wrapText="1"/>
    </xf>
    <xf numFmtId="0" fontId="38" fillId="25" borderId="387" xfId="53" applyFont="1" applyFill="1" applyBorder="1" applyAlignment="1" applyProtection="1">
      <alignment horizontal="center" vertical="center" wrapText="1"/>
    </xf>
    <xf numFmtId="6" fontId="23" fillId="0" borderId="330" xfId="53" applyNumberFormat="1" applyFont="1" applyFill="1" applyBorder="1" applyAlignment="1" applyProtection="1">
      <alignment horizontal="right" vertical="center"/>
    </xf>
    <xf numFmtId="49" fontId="31" fillId="34" borderId="296" xfId="53" applyNumberFormat="1" applyFont="1" applyFill="1" applyBorder="1" applyAlignment="1" applyProtection="1">
      <alignment horizontal="center" vertical="center" wrapText="1"/>
    </xf>
    <xf numFmtId="0" fontId="71" fillId="58" borderId="347" xfId="70" applyFont="1" applyFill="1" applyBorder="1" applyAlignment="1" applyProtection="1">
      <alignment horizontal="center" vertical="center" wrapText="1"/>
    </xf>
    <xf numFmtId="0" fontId="71" fillId="55" borderId="347" xfId="70" applyFont="1" applyFill="1" applyBorder="1" applyAlignment="1" applyProtection="1">
      <alignment horizontal="center" vertical="center" wrapText="1"/>
    </xf>
    <xf numFmtId="0" fontId="31" fillId="35" borderId="347" xfId="0" applyFont="1" applyFill="1" applyBorder="1" applyAlignment="1" applyProtection="1">
      <alignment horizontal="center" vertical="center" wrapText="1"/>
    </xf>
    <xf numFmtId="49" fontId="31" fillId="35" borderId="347" xfId="53" applyNumberFormat="1" applyFont="1" applyFill="1" applyBorder="1" applyAlignment="1" applyProtection="1">
      <alignment horizontal="center" vertical="center" wrapText="1"/>
    </xf>
    <xf numFmtId="0" fontId="31" fillId="34" borderId="347" xfId="0" applyFont="1" applyFill="1" applyBorder="1" applyAlignment="1" applyProtection="1">
      <alignment horizontal="center" vertical="center" wrapText="1"/>
    </xf>
    <xf numFmtId="49" fontId="31" fillId="34" borderId="347" xfId="53" applyNumberFormat="1" applyFont="1" applyFill="1" applyBorder="1" applyAlignment="1" applyProtection="1">
      <alignment horizontal="center" vertical="center" wrapText="1"/>
    </xf>
    <xf numFmtId="0" fontId="31" fillId="40" borderId="347" xfId="0" applyFont="1" applyFill="1" applyBorder="1" applyAlignment="1" applyProtection="1">
      <alignment horizontal="center" vertical="center" wrapText="1"/>
    </xf>
    <xf numFmtId="0" fontId="71" fillId="40" borderId="347" xfId="0" quotePrefix="1" applyFont="1" applyFill="1" applyBorder="1" applyAlignment="1" applyProtection="1">
      <alignment horizontal="center" vertical="center" wrapText="1"/>
    </xf>
    <xf numFmtId="165" fontId="23" fillId="31" borderId="247" xfId="0" applyNumberFormat="1" applyFont="1" applyFill="1" applyBorder="1" applyAlignment="1" applyProtection="1">
      <alignment vertical="center"/>
    </xf>
    <xf numFmtId="5" fontId="23" fillId="31" borderId="240" xfId="0" applyNumberFormat="1" applyFont="1" applyFill="1" applyBorder="1" applyAlignment="1" applyProtection="1">
      <alignment vertical="center"/>
    </xf>
    <xf numFmtId="5" fontId="23" fillId="31" borderId="28" xfId="0" applyNumberFormat="1" applyFont="1" applyFill="1" applyBorder="1" applyAlignment="1" applyProtection="1">
      <alignment vertical="center"/>
    </xf>
    <xf numFmtId="5" fontId="23" fillId="31" borderId="41" xfId="0" applyNumberFormat="1" applyFont="1" applyFill="1" applyBorder="1" applyAlignment="1" applyProtection="1">
      <alignment vertical="center"/>
    </xf>
    <xf numFmtId="5" fontId="26" fillId="31" borderId="12" xfId="0" applyNumberFormat="1" applyFont="1" applyFill="1" applyBorder="1" applyAlignment="1" applyProtection="1">
      <alignment vertical="center"/>
    </xf>
    <xf numFmtId="0" fontId="23" fillId="0" borderId="311" xfId="64" applyFont="1" applyFill="1" applyBorder="1" applyAlignment="1" applyProtection="1">
      <alignment horizontal="center" vertical="center"/>
    </xf>
    <xf numFmtId="0" fontId="23" fillId="0" borderId="312" xfId="64" applyFont="1" applyFill="1" applyBorder="1" applyAlignment="1" applyProtection="1">
      <alignment horizontal="center" vertical="center"/>
    </xf>
    <xf numFmtId="0" fontId="23" fillId="24" borderId="313" xfId="64" applyFont="1" applyFill="1" applyBorder="1" applyAlignment="1" applyProtection="1">
      <alignment horizontal="left" vertical="center"/>
    </xf>
    <xf numFmtId="38" fontId="23" fillId="0" borderId="314" xfId="28" applyNumberFormat="1" applyFont="1" applyFill="1" applyBorder="1" applyAlignment="1" applyProtection="1">
      <alignment vertical="center"/>
    </xf>
    <xf numFmtId="6" fontId="23" fillId="34" borderId="314" xfId="252" applyNumberFormat="1" applyFont="1" applyFill="1" applyBorder="1" applyAlignment="1" applyProtection="1">
      <alignment vertical="center"/>
    </xf>
    <xf numFmtId="6" fontId="23" fillId="0" borderId="314" xfId="64" applyNumberFormat="1" applyFont="1" applyFill="1" applyBorder="1" applyAlignment="1" applyProtection="1">
      <alignment vertical="center"/>
    </xf>
    <xf numFmtId="6" fontId="23" fillId="35" borderId="314" xfId="64" applyNumberFormat="1" applyFont="1" applyFill="1" applyBorder="1" applyAlignment="1" applyProtection="1">
      <alignment vertical="center"/>
    </xf>
    <xf numFmtId="6" fontId="23" fillId="38" borderId="314" xfId="64" applyNumberFormat="1" applyFont="1" applyFill="1" applyBorder="1" applyAlignment="1" applyProtection="1">
      <alignment vertical="center"/>
    </xf>
    <xf numFmtId="6" fontId="23" fillId="42" borderId="314" xfId="64" applyNumberFormat="1" applyFont="1" applyFill="1" applyBorder="1" applyAlignment="1" applyProtection="1">
      <alignment vertical="center"/>
    </xf>
    <xf numFmtId="6" fontId="70" fillId="32" borderId="314" xfId="64" applyNumberFormat="1" applyFont="1" applyFill="1" applyBorder="1" applyAlignment="1" applyProtection="1">
      <alignment vertical="center"/>
    </xf>
    <xf numFmtId="6" fontId="23" fillId="40" borderId="314" xfId="64" applyNumberFormat="1" applyFont="1" applyFill="1" applyBorder="1" applyAlignment="1" applyProtection="1">
      <alignment vertical="center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0" fontId="26" fillId="36" borderId="382" xfId="0" applyFont="1" applyFill="1" applyBorder="1" applyAlignment="1" applyProtection="1">
      <alignment horizontal="center" vertical="center" wrapText="1"/>
    </xf>
    <xf numFmtId="0" fontId="26" fillId="36" borderId="382" xfId="0" applyFont="1" applyFill="1" applyBorder="1" applyAlignment="1" applyProtection="1">
      <alignment vertical="center" wrapText="1"/>
    </xf>
    <xf numFmtId="3" fontId="23" fillId="36" borderId="382" xfId="0" applyNumberFormat="1" applyFont="1" applyFill="1" applyBorder="1" applyAlignment="1" applyProtection="1">
      <alignment horizontal="right" vertical="center"/>
    </xf>
    <xf numFmtId="6" fontId="23" fillId="36" borderId="382" xfId="0" applyNumberFormat="1" applyFont="1" applyFill="1" applyBorder="1" applyAlignment="1" applyProtection="1">
      <alignment horizontal="right" vertical="center"/>
    </xf>
    <xf numFmtId="38" fontId="23" fillId="36" borderId="382" xfId="0" applyNumberFormat="1" applyFont="1" applyFill="1" applyBorder="1" applyAlignment="1" applyProtection="1">
      <alignment horizontal="right" vertical="center"/>
    </xf>
    <xf numFmtId="6" fontId="26" fillId="46" borderId="12" xfId="32" applyNumberFormat="1" applyFont="1" applyFill="1" applyBorder="1" applyAlignment="1">
      <alignment horizontal="right" vertical="center"/>
    </xf>
    <xf numFmtId="6" fontId="26" fillId="39" borderId="321" xfId="54" applyNumberFormat="1" applyFont="1" applyFill="1" applyBorder="1" applyAlignment="1" applyProtection="1">
      <alignment horizontal="right" vertical="center"/>
    </xf>
    <xf numFmtId="0" fontId="23" fillId="0" borderId="388" xfId="53" applyFont="1" applyFill="1" applyBorder="1" applyAlignment="1" applyProtection="1">
      <alignment vertical="center"/>
    </xf>
    <xf numFmtId="0" fontId="23" fillId="0" borderId="379" xfId="53" applyFont="1" applyFill="1" applyBorder="1" applyAlignment="1" applyProtection="1">
      <alignment vertical="center"/>
    </xf>
    <xf numFmtId="38" fontId="23" fillId="32" borderId="317" xfId="54" applyNumberFormat="1" applyFont="1" applyFill="1" applyBorder="1" applyAlignment="1" applyProtection="1">
      <alignment horizontal="right" vertical="center"/>
    </xf>
    <xf numFmtId="6" fontId="23" fillId="0" borderId="325" xfId="53" applyNumberFormat="1" applyFont="1" applyFill="1" applyBorder="1" applyAlignment="1" applyProtection="1">
      <alignment horizontal="right" vertical="center"/>
    </xf>
    <xf numFmtId="38" fontId="23" fillId="32" borderId="330" xfId="54" applyNumberFormat="1" applyFont="1" applyFill="1" applyBorder="1" applyAlignment="1" applyProtection="1">
      <alignment horizontal="right" vertical="center"/>
    </xf>
    <xf numFmtId="6" fontId="23" fillId="0" borderId="323" xfId="53" applyNumberFormat="1" applyFont="1" applyFill="1" applyBorder="1" applyAlignment="1" applyProtection="1">
      <alignment horizontal="right" vertical="center"/>
    </xf>
    <xf numFmtId="6" fontId="23" fillId="34" borderId="329" xfId="53" applyNumberFormat="1" applyFont="1" applyFill="1" applyBorder="1" applyAlignment="1" applyProtection="1">
      <alignment horizontal="right" vertical="center"/>
    </xf>
    <xf numFmtId="0" fontId="23" fillId="0" borderId="337" xfId="53" applyFont="1" applyFill="1" applyBorder="1" applyAlignment="1" applyProtection="1">
      <alignment vertical="center"/>
    </xf>
    <xf numFmtId="0" fontId="23" fillId="0" borderId="328" xfId="53" applyFont="1" applyFill="1" applyBorder="1" applyAlignment="1" applyProtection="1">
      <alignment vertical="center"/>
    </xf>
    <xf numFmtId="6" fontId="23" fillId="0" borderId="342" xfId="53" applyNumberFormat="1" applyFont="1" applyFill="1" applyBorder="1" applyAlignment="1" applyProtection="1">
      <alignment horizontal="right" vertical="center"/>
    </xf>
    <xf numFmtId="6" fontId="23" fillId="45" borderId="343" xfId="53" applyNumberFormat="1" applyFont="1" applyFill="1" applyBorder="1" applyAlignment="1" applyProtection="1">
      <alignment horizontal="right" vertical="center"/>
    </xf>
    <xf numFmtId="6" fontId="23" fillId="0" borderId="343" xfId="53" applyNumberFormat="1" applyFont="1" applyFill="1" applyBorder="1" applyAlignment="1" applyProtection="1">
      <alignment horizontal="right" vertical="center"/>
    </xf>
    <xf numFmtId="6" fontId="23" fillId="34" borderId="345" xfId="53" applyNumberFormat="1" applyFont="1" applyFill="1" applyBorder="1" applyAlignment="1" applyProtection="1">
      <alignment horizontal="right" vertical="center"/>
    </xf>
    <xf numFmtId="38" fontId="0" fillId="0" borderId="0" xfId="0" applyNumberFormat="1" applyAlignment="1" applyProtection="1">
      <alignment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2" borderId="12" xfId="48" applyNumberFormat="1" applyFont="1" applyFill="1" applyBorder="1" applyAlignment="1" applyProtection="1">
      <alignment horizontal="right" vertical="center"/>
    </xf>
    <xf numFmtId="6" fontId="26" fillId="32" borderId="12" xfId="32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6" fontId="23" fillId="36" borderId="0" xfId="54" applyNumberFormat="1" applyFont="1" applyFill="1" applyBorder="1" applyAlignment="1" applyProtection="1">
      <alignment horizontal="right" vertical="center"/>
    </xf>
    <xf numFmtId="40" fontId="78" fillId="0" borderId="0" xfId="47846" applyNumberFormat="1" applyFont="1" applyAlignment="1">
      <alignment vertical="center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6" fontId="23" fillId="44" borderId="259" xfId="53" applyNumberFormat="1" applyFont="1" applyFill="1" applyBorder="1" applyAlignment="1" applyProtection="1">
      <alignment horizontal="right" vertical="center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174" fontId="23" fillId="0" borderId="305" xfId="252" applyNumberFormat="1" applyFont="1" applyBorder="1" applyAlignment="1" applyProtection="1">
      <alignment vertical="center"/>
    </xf>
    <xf numFmtId="174" fontId="23" fillId="0" borderId="307" xfId="252" applyNumberFormat="1" applyFont="1" applyBorder="1" applyAlignment="1" applyProtection="1">
      <alignment vertical="center"/>
    </xf>
    <xf numFmtId="174" fontId="23" fillId="0" borderId="300" xfId="252" applyNumberFormat="1" applyFont="1" applyBorder="1" applyAlignment="1" applyProtection="1">
      <alignment vertical="center"/>
    </xf>
    <xf numFmtId="174" fontId="23" fillId="0" borderId="251" xfId="252" applyNumberFormat="1" applyFont="1" applyBorder="1" applyAlignment="1" applyProtection="1">
      <alignment vertical="center"/>
    </xf>
    <xf numFmtId="174" fontId="26" fillId="0" borderId="314" xfId="28" applyNumberFormat="1" applyFont="1" applyFill="1" applyBorder="1" applyAlignment="1" applyProtection="1">
      <alignment vertical="center"/>
    </xf>
    <xf numFmtId="174" fontId="26" fillId="28" borderId="319" xfId="64" applyNumberFormat="1" applyFont="1" applyFill="1" applyBorder="1" applyAlignment="1" applyProtection="1">
      <alignment horizontal="left" vertical="center"/>
    </xf>
    <xf numFmtId="174" fontId="23" fillId="28" borderId="319" xfId="64" applyNumberFormat="1" applyFont="1" applyFill="1" applyBorder="1" applyAlignment="1" applyProtection="1">
      <alignment horizontal="left" vertical="center"/>
    </xf>
    <xf numFmtId="174" fontId="23" fillId="0" borderId="307" xfId="252" applyNumberFormat="1" applyFont="1" applyFill="1" applyBorder="1" applyAlignment="1" applyProtection="1">
      <alignment vertical="center"/>
    </xf>
    <xf numFmtId="174" fontId="26" fillId="28" borderId="300" xfId="64" applyNumberFormat="1" applyFont="1" applyFill="1" applyBorder="1" applyAlignment="1" applyProtection="1">
      <alignment horizontal="left" vertical="center"/>
    </xf>
    <xf numFmtId="174" fontId="23" fillId="0" borderId="314" xfId="28" applyNumberFormat="1" applyFont="1" applyFill="1" applyBorder="1" applyAlignment="1" applyProtection="1">
      <alignment vertical="center"/>
    </xf>
    <xf numFmtId="0" fontId="71" fillId="33" borderId="382" xfId="47846" applyFont="1" applyFill="1" applyBorder="1" applyAlignment="1">
      <alignment horizontal="center" vertical="center" wrapText="1"/>
    </xf>
    <xf numFmtId="6" fontId="71" fillId="33" borderId="382" xfId="47846" applyNumberFormat="1" applyFont="1" applyFill="1" applyBorder="1" applyAlignment="1">
      <alignment horizontal="center" vertical="center" wrapText="1"/>
    </xf>
    <xf numFmtId="171" fontId="71" fillId="33" borderId="382" xfId="47846" applyNumberFormat="1" applyFont="1" applyFill="1" applyBorder="1" applyAlignment="1">
      <alignment horizontal="center" vertical="center" wrapText="1"/>
    </xf>
    <xf numFmtId="6" fontId="71" fillId="40" borderId="382" xfId="47846" applyNumberFormat="1" applyFont="1" applyFill="1" applyBorder="1" applyAlignment="1">
      <alignment horizontal="center" vertical="center" wrapText="1"/>
    </xf>
    <xf numFmtId="171" fontId="71" fillId="40" borderId="382" xfId="47846" applyNumberFormat="1" applyFont="1" applyFill="1" applyBorder="1" applyAlignment="1">
      <alignment horizontal="center" vertical="center" wrapText="1"/>
    </xf>
    <xf numFmtId="0" fontId="71" fillId="51" borderId="382" xfId="47846" applyFont="1" applyFill="1" applyBorder="1" applyAlignment="1">
      <alignment horizontal="center" vertical="center" wrapText="1"/>
    </xf>
    <xf numFmtId="0" fontId="73" fillId="40" borderId="382" xfId="47846" applyFont="1" applyFill="1" applyBorder="1" applyAlignment="1">
      <alignment horizontal="center" vertical="center" wrapText="1"/>
    </xf>
    <xf numFmtId="0" fontId="71" fillId="40" borderId="382" xfId="47846" applyFont="1" applyFill="1" applyBorder="1" applyAlignment="1">
      <alignment horizontal="center" vertical="center" wrapText="1"/>
    </xf>
    <xf numFmtId="6" fontId="23" fillId="44" borderId="246" xfId="54" applyNumberFormat="1" applyFont="1" applyFill="1" applyBorder="1" applyAlignment="1" applyProtection="1">
      <alignment horizontal="right" vertical="center"/>
    </xf>
    <xf numFmtId="6" fontId="23" fillId="44" borderId="210" xfId="53" applyNumberFormat="1" applyFont="1" applyFill="1" applyBorder="1" applyAlignment="1" applyProtection="1">
      <alignment horizontal="right" vertical="center"/>
    </xf>
    <xf numFmtId="6" fontId="25" fillId="0" borderId="226" xfId="0" applyNumberFormat="1" applyFont="1" applyFill="1" applyBorder="1" applyAlignment="1" applyProtection="1">
      <alignment horizontal="right" vertical="center"/>
    </xf>
    <xf numFmtId="6" fontId="25" fillId="45" borderId="226" xfId="0" applyNumberFormat="1" applyFont="1" applyFill="1" applyBorder="1" applyAlignment="1" applyProtection="1">
      <alignment horizontal="right" vertical="center"/>
    </xf>
    <xf numFmtId="6" fontId="25" fillId="0" borderId="229" xfId="0" applyNumberFormat="1" applyFont="1" applyFill="1" applyBorder="1" applyAlignment="1" applyProtection="1">
      <alignment horizontal="right" vertical="center"/>
    </xf>
    <xf numFmtId="6" fontId="25" fillId="45" borderId="229" xfId="0" applyNumberFormat="1" applyFont="1" applyFill="1" applyBorder="1" applyAlignment="1" applyProtection="1">
      <alignment horizontal="right" vertical="center"/>
    </xf>
    <xf numFmtId="6" fontId="25" fillId="0" borderId="224" xfId="0" applyNumberFormat="1" applyFont="1" applyFill="1" applyBorder="1" applyAlignment="1" applyProtection="1">
      <alignment horizontal="right" vertical="center"/>
    </xf>
    <xf numFmtId="6" fontId="25" fillId="45" borderId="224" xfId="0" applyNumberFormat="1" applyFont="1" applyFill="1" applyBorder="1" applyAlignment="1" applyProtection="1">
      <alignment horizontal="right" vertical="center"/>
    </xf>
    <xf numFmtId="6" fontId="25" fillId="0" borderId="367" xfId="0" applyNumberFormat="1" applyFont="1" applyFill="1" applyBorder="1" applyAlignment="1" applyProtection="1">
      <alignment horizontal="right" vertical="center"/>
    </xf>
    <xf numFmtId="6" fontId="25" fillId="0" borderId="227" xfId="30" applyNumberFormat="1" applyFont="1" applyFill="1" applyBorder="1" applyAlignment="1" applyProtection="1">
      <alignment horizontal="right" vertical="center"/>
    </xf>
    <xf numFmtId="6" fontId="23" fillId="35" borderId="227" xfId="30" applyNumberFormat="1" applyFont="1" applyFill="1" applyBorder="1" applyAlignment="1" applyProtection="1">
      <alignment horizontal="right" vertical="center"/>
    </xf>
    <xf numFmtId="6" fontId="23" fillId="0" borderId="227" xfId="30" applyNumberFormat="1" applyFont="1" applyFill="1" applyBorder="1" applyAlignment="1" applyProtection="1">
      <alignment horizontal="right" vertical="center"/>
    </xf>
    <xf numFmtId="6" fontId="25" fillId="35" borderId="227" xfId="30" applyNumberFormat="1" applyFont="1" applyFill="1" applyBorder="1" applyAlignment="1" applyProtection="1">
      <alignment horizontal="right" vertical="center"/>
    </xf>
    <xf numFmtId="6" fontId="25" fillId="0" borderId="230" xfId="30" applyNumberFormat="1" applyFont="1" applyFill="1" applyBorder="1" applyAlignment="1" applyProtection="1">
      <alignment horizontal="right" vertical="center"/>
    </xf>
    <xf numFmtId="6" fontId="25" fillId="35" borderId="230" xfId="30" applyNumberFormat="1" applyFont="1" applyFill="1" applyBorder="1" applyAlignment="1" applyProtection="1">
      <alignment horizontal="right" vertical="center"/>
    </xf>
    <xf numFmtId="6" fontId="25" fillId="0" borderId="199" xfId="30" applyNumberFormat="1" applyFont="1" applyFill="1" applyBorder="1" applyAlignment="1" applyProtection="1">
      <alignment horizontal="right" vertical="center"/>
    </xf>
    <xf numFmtId="6" fontId="25" fillId="35" borderId="199" xfId="30" applyNumberFormat="1" applyFont="1" applyFill="1" applyBorder="1" applyAlignment="1" applyProtection="1">
      <alignment horizontal="right" vertical="center"/>
    </xf>
    <xf numFmtId="6" fontId="26" fillId="35" borderId="48" xfId="54" applyNumberFormat="1" applyFont="1" applyFill="1" applyBorder="1" applyAlignment="1" applyProtection="1">
      <alignment horizontal="right" vertical="center"/>
    </xf>
    <xf numFmtId="6" fontId="26" fillId="35" borderId="111" xfId="54" applyNumberFormat="1" applyFont="1" applyFill="1" applyBorder="1" applyAlignment="1" applyProtection="1">
      <alignment horizontal="right" vertical="center"/>
    </xf>
    <xf numFmtId="6" fontId="25" fillId="0" borderId="368" xfId="30" applyNumberFormat="1" applyFont="1" applyFill="1" applyBorder="1" applyAlignment="1" applyProtection="1">
      <alignment horizontal="right" vertical="center"/>
    </xf>
    <xf numFmtId="6" fontId="25" fillId="35" borderId="368" xfId="30" applyNumberFormat="1" applyFont="1" applyFill="1" applyBorder="1" applyAlignment="1" applyProtection="1">
      <alignment horizontal="right" vertical="center"/>
    </xf>
    <xf numFmtId="6" fontId="23" fillId="0" borderId="35" xfId="53" applyNumberFormat="1" applyFont="1" applyFill="1" applyBorder="1" applyAlignment="1" applyProtection="1">
      <alignment horizontal="right" vertical="center"/>
    </xf>
    <xf numFmtId="6" fontId="23" fillId="32" borderId="35" xfId="53" applyNumberFormat="1" applyFont="1" applyFill="1" applyBorder="1" applyAlignment="1" applyProtection="1">
      <alignment horizontal="right" vertical="center"/>
    </xf>
    <xf numFmtId="6" fontId="23" fillId="0" borderId="37" xfId="53" applyNumberFormat="1" applyFont="1" applyFill="1" applyBorder="1" applyAlignment="1" applyProtection="1">
      <alignment horizontal="right" vertical="center"/>
    </xf>
    <xf numFmtId="6" fontId="23" fillId="32" borderId="37" xfId="53" applyNumberFormat="1" applyFont="1" applyFill="1" applyBorder="1" applyAlignment="1" applyProtection="1">
      <alignment horizontal="right" vertical="center"/>
    </xf>
    <xf numFmtId="49" fontId="31" fillId="35" borderId="216" xfId="0" applyNumberFormat="1" applyFont="1" applyFill="1" applyBorder="1" applyAlignment="1" applyProtection="1">
      <alignment horizontal="center" vertical="center" wrapText="1"/>
    </xf>
    <xf numFmtId="0" fontId="70" fillId="0" borderId="0" xfId="47822" applyFont="1" applyAlignment="1" applyProtection="1">
      <alignment vertical="center"/>
    </xf>
    <xf numFmtId="0" fontId="41" fillId="0" borderId="0" xfId="0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 applyProtection="1">
      <alignment vertical="center" wrapText="1"/>
    </xf>
    <xf numFmtId="38" fontId="41" fillId="0" borderId="0" xfId="0" applyNumberFormat="1" applyFont="1" applyFill="1" applyBorder="1" applyAlignment="1" applyProtection="1">
      <alignment horizontal="left" vertical="center"/>
    </xf>
    <xf numFmtId="0" fontId="41" fillId="0" borderId="0" xfId="0" applyFont="1" applyFill="1" applyProtection="1"/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5" borderId="12" xfId="0" applyNumberFormat="1" applyFont="1" applyFill="1" applyBorder="1" applyAlignment="1" applyProtection="1">
      <alignment horizontal="right" vertical="center"/>
    </xf>
    <xf numFmtId="6" fontId="26" fillId="32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5" borderId="12" xfId="0" applyNumberFormat="1" applyFont="1" applyFill="1" applyBorder="1" applyAlignment="1" applyProtection="1">
      <alignment horizontal="right" vertical="center"/>
    </xf>
    <xf numFmtId="169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0" fontId="27" fillId="0" borderId="0" xfId="0" applyFont="1" applyFill="1" applyAlignment="1" applyProtection="1">
      <alignment horizontal="center" vertical="center"/>
    </xf>
    <xf numFmtId="1" fontId="25" fillId="0" borderId="0" xfId="0" applyNumberFormat="1" applyFont="1" applyFill="1" applyAlignment="1" applyProtection="1">
      <alignment horizontal="center" vertical="center"/>
    </xf>
    <xf numFmtId="1" fontId="27" fillId="0" borderId="0" xfId="0" applyNumberFormat="1" applyFont="1" applyFill="1" applyAlignment="1" applyProtection="1">
      <alignment horizontal="center" vertical="center"/>
    </xf>
    <xf numFmtId="1" fontId="27" fillId="0" borderId="15" xfId="0" applyNumberFormat="1" applyFont="1" applyFill="1" applyBorder="1" applyAlignment="1" applyProtection="1">
      <alignment horizontal="center" vertical="center"/>
    </xf>
    <xf numFmtId="0" fontId="26" fillId="0" borderId="0" xfId="0" applyFont="1" applyFill="1" applyAlignment="1" applyProtection="1">
      <alignment vertical="center"/>
    </xf>
    <xf numFmtId="0" fontId="25" fillId="0" borderId="0" xfId="0" applyFont="1" applyFill="1" applyAlignment="1" applyProtection="1">
      <alignment horizontal="center" vertical="center"/>
    </xf>
    <xf numFmtId="0" fontId="0" fillId="0" borderId="0" xfId="0" applyFill="1" applyAlignment="1">
      <alignment vertical="center"/>
    </xf>
    <xf numFmtId="0" fontId="25" fillId="0" borderId="0" xfId="0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49" fontId="31" fillId="0" borderId="0" xfId="53" applyNumberFormat="1" applyFont="1" applyFill="1" applyBorder="1" applyAlignment="1" applyProtection="1">
      <alignment horizontal="center" vertical="center" wrapText="1"/>
    </xf>
    <xf numFmtId="6" fontId="26" fillId="0" borderId="12" xfId="31" applyNumberFormat="1" applyFont="1" applyFill="1" applyBorder="1" applyAlignment="1" applyProtection="1">
      <alignment vertical="center"/>
    </xf>
    <xf numFmtId="6" fontId="26" fillId="45" borderId="12" xfId="31" applyNumberFormat="1" applyFont="1" applyFill="1" applyBorder="1" applyAlignment="1" applyProtection="1">
      <alignment vertical="center"/>
    </xf>
    <xf numFmtId="6" fontId="26" fillId="34" borderId="12" xfId="31" applyNumberFormat="1" applyFont="1" applyFill="1" applyBorder="1" applyAlignment="1" applyProtection="1">
      <alignment vertical="center"/>
    </xf>
    <xf numFmtId="0" fontId="75" fillId="39" borderId="296" xfId="0" applyFont="1" applyFill="1" applyBorder="1" applyAlignment="1" applyProtection="1">
      <alignment horizontal="center" vertical="center" wrapText="1"/>
    </xf>
    <xf numFmtId="0" fontId="71" fillId="35" borderId="296" xfId="0" applyFont="1" applyFill="1" applyBorder="1" applyAlignment="1" applyProtection="1">
      <alignment horizontal="center" vertical="center" wrapText="1"/>
    </xf>
    <xf numFmtId="0" fontId="74" fillId="31" borderId="333" xfId="0" applyFont="1" applyFill="1" applyBorder="1" applyAlignment="1" applyProtection="1">
      <alignment horizontal="center" vertical="center" wrapText="1"/>
    </xf>
    <xf numFmtId="0" fontId="74" fillId="31" borderId="340" xfId="0" applyFont="1" applyFill="1" applyBorder="1" applyAlignment="1" applyProtection="1">
      <alignment horizontal="center" vertical="center" wrapText="1"/>
    </xf>
    <xf numFmtId="0" fontId="74" fillId="31" borderId="347" xfId="0" applyFont="1" applyFill="1" applyBorder="1" applyAlignment="1" applyProtection="1">
      <alignment horizontal="center" vertical="center"/>
    </xf>
    <xf numFmtId="0" fontId="71" fillId="40" borderId="292" xfId="0" applyFont="1" applyFill="1" applyBorder="1" applyAlignment="1" applyProtection="1">
      <alignment horizontal="center" vertical="center" wrapText="1"/>
    </xf>
    <xf numFmtId="0" fontId="71" fillId="40" borderId="294" xfId="0" applyFont="1" applyFill="1" applyBorder="1" applyAlignment="1" applyProtection="1">
      <alignment horizontal="center" vertical="center" wrapText="1"/>
    </xf>
    <xf numFmtId="0" fontId="71" fillId="40" borderId="293" xfId="0" applyFont="1" applyFill="1" applyBorder="1" applyAlignment="1" applyProtection="1">
      <alignment horizontal="center" vertical="center" wrapText="1"/>
    </xf>
    <xf numFmtId="0" fontId="74" fillId="34" borderId="296" xfId="0" applyFont="1" applyFill="1" applyBorder="1" applyAlignment="1" applyProtection="1">
      <alignment horizontal="center" vertical="center" wrapText="1"/>
    </xf>
    <xf numFmtId="49" fontId="31" fillId="34" borderId="263" xfId="53" applyNumberFormat="1" applyFont="1" applyFill="1" applyBorder="1" applyAlignment="1" applyProtection="1">
      <alignment horizontal="center" vertical="center" wrapText="1"/>
    </xf>
    <xf numFmtId="0" fontId="31" fillId="34" borderId="296" xfId="0" applyFont="1" applyFill="1" applyBorder="1" applyAlignment="1" applyProtection="1">
      <alignment horizontal="center" vertical="center" wrapText="1"/>
    </xf>
    <xf numFmtId="0" fontId="38" fillId="25" borderId="296" xfId="0" applyFont="1" applyFill="1" applyBorder="1" applyAlignment="1" applyProtection="1">
      <alignment horizontal="center" vertical="center" wrapText="1"/>
    </xf>
    <xf numFmtId="49" fontId="60" fillId="33" borderId="347" xfId="53" applyNumberFormat="1" applyFont="1" applyFill="1" applyBorder="1" applyAlignment="1" applyProtection="1">
      <alignment horizontal="center" vertical="center"/>
    </xf>
    <xf numFmtId="0" fontId="31" fillId="34" borderId="296" xfId="0" applyFont="1" applyFill="1" applyBorder="1" applyAlignment="1" applyProtection="1">
      <alignment horizontal="center" vertical="center" wrapText="1"/>
      <protection locked="0"/>
    </xf>
    <xf numFmtId="0" fontId="31" fillId="35" borderId="296" xfId="0" applyFont="1" applyFill="1" applyBorder="1" applyAlignment="1" applyProtection="1">
      <alignment horizontal="center" vertical="center" wrapText="1"/>
    </xf>
    <xf numFmtId="49" fontId="83" fillId="33" borderId="385" xfId="53" applyNumberFormat="1" applyFont="1" applyFill="1" applyBorder="1" applyAlignment="1" applyProtection="1">
      <alignment horizontal="center" vertical="center"/>
      <protection locked="0"/>
    </xf>
    <xf numFmtId="49" fontId="83" fillId="33" borderId="384" xfId="53" applyNumberFormat="1" applyFont="1" applyFill="1" applyBorder="1" applyAlignment="1" applyProtection="1">
      <alignment horizontal="center" vertical="center"/>
      <protection locked="0"/>
    </xf>
    <xf numFmtId="49" fontId="83" fillId="33" borderId="386" xfId="53" applyNumberFormat="1" applyFont="1" applyFill="1" applyBorder="1" applyAlignment="1" applyProtection="1">
      <alignment horizontal="center" vertical="center"/>
      <protection locked="0"/>
    </xf>
    <xf numFmtId="0" fontId="71" fillId="45" borderId="296" xfId="0" applyFont="1" applyFill="1" applyBorder="1" applyAlignment="1" applyProtection="1">
      <alignment horizontal="center" vertical="center" wrapText="1"/>
      <protection locked="0"/>
    </xf>
    <xf numFmtId="49" fontId="60" fillId="33" borderId="333" xfId="53" applyNumberFormat="1" applyFont="1" applyFill="1" applyBorder="1" applyAlignment="1" applyProtection="1">
      <alignment horizontal="center" vertical="center" wrapText="1"/>
    </xf>
    <xf numFmtId="49" fontId="60" fillId="33" borderId="340" xfId="53" applyNumberFormat="1" applyFont="1" applyFill="1" applyBorder="1" applyAlignment="1" applyProtection="1">
      <alignment horizontal="center" vertical="center" wrapText="1"/>
    </xf>
    <xf numFmtId="49" fontId="83" fillId="33" borderId="347" xfId="53" applyNumberFormat="1" applyFont="1" applyFill="1" applyBorder="1" applyAlignment="1" applyProtection="1">
      <alignment horizontal="center" vertical="center"/>
      <protection locked="0"/>
    </xf>
    <xf numFmtId="0" fontId="31" fillId="45" borderId="382" xfId="0" applyFont="1" applyFill="1" applyBorder="1" applyAlignment="1" applyProtection="1">
      <alignment horizontal="center" vertical="center" wrapText="1"/>
      <protection locked="0"/>
    </xf>
    <xf numFmtId="0" fontId="31" fillId="25" borderId="328" xfId="0" applyFont="1" applyFill="1" applyBorder="1" applyAlignment="1" applyProtection="1">
      <alignment horizontal="center" vertical="center" wrapText="1"/>
    </xf>
    <xf numFmtId="0" fontId="31" fillId="25" borderId="201" xfId="0" applyFont="1" applyFill="1" applyBorder="1" applyAlignment="1" applyProtection="1">
      <alignment horizontal="center" vertical="center" wrapText="1"/>
    </xf>
    <xf numFmtId="0" fontId="31" fillId="25" borderId="296" xfId="0" applyFont="1" applyFill="1" applyBorder="1" applyAlignment="1" applyProtection="1">
      <alignment horizontal="center" vertical="center" wrapText="1"/>
    </xf>
    <xf numFmtId="0" fontId="38" fillId="25" borderId="301" xfId="0" applyFont="1" applyFill="1" applyBorder="1" applyAlignment="1" applyProtection="1">
      <alignment horizontal="center" vertical="center" wrapText="1"/>
    </xf>
    <xf numFmtId="0" fontId="38" fillId="25" borderId="291" xfId="0" applyFont="1" applyFill="1" applyBorder="1" applyAlignment="1" applyProtection="1">
      <alignment horizontal="center" vertical="center" wrapText="1"/>
    </xf>
    <xf numFmtId="0" fontId="38" fillId="25" borderId="40" xfId="0" applyFont="1" applyFill="1" applyBorder="1" applyAlignment="1" applyProtection="1">
      <alignment horizontal="center" vertical="center" wrapText="1"/>
    </xf>
    <xf numFmtId="0" fontId="38" fillId="25" borderId="22" xfId="0" applyFont="1" applyFill="1" applyBorder="1" applyAlignment="1" applyProtection="1">
      <alignment horizontal="center" vertical="center" wrapText="1"/>
    </xf>
    <xf numFmtId="0" fontId="38" fillId="25" borderId="315" xfId="0" applyFont="1" applyFill="1" applyBorder="1" applyAlignment="1" applyProtection="1">
      <alignment horizontal="center" vertical="center" wrapText="1"/>
    </xf>
    <xf numFmtId="0" fontId="38" fillId="25" borderId="299" xfId="0" applyFont="1" applyFill="1" applyBorder="1" applyAlignment="1" applyProtection="1">
      <alignment horizontal="center" vertical="center" wrapText="1"/>
    </xf>
    <xf numFmtId="0" fontId="71" fillId="27" borderId="350" xfId="0" applyFont="1" applyFill="1" applyBorder="1" applyAlignment="1" applyProtection="1">
      <alignment horizontal="center" vertical="center" wrapText="1"/>
    </xf>
    <xf numFmtId="0" fontId="71" fillId="27" borderId="201" xfId="0" applyFont="1" applyFill="1" applyBorder="1" applyAlignment="1" applyProtection="1">
      <alignment horizontal="center" vertical="center" wrapText="1"/>
    </xf>
    <xf numFmtId="0" fontId="31" fillId="29" borderId="328" xfId="0" applyFont="1" applyFill="1" applyBorder="1" applyAlignment="1" applyProtection="1">
      <alignment horizontal="center" vertical="center" wrapText="1"/>
    </xf>
    <xf numFmtId="0" fontId="31" fillId="29" borderId="296" xfId="0" applyFont="1" applyFill="1" applyBorder="1" applyAlignment="1" applyProtection="1">
      <alignment horizontal="center" vertical="center" wrapText="1"/>
    </xf>
    <xf numFmtId="0" fontId="31" fillId="25" borderId="347" xfId="0" applyFont="1" applyFill="1" applyBorder="1" applyAlignment="1" applyProtection="1">
      <alignment horizontal="center" vertical="center" wrapText="1"/>
    </xf>
    <xf numFmtId="0" fontId="71" fillId="27" borderId="296" xfId="0" applyFont="1" applyFill="1" applyBorder="1" applyAlignment="1" applyProtection="1">
      <alignment horizontal="center" vertical="center" wrapText="1"/>
    </xf>
    <xf numFmtId="0" fontId="71" fillId="27" borderId="328" xfId="0" applyFont="1" applyFill="1" applyBorder="1" applyAlignment="1" applyProtection="1">
      <alignment horizontal="center" vertical="center" wrapText="1"/>
    </xf>
    <xf numFmtId="0" fontId="71" fillId="27" borderId="347" xfId="0" applyFont="1" applyFill="1" applyBorder="1" applyAlignment="1" applyProtection="1">
      <alignment horizontal="center" vertical="center" wrapText="1"/>
    </xf>
    <xf numFmtId="0" fontId="31" fillId="29" borderId="347" xfId="0" applyFont="1" applyFill="1" applyBorder="1" applyAlignment="1" applyProtection="1">
      <alignment horizontal="center" vertical="center" wrapText="1"/>
    </xf>
    <xf numFmtId="0" fontId="31" fillId="31" borderId="297" xfId="0" applyFont="1" applyFill="1" applyBorder="1" applyAlignment="1" applyProtection="1">
      <alignment horizontal="center" vertical="center" wrapText="1"/>
    </xf>
    <xf numFmtId="0" fontId="31" fillId="31" borderId="350" xfId="0" applyFont="1" applyFill="1" applyBorder="1" applyAlignment="1" applyProtection="1">
      <alignment horizontal="center" vertical="center" wrapText="1"/>
    </xf>
    <xf numFmtId="0" fontId="31" fillId="39" borderId="350" xfId="0" applyFont="1" applyFill="1" applyBorder="1" applyAlignment="1" applyProtection="1">
      <alignment horizontal="center" vertical="center" wrapText="1"/>
    </xf>
    <xf numFmtId="0" fontId="31" fillId="39" borderId="296" xfId="0" applyFont="1" applyFill="1" applyBorder="1" applyAlignment="1" applyProtection="1">
      <alignment horizontal="center" vertical="center" wrapText="1"/>
    </xf>
    <xf numFmtId="0" fontId="26" fillId="40" borderId="296" xfId="0" applyFont="1" applyFill="1" applyBorder="1" applyAlignment="1" applyProtection="1">
      <alignment horizontal="center" vertical="center"/>
    </xf>
    <xf numFmtId="0" fontId="26" fillId="34" borderId="296" xfId="0" applyFont="1" applyFill="1" applyBorder="1" applyAlignment="1" applyProtection="1">
      <alignment horizontal="center" vertical="center"/>
    </xf>
    <xf numFmtId="0" fontId="31" fillId="53" borderId="296" xfId="0" applyFont="1" applyFill="1" applyBorder="1" applyAlignment="1" applyProtection="1">
      <alignment horizontal="center" vertical="center" wrapText="1"/>
    </xf>
    <xf numFmtId="0" fontId="31" fillId="29" borderId="201" xfId="0" applyFont="1" applyFill="1" applyBorder="1" applyAlignment="1" applyProtection="1">
      <alignment horizontal="center" vertical="center" wrapText="1"/>
    </xf>
    <xf numFmtId="0" fontId="31" fillId="25" borderId="295" xfId="0" applyFont="1" applyFill="1" applyBorder="1" applyAlignment="1" applyProtection="1">
      <alignment horizontal="center" vertical="center" wrapText="1"/>
    </xf>
    <xf numFmtId="9" fontId="28" fillId="27" borderId="296" xfId="48" applyFont="1" applyFill="1" applyBorder="1" applyAlignment="1" applyProtection="1">
      <alignment horizontal="center" vertical="center"/>
    </xf>
    <xf numFmtId="9" fontId="28" fillId="27" borderId="296" xfId="0" applyNumberFormat="1" applyFont="1" applyFill="1" applyBorder="1" applyAlignment="1" applyProtection="1">
      <alignment horizontal="center" vertical="center"/>
    </xf>
    <xf numFmtId="0" fontId="31" fillId="27" borderId="10" xfId="0" applyFont="1" applyFill="1" applyBorder="1" applyAlignment="1" applyProtection="1">
      <alignment horizontal="center" vertical="center" wrapText="1"/>
    </xf>
    <xf numFmtId="0" fontId="31" fillId="27" borderId="11" xfId="0" applyFont="1" applyFill="1" applyBorder="1" applyAlignment="1" applyProtection="1">
      <alignment horizontal="center" vertical="center" wrapText="1"/>
    </xf>
    <xf numFmtId="0" fontId="31" fillId="27" borderId="13" xfId="0" applyFont="1" applyFill="1" applyBorder="1" applyAlignment="1" applyProtection="1">
      <alignment horizontal="center" vertical="center" wrapText="1"/>
    </xf>
    <xf numFmtId="0" fontId="31" fillId="39" borderId="356" xfId="0" applyFont="1" applyFill="1" applyBorder="1" applyAlignment="1" applyProtection="1">
      <alignment horizontal="center" vertical="center" wrapText="1"/>
    </xf>
    <xf numFmtId="0" fontId="31" fillId="39" borderId="297" xfId="0" applyFont="1" applyFill="1" applyBorder="1" applyAlignment="1" applyProtection="1">
      <alignment horizontal="center" vertical="center" wrapText="1"/>
    </xf>
    <xf numFmtId="0" fontId="38" fillId="25" borderId="268" xfId="0" applyFont="1" applyFill="1" applyBorder="1" applyAlignment="1" applyProtection="1">
      <alignment horizontal="center" vertical="center" wrapText="1"/>
    </xf>
    <xf numFmtId="0" fontId="38" fillId="25" borderId="269" xfId="0" applyFont="1" applyFill="1" applyBorder="1" applyAlignment="1" applyProtection="1">
      <alignment horizontal="center" vertical="center" wrapText="1"/>
    </xf>
    <xf numFmtId="0" fontId="38" fillId="25" borderId="197" xfId="0" applyFont="1" applyFill="1" applyBorder="1" applyAlignment="1" applyProtection="1">
      <alignment horizontal="center" vertical="center" wrapText="1"/>
    </xf>
    <xf numFmtId="0" fontId="38" fillId="25" borderId="29" xfId="0" applyFont="1" applyFill="1" applyBorder="1" applyAlignment="1" applyProtection="1">
      <alignment horizontal="center" vertical="center" wrapText="1"/>
    </xf>
    <xf numFmtId="0" fontId="71" fillId="25" borderId="202" xfId="0" applyFont="1" applyFill="1" applyBorder="1" applyAlignment="1" applyProtection="1">
      <alignment horizontal="center" vertical="center" wrapText="1"/>
    </xf>
    <xf numFmtId="0" fontId="71" fillId="25" borderId="198" xfId="0" applyFont="1" applyFill="1" applyBorder="1" applyAlignment="1" applyProtection="1">
      <alignment horizontal="center" vertical="center" wrapText="1"/>
    </xf>
    <xf numFmtId="0" fontId="31" fillId="25" borderId="202" xfId="0" applyFont="1" applyFill="1" applyBorder="1" applyAlignment="1" applyProtection="1">
      <alignment horizontal="center" vertical="center" wrapText="1"/>
    </xf>
    <xf numFmtId="0" fontId="31" fillId="25" borderId="198" xfId="0" applyFont="1" applyFill="1" applyBorder="1" applyAlignment="1" applyProtection="1">
      <alignment horizontal="center" vertical="center" wrapText="1"/>
    </xf>
    <xf numFmtId="0" fontId="60" fillId="41" borderId="203" xfId="0" applyFont="1" applyFill="1" applyBorder="1" applyAlignment="1" applyProtection="1">
      <alignment horizontal="center" vertical="center" wrapText="1"/>
    </xf>
    <xf numFmtId="0" fontId="60" fillId="41" borderId="357" xfId="0" applyFont="1" applyFill="1" applyBorder="1" applyAlignment="1" applyProtection="1">
      <alignment horizontal="center" vertical="center" wrapText="1"/>
    </xf>
    <xf numFmtId="0" fontId="60" fillId="41" borderId="204" xfId="0" applyFont="1" applyFill="1" applyBorder="1" applyAlignment="1" applyProtection="1">
      <alignment horizontal="center" vertical="center" wrapText="1"/>
    </xf>
    <xf numFmtId="0" fontId="31" fillId="39" borderId="10" xfId="0" applyFont="1" applyFill="1" applyBorder="1" applyAlignment="1" applyProtection="1">
      <alignment horizontal="center" vertical="center" wrapText="1"/>
    </xf>
    <xf numFmtId="0" fontId="31" fillId="39" borderId="13" xfId="0" applyFont="1" applyFill="1" applyBorder="1" applyAlignment="1" applyProtection="1">
      <alignment horizontal="center" vertical="center" wrapText="1"/>
    </xf>
    <xf numFmtId="0" fontId="74" fillId="31" borderId="203" xfId="0" applyFont="1" applyFill="1" applyBorder="1" applyAlignment="1" applyProtection="1">
      <alignment horizontal="center" vertical="center" wrapText="1"/>
    </xf>
    <xf numFmtId="0" fontId="74" fillId="31" borderId="204" xfId="0" applyFont="1" applyFill="1" applyBorder="1" applyAlignment="1" applyProtection="1">
      <alignment horizontal="center" vertical="center" wrapText="1"/>
    </xf>
    <xf numFmtId="0" fontId="71" fillId="39" borderId="10" xfId="0" applyFont="1" applyFill="1" applyBorder="1" applyAlignment="1" applyProtection="1">
      <alignment horizontal="center" vertical="center" wrapText="1"/>
    </xf>
    <xf numFmtId="0" fontId="71" fillId="39" borderId="13" xfId="0" applyFont="1" applyFill="1" applyBorder="1" applyAlignment="1" applyProtection="1">
      <alignment horizontal="center" vertical="center" wrapText="1"/>
    </xf>
    <xf numFmtId="0" fontId="60" fillId="27" borderId="18" xfId="0" applyFont="1" applyFill="1" applyBorder="1" applyAlignment="1" applyProtection="1">
      <alignment horizontal="center" vertical="center" wrapText="1"/>
    </xf>
    <xf numFmtId="0" fontId="60" fillId="27" borderId="21" xfId="0" applyFont="1" applyFill="1" applyBorder="1" applyAlignment="1" applyProtection="1">
      <alignment horizontal="center" vertical="center" wrapText="1"/>
    </xf>
    <xf numFmtId="0" fontId="71" fillId="51" borderId="347" xfId="47846" applyFont="1" applyFill="1" applyBorder="1" applyAlignment="1">
      <alignment horizontal="center" vertical="center" wrapText="1"/>
    </xf>
    <xf numFmtId="0" fontId="26" fillId="24" borderId="351" xfId="64" applyFont="1" applyFill="1" applyBorder="1" applyAlignment="1" applyProtection="1">
      <alignment horizontal="right" vertical="center" wrapText="1" indent="2"/>
    </xf>
    <xf numFmtId="0" fontId="26" fillId="24" borderId="273" xfId="64" applyFont="1" applyFill="1" applyBorder="1" applyAlignment="1" applyProtection="1">
      <alignment horizontal="right" vertical="center" wrapText="1" indent="2"/>
    </xf>
    <xf numFmtId="0" fontId="26" fillId="24" borderId="352" xfId="64" applyFont="1" applyFill="1" applyBorder="1" applyAlignment="1" applyProtection="1">
      <alignment horizontal="right" vertical="center" wrapText="1" indent="2"/>
    </xf>
    <xf numFmtId="0" fontId="26" fillId="24" borderId="351" xfId="64" applyFont="1" applyFill="1" applyBorder="1" applyAlignment="1" applyProtection="1">
      <alignment horizontal="right" vertical="center" indent="2"/>
    </xf>
    <xf numFmtId="0" fontId="26" fillId="24" borderId="273" xfId="64" applyFont="1" applyFill="1" applyBorder="1" applyAlignment="1" applyProtection="1">
      <alignment horizontal="right" vertical="center" indent="2"/>
    </xf>
    <xf numFmtId="0" fontId="26" fillId="24" borderId="352" xfId="64" applyFont="1" applyFill="1" applyBorder="1" applyAlignment="1" applyProtection="1">
      <alignment horizontal="right" vertical="center" indent="2"/>
    </xf>
    <xf numFmtId="0" fontId="75" fillId="39" borderId="347" xfId="47846" applyFont="1" applyFill="1" applyBorder="1" applyAlignment="1">
      <alignment horizontal="center" vertical="center" wrapText="1"/>
    </xf>
    <xf numFmtId="0" fontId="75" fillId="39" borderId="347" xfId="47846" applyFont="1" applyFill="1" applyBorder="1" applyAlignment="1">
      <alignment horizontal="center" vertical="center"/>
    </xf>
    <xf numFmtId="0" fontId="71" fillId="33" borderId="382" xfId="47846" applyFont="1" applyFill="1" applyBorder="1" applyAlignment="1">
      <alignment horizontal="center" vertical="center" wrapText="1"/>
    </xf>
    <xf numFmtId="6" fontId="71" fillId="40" borderId="382" xfId="47846" applyNumberFormat="1" applyFont="1" applyFill="1" applyBorder="1" applyAlignment="1">
      <alignment horizontal="center" vertical="center" wrapText="1"/>
    </xf>
    <xf numFmtId="0" fontId="31" fillId="35" borderId="295" xfId="64" applyFont="1" applyFill="1" applyBorder="1" applyAlignment="1" applyProtection="1">
      <alignment horizontal="center" vertical="center" wrapText="1"/>
    </xf>
    <xf numFmtId="0" fontId="31" fillId="35" borderId="300" xfId="64" applyFont="1" applyFill="1" applyBorder="1" applyAlignment="1" applyProtection="1">
      <alignment horizontal="center" vertical="center" wrapText="1"/>
    </xf>
    <xf numFmtId="0" fontId="38" fillId="25" borderId="296" xfId="64" applyFont="1" applyFill="1" applyBorder="1" applyAlignment="1" applyProtection="1">
      <alignment horizontal="center" vertical="center" wrapText="1"/>
    </xf>
    <xf numFmtId="0" fontId="31" fillId="40" borderId="296" xfId="64" quotePrefix="1" applyFont="1" applyFill="1" applyBorder="1" applyAlignment="1" applyProtection="1">
      <alignment horizontal="center" vertical="center" wrapText="1"/>
    </xf>
    <xf numFmtId="0" fontId="31" fillId="45" borderId="296" xfId="64" quotePrefix="1" applyFont="1" applyFill="1" applyBorder="1" applyAlignment="1" applyProtection="1">
      <alignment horizontal="center" vertical="center" wrapText="1"/>
    </xf>
    <xf numFmtId="0" fontId="31" fillId="42" borderId="296" xfId="64" applyFont="1" applyFill="1" applyBorder="1" applyAlignment="1" applyProtection="1">
      <alignment horizontal="center" vertical="center" wrapText="1"/>
    </xf>
    <xf numFmtId="0" fontId="60" fillId="51" borderId="296" xfId="64" applyFont="1" applyFill="1" applyBorder="1" applyAlignment="1" applyProtection="1">
      <alignment horizontal="center" vertical="center" wrapText="1"/>
    </xf>
    <xf numFmtId="0" fontId="60" fillId="47" borderId="296" xfId="252" quotePrefix="1" applyFont="1" applyFill="1" applyBorder="1" applyAlignment="1" applyProtection="1">
      <alignment horizontal="center" vertical="center" wrapText="1"/>
    </xf>
    <xf numFmtId="0" fontId="74" fillId="33" borderId="296" xfId="64" applyFont="1" applyFill="1" applyBorder="1" applyAlignment="1" applyProtection="1">
      <alignment horizontal="center" vertical="center" wrapText="1"/>
    </xf>
    <xf numFmtId="0" fontId="31" fillId="35" borderId="296" xfId="64" applyFont="1" applyFill="1" applyBorder="1" applyAlignment="1" applyProtection="1">
      <alignment horizontal="center" vertical="center" wrapText="1"/>
    </xf>
    <xf numFmtId="0" fontId="60" fillId="31" borderId="296" xfId="64" applyFont="1" applyFill="1" applyBorder="1" applyAlignment="1" applyProtection="1">
      <alignment horizontal="center" vertical="center" wrapText="1"/>
    </xf>
    <xf numFmtId="0" fontId="31" fillId="34" borderId="296" xfId="252" quotePrefix="1" applyFont="1" applyFill="1" applyBorder="1" applyAlignment="1" applyProtection="1">
      <alignment horizontal="center" vertical="center" wrapText="1"/>
    </xf>
    <xf numFmtId="0" fontId="31" fillId="38" borderId="296" xfId="64" applyFont="1" applyFill="1" applyBorder="1" applyAlignment="1" applyProtection="1">
      <alignment horizontal="center" vertical="center" wrapText="1"/>
    </xf>
    <xf numFmtId="0" fontId="76" fillId="25" borderId="263" xfId="0" applyFont="1" applyFill="1" applyBorder="1" applyAlignment="1" applyProtection="1">
      <alignment horizontal="center" vertical="center" wrapText="1"/>
    </xf>
    <xf numFmtId="0" fontId="31" fillId="40" borderId="217" xfId="0" applyFont="1" applyFill="1" applyBorder="1" applyAlignment="1" applyProtection="1">
      <alignment horizontal="center" vertical="center" wrapText="1"/>
    </xf>
    <xf numFmtId="0" fontId="31" fillId="40" borderId="294" xfId="0" applyFont="1" applyFill="1" applyBorder="1" applyAlignment="1" applyProtection="1">
      <alignment horizontal="center" vertical="center" wrapText="1"/>
    </xf>
    <xf numFmtId="0" fontId="31" fillId="40" borderId="218" xfId="0" applyFont="1" applyFill="1" applyBorder="1" applyAlignment="1" applyProtection="1">
      <alignment horizontal="center" vertical="center" wrapText="1"/>
    </xf>
    <xf numFmtId="0" fontId="31" fillId="34" borderId="217" xfId="0" applyFont="1" applyFill="1" applyBorder="1" applyAlignment="1" applyProtection="1">
      <alignment horizontal="center" vertical="center" wrapText="1"/>
    </xf>
    <xf numFmtId="0" fontId="31" fillId="34" borderId="219" xfId="0" applyFont="1" applyFill="1" applyBorder="1" applyAlignment="1" applyProtection="1">
      <alignment horizontal="center" vertical="center" wrapText="1"/>
    </xf>
    <xf numFmtId="0" fontId="31" fillId="34" borderId="218" xfId="0" applyFont="1" applyFill="1" applyBorder="1" applyAlignment="1" applyProtection="1">
      <alignment horizontal="center" vertical="center" wrapText="1"/>
    </xf>
    <xf numFmtId="49" fontId="38" fillId="31" borderId="221" xfId="53" applyNumberFormat="1" applyFont="1" applyFill="1" applyBorder="1" applyAlignment="1" applyProtection="1">
      <alignment horizontal="center" vertical="center" wrapText="1"/>
    </xf>
    <xf numFmtId="49" fontId="38" fillId="31" borderId="353" xfId="53" applyNumberFormat="1" applyFont="1" applyFill="1" applyBorder="1" applyAlignment="1" applyProtection="1">
      <alignment horizontal="center" vertical="center" wrapText="1"/>
    </xf>
    <xf numFmtId="49" fontId="38" fillId="31" borderId="222" xfId="53" applyNumberFormat="1" applyFont="1" applyFill="1" applyBorder="1" applyAlignment="1" applyProtection="1">
      <alignment horizontal="center" vertical="center" wrapText="1"/>
    </xf>
    <xf numFmtId="49" fontId="38" fillId="31" borderId="220" xfId="53" applyNumberFormat="1" applyFont="1" applyFill="1" applyBorder="1" applyAlignment="1" applyProtection="1">
      <alignment horizontal="center" vertical="center" wrapText="1"/>
    </xf>
    <xf numFmtId="49" fontId="38" fillId="31" borderId="290" xfId="53" applyNumberFormat="1" applyFont="1" applyFill="1" applyBorder="1" applyAlignment="1" applyProtection="1">
      <alignment horizontal="center" vertical="center" wrapText="1"/>
    </xf>
    <xf numFmtId="49" fontId="31" fillId="31" borderId="265" xfId="53" applyNumberFormat="1" applyFont="1" applyFill="1" applyBorder="1" applyAlignment="1" applyProtection="1">
      <alignment horizontal="center" vertical="center" wrapText="1"/>
    </xf>
    <xf numFmtId="49" fontId="31" fillId="31" borderId="267" xfId="53" applyNumberFormat="1" applyFont="1" applyFill="1" applyBorder="1" applyAlignment="1" applyProtection="1">
      <alignment horizontal="center" vertical="center"/>
    </xf>
    <xf numFmtId="49" fontId="31" fillId="31" borderId="266" xfId="53" applyNumberFormat="1" applyFont="1" applyFill="1" applyBorder="1" applyAlignment="1" applyProtection="1">
      <alignment horizontal="center" vertical="center"/>
    </xf>
    <xf numFmtId="49" fontId="38" fillId="37" borderId="265" xfId="53" applyNumberFormat="1" applyFont="1" applyFill="1" applyBorder="1" applyAlignment="1" applyProtection="1">
      <alignment horizontal="center" vertical="center"/>
    </xf>
    <xf numFmtId="49" fontId="38" fillId="37" borderId="267" xfId="53" applyNumberFormat="1" applyFont="1" applyFill="1" applyBorder="1" applyAlignment="1" applyProtection="1">
      <alignment horizontal="center" vertical="center"/>
    </xf>
    <xf numFmtId="49" fontId="38" fillId="37" borderId="266" xfId="53" applyNumberFormat="1" applyFont="1" applyFill="1" applyBorder="1" applyAlignment="1" applyProtection="1">
      <alignment horizontal="center" vertical="center"/>
    </xf>
    <xf numFmtId="49" fontId="38" fillId="37" borderId="357" xfId="53" applyNumberFormat="1" applyFont="1" applyFill="1" applyBorder="1" applyAlignment="1" applyProtection="1">
      <alignment horizontal="center" vertical="center"/>
    </xf>
    <xf numFmtId="0" fontId="26" fillId="0" borderId="25" xfId="53" applyFont="1" applyFill="1" applyBorder="1" applyAlignment="1" applyProtection="1">
      <alignment horizontal="left" vertical="center"/>
    </xf>
    <xf numFmtId="0" fontId="26" fillId="0" borderId="277" xfId="53" applyFont="1" applyFill="1" applyBorder="1" applyAlignment="1" applyProtection="1">
      <alignment horizontal="left" vertical="center"/>
    </xf>
    <xf numFmtId="49" fontId="31" fillId="46" borderId="264" xfId="53" applyNumberFormat="1" applyFont="1" applyFill="1" applyBorder="1" applyAlignment="1" applyProtection="1">
      <alignment horizontal="center" vertical="center" wrapText="1"/>
    </xf>
    <xf numFmtId="49" fontId="31" fillId="46" borderId="198" xfId="53" applyNumberFormat="1" applyFont="1" applyFill="1" applyBorder="1" applyAlignment="1" applyProtection="1">
      <alignment horizontal="center" vertical="center" wrapText="1"/>
    </xf>
    <xf numFmtId="49" fontId="31" fillId="35" borderId="263" xfId="53" applyNumberFormat="1" applyFont="1" applyFill="1" applyBorder="1" applyAlignment="1" applyProtection="1">
      <alignment horizontal="center" vertical="center" wrapText="1"/>
    </xf>
    <xf numFmtId="49" fontId="31" fillId="35" borderId="264" xfId="53" applyNumberFormat="1" applyFont="1" applyFill="1" applyBorder="1" applyAlignment="1" applyProtection="1">
      <alignment horizontal="center" vertical="center" wrapText="1"/>
    </xf>
    <xf numFmtId="49" fontId="31" fillId="35" borderId="198" xfId="53" applyNumberFormat="1" applyFont="1" applyFill="1" applyBorder="1" applyAlignment="1" applyProtection="1">
      <alignment horizontal="center" vertical="center" wrapText="1"/>
    </xf>
    <xf numFmtId="49" fontId="31" fillId="34" borderId="296" xfId="53" applyNumberFormat="1" applyFont="1" applyFill="1" applyBorder="1" applyAlignment="1" applyProtection="1">
      <alignment horizontal="center" vertical="center" wrapText="1"/>
    </xf>
    <xf numFmtId="49" fontId="31" fillId="31" borderId="267" xfId="53" applyNumberFormat="1" applyFont="1" applyFill="1" applyBorder="1" applyAlignment="1" applyProtection="1">
      <alignment horizontal="center" vertical="center" wrapText="1"/>
    </xf>
    <xf numFmtId="49" fontId="31" fillId="31" borderId="266" xfId="53" applyNumberFormat="1" applyFont="1" applyFill="1" applyBorder="1" applyAlignment="1" applyProtection="1">
      <alignment horizontal="center" vertical="center" wrapText="1"/>
    </xf>
    <xf numFmtId="0" fontId="76" fillId="39" borderId="268" xfId="0" applyFont="1" applyFill="1" applyBorder="1" applyAlignment="1" applyProtection="1">
      <alignment horizontal="center" vertical="center" wrapText="1"/>
    </xf>
    <xf numFmtId="0" fontId="60" fillId="39" borderId="269" xfId="0" applyFont="1" applyFill="1" applyBorder="1" applyAlignment="1" applyProtection="1">
      <alignment horizontal="center" vertical="center" wrapText="1"/>
    </xf>
    <xf numFmtId="0" fontId="60" fillId="39" borderId="40" xfId="0" applyFont="1" applyFill="1" applyBorder="1" applyAlignment="1" applyProtection="1">
      <alignment horizontal="center" vertical="center" wrapText="1"/>
    </xf>
    <xf numFmtId="0" fontId="60" fillId="39" borderId="22" xfId="0" applyFont="1" applyFill="1" applyBorder="1" applyAlignment="1" applyProtection="1">
      <alignment horizontal="center" vertical="center" wrapText="1"/>
    </xf>
    <xf numFmtId="0" fontId="60" fillId="39" borderId="197" xfId="0" applyFont="1" applyFill="1" applyBorder="1" applyAlignment="1" applyProtection="1">
      <alignment horizontal="center" vertical="center" wrapText="1"/>
    </xf>
    <xf numFmtId="0" fontId="60" fillId="39" borderId="29" xfId="0" applyFont="1" applyFill="1" applyBorder="1" applyAlignment="1" applyProtection="1">
      <alignment horizontal="center" vertical="center" wrapText="1"/>
    </xf>
    <xf numFmtId="49" fontId="31" fillId="35" borderId="265" xfId="53" applyNumberFormat="1" applyFont="1" applyFill="1" applyBorder="1" applyAlignment="1" applyProtection="1">
      <alignment horizontal="center" vertical="center" wrapText="1"/>
    </xf>
    <xf numFmtId="0" fontId="23" fillId="0" borderId="237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6" fillId="0" borderId="388" xfId="0" applyFont="1" applyFill="1" applyBorder="1" applyAlignment="1" applyProtection="1">
      <alignment horizontal="left" vertical="center"/>
    </xf>
    <xf numFmtId="0" fontId="26" fillId="0" borderId="332" xfId="0" applyFont="1" applyFill="1" applyBorder="1" applyAlignment="1" applyProtection="1">
      <alignment horizontal="left" vertical="center"/>
    </xf>
    <xf numFmtId="0" fontId="60" fillId="39" borderId="268" xfId="0" applyFont="1" applyFill="1" applyBorder="1" applyAlignment="1" applyProtection="1">
      <alignment horizontal="center" vertical="center" wrapText="1"/>
    </xf>
    <xf numFmtId="49" fontId="38" fillId="37" borderId="265" xfId="53" applyNumberFormat="1" applyFont="1" applyFill="1" applyBorder="1" applyAlignment="1" applyProtection="1">
      <alignment horizontal="center" vertical="center" wrapText="1"/>
    </xf>
    <xf numFmtId="49" fontId="38" fillId="37" borderId="267" xfId="53" applyNumberFormat="1" applyFont="1" applyFill="1" applyBorder="1" applyAlignment="1" applyProtection="1">
      <alignment horizontal="center" vertical="center" wrapText="1"/>
    </xf>
    <xf numFmtId="49" fontId="38" fillId="37" borderId="266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2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1" xfId="0" applyFont="1" applyBorder="1" applyAlignment="1" applyProtection="1">
      <alignment horizontal="left" vertical="center"/>
    </xf>
    <xf numFmtId="0" fontId="23" fillId="0" borderId="369" xfId="53" applyFont="1" applyFill="1" applyBorder="1" applyAlignment="1" applyProtection="1">
      <alignment horizontal="left" vertical="center"/>
    </xf>
    <xf numFmtId="0" fontId="23" fillId="0" borderId="371" xfId="53" applyFont="1" applyFill="1" applyBorder="1" applyAlignment="1" applyProtection="1">
      <alignment horizontal="left" vertical="center"/>
    </xf>
    <xf numFmtId="49" fontId="31" fillId="35" borderId="0" xfId="53" applyNumberFormat="1" applyFont="1" applyFill="1" applyBorder="1" applyAlignment="1" applyProtection="1">
      <alignment horizontal="center" vertical="center" wrapText="1"/>
    </xf>
    <xf numFmtId="0" fontId="23" fillId="0" borderId="380" xfId="53" applyFont="1" applyFill="1" applyBorder="1" applyAlignment="1" applyProtection="1">
      <alignment horizontal="right" vertical="center"/>
    </xf>
    <xf numFmtId="0" fontId="23" fillId="0" borderId="381" xfId="53" applyFont="1" applyFill="1" applyBorder="1" applyAlignment="1" applyProtection="1">
      <alignment horizontal="right" vertical="center"/>
    </xf>
    <xf numFmtId="0" fontId="23" fillId="0" borderId="337" xfId="53" applyFont="1" applyFill="1" applyBorder="1" applyAlignment="1" applyProtection="1">
      <alignment horizontal="right" vertical="center"/>
    </xf>
    <xf numFmtId="0" fontId="23" fillId="0" borderId="299" xfId="53" applyFont="1" applyFill="1" applyBorder="1" applyAlignment="1" applyProtection="1">
      <alignment horizontal="right" vertical="center"/>
    </xf>
    <xf numFmtId="0" fontId="60" fillId="34" borderId="268" xfId="0" applyFont="1" applyFill="1" applyBorder="1" applyAlignment="1" applyProtection="1">
      <alignment horizontal="center" vertical="center" wrapText="1"/>
    </xf>
    <xf numFmtId="0" fontId="60" fillId="34" borderId="269" xfId="0" applyFont="1" applyFill="1" applyBorder="1" applyAlignment="1" applyProtection="1">
      <alignment horizontal="center" vertical="center" wrapText="1"/>
    </xf>
    <xf numFmtId="0" fontId="60" fillId="34" borderId="40" xfId="0" applyFont="1" applyFill="1" applyBorder="1" applyAlignment="1" applyProtection="1">
      <alignment horizontal="center" vertical="center" wrapText="1"/>
    </xf>
    <xf numFmtId="0" fontId="60" fillId="34" borderId="22" xfId="0" applyFont="1" applyFill="1" applyBorder="1" applyAlignment="1" applyProtection="1">
      <alignment horizontal="center" vertical="center" wrapText="1"/>
    </xf>
    <xf numFmtId="0" fontId="60" fillId="34" borderId="197" xfId="0" applyFont="1" applyFill="1" applyBorder="1" applyAlignment="1" applyProtection="1">
      <alignment horizontal="center" vertical="center" wrapText="1"/>
    </xf>
    <xf numFmtId="0" fontId="60" fillId="34" borderId="29" xfId="0" applyFont="1" applyFill="1" applyBorder="1" applyAlignment="1" applyProtection="1">
      <alignment horizontal="center" vertical="center" wrapText="1"/>
    </xf>
    <xf numFmtId="49" fontId="31" fillId="45" borderId="216" xfId="0" applyNumberFormat="1" applyFont="1" applyFill="1" applyBorder="1" applyAlignment="1" applyProtection="1">
      <alignment horizontal="center" vertical="center" wrapText="1"/>
    </xf>
    <xf numFmtId="49" fontId="31" fillId="35" borderId="216" xfId="0" applyNumberFormat="1" applyFont="1" applyFill="1" applyBorder="1" applyAlignment="1" applyProtection="1">
      <alignment horizontal="center" vertical="center" wrapText="1"/>
    </xf>
    <xf numFmtId="0" fontId="23" fillId="0" borderId="369" xfId="0" applyFont="1" applyBorder="1" applyAlignment="1" applyProtection="1">
      <alignment horizontal="left" vertical="center"/>
    </xf>
    <xf numFmtId="0" fontId="23" fillId="0" borderId="321" xfId="0" applyFont="1" applyBorder="1" applyAlignment="1" applyProtection="1">
      <alignment horizontal="left" vertical="center"/>
    </xf>
    <xf numFmtId="49" fontId="38" fillId="33" borderId="263" xfId="0" applyNumberFormat="1" applyFont="1" applyFill="1" applyBorder="1" applyAlignment="1" applyProtection="1">
      <alignment horizontal="center" vertical="center" wrapText="1"/>
    </xf>
    <xf numFmtId="49" fontId="38" fillId="27" borderId="263" xfId="0" applyNumberFormat="1" applyFont="1" applyFill="1" applyBorder="1" applyAlignment="1" applyProtection="1">
      <alignment horizontal="center" vertical="center" wrapText="1"/>
    </xf>
    <xf numFmtId="0" fontId="75" fillId="31" borderId="220" xfId="0" applyFont="1" applyFill="1" applyBorder="1" applyAlignment="1" applyProtection="1">
      <alignment horizontal="center" vertical="center"/>
    </xf>
    <xf numFmtId="0" fontId="75" fillId="31" borderId="221" xfId="0" applyFont="1" applyFill="1" applyBorder="1" applyAlignment="1" applyProtection="1">
      <alignment horizontal="center" vertical="center"/>
    </xf>
    <xf numFmtId="0" fontId="75" fillId="31" borderId="222" xfId="0" applyFont="1" applyFill="1" applyBorder="1" applyAlignment="1" applyProtection="1">
      <alignment horizontal="center" vertical="center"/>
    </xf>
    <xf numFmtId="0" fontId="26" fillId="0" borderId="273" xfId="53" applyFont="1" applyFill="1" applyBorder="1" applyAlignment="1" applyProtection="1">
      <alignment horizontal="left" vertical="center"/>
    </xf>
    <xf numFmtId="0" fontId="26" fillId="0" borderId="389" xfId="0" applyFont="1" applyFill="1" applyBorder="1" applyAlignment="1" applyProtection="1">
      <alignment horizontal="left" vertical="center"/>
    </xf>
    <xf numFmtId="0" fontId="60" fillId="25" borderId="216" xfId="0" applyFont="1" applyFill="1" applyBorder="1" applyAlignment="1" applyProtection="1">
      <alignment horizontal="center" vertical="center" wrapText="1"/>
    </xf>
    <xf numFmtId="49" fontId="60" fillId="34" borderId="217" xfId="53" applyNumberFormat="1" applyFont="1" applyFill="1" applyBorder="1" applyAlignment="1" applyProtection="1">
      <alignment horizontal="center" vertical="center" wrapText="1"/>
    </xf>
    <xf numFmtId="49" fontId="60" fillId="34" borderId="219" xfId="53" applyNumberFormat="1" applyFont="1" applyFill="1" applyBorder="1" applyAlignment="1" applyProtection="1">
      <alignment horizontal="center" vertical="center" wrapText="1"/>
    </xf>
    <xf numFmtId="49" fontId="60" fillId="34" borderId="218" xfId="53" applyNumberFormat="1" applyFont="1" applyFill="1" applyBorder="1" applyAlignment="1" applyProtection="1">
      <alignment horizontal="center" vertical="center" wrapText="1"/>
    </xf>
    <xf numFmtId="49" fontId="60" fillId="34" borderId="263" xfId="53" applyNumberFormat="1" applyFont="1" applyFill="1" applyBorder="1" applyAlignment="1" applyProtection="1">
      <alignment horizontal="center" vertical="center" wrapText="1"/>
    </xf>
    <xf numFmtId="0" fontId="23" fillId="0" borderId="320" xfId="0" applyFont="1" applyBorder="1" applyAlignment="1" applyProtection="1">
      <alignment horizontal="left" vertical="center"/>
    </xf>
    <xf numFmtId="49" fontId="38" fillId="33" borderId="301" xfId="53" applyNumberFormat="1" applyFont="1" applyFill="1" applyBorder="1" applyAlignment="1" applyProtection="1">
      <alignment horizontal="center" vertical="center" wrapText="1"/>
    </xf>
    <xf numFmtId="49" fontId="38" fillId="33" borderId="290" xfId="53" applyNumberFormat="1" applyFont="1" applyFill="1" applyBorder="1" applyAlignment="1" applyProtection="1">
      <alignment horizontal="center" vertical="center" wrapText="1"/>
    </xf>
    <xf numFmtId="49" fontId="38" fillId="33" borderId="291" xfId="53" applyNumberFormat="1" applyFont="1" applyFill="1" applyBorder="1" applyAlignment="1" applyProtection="1">
      <alignment horizontal="center" vertical="center" wrapText="1"/>
    </xf>
    <xf numFmtId="0" fontId="31" fillId="25" borderId="263" xfId="0" applyFont="1" applyFill="1" applyBorder="1" applyAlignment="1" applyProtection="1">
      <alignment horizontal="center" vertical="center" wrapText="1"/>
    </xf>
    <xf numFmtId="0" fontId="31" fillId="34" borderId="296" xfId="252" applyFont="1" applyFill="1" applyBorder="1" applyAlignment="1" applyProtection="1">
      <alignment horizontal="center" vertical="center" wrapText="1"/>
    </xf>
    <xf numFmtId="0" fontId="31" fillId="40" borderId="296" xfId="0" applyFont="1" applyFill="1" applyBorder="1" applyAlignment="1" applyProtection="1">
      <alignment horizontal="center" vertical="center" wrapText="1"/>
    </xf>
    <xf numFmtId="49" fontId="38" fillId="31" borderId="301" xfId="53" applyNumberFormat="1" applyFont="1" applyFill="1" applyBorder="1" applyAlignment="1" applyProtection="1">
      <alignment horizontal="center" vertical="center" wrapText="1"/>
    </xf>
    <xf numFmtId="49" fontId="38" fillId="31" borderId="291" xfId="53" applyNumberFormat="1" applyFont="1" applyFill="1" applyBorder="1" applyAlignment="1" applyProtection="1">
      <alignment horizontal="center" vertical="center" wrapText="1"/>
    </xf>
    <xf numFmtId="49" fontId="38" fillId="33" borderId="292" xfId="53" applyNumberFormat="1" applyFont="1" applyFill="1" applyBorder="1" applyAlignment="1" applyProtection="1">
      <alignment horizontal="center" vertical="center"/>
    </xf>
    <xf numFmtId="49" fontId="38" fillId="33" borderId="294" xfId="53" applyNumberFormat="1" applyFont="1" applyFill="1" applyBorder="1" applyAlignment="1" applyProtection="1">
      <alignment horizontal="center" vertical="center"/>
    </xf>
    <xf numFmtId="49" fontId="38" fillId="33" borderId="293" xfId="53" applyNumberFormat="1" applyFont="1" applyFill="1" applyBorder="1" applyAlignment="1" applyProtection="1">
      <alignment horizontal="center" vertical="center"/>
    </xf>
    <xf numFmtId="49" fontId="38" fillId="31" borderId="292" xfId="53" applyNumberFormat="1" applyFont="1" applyFill="1" applyBorder="1" applyAlignment="1" applyProtection="1">
      <alignment horizontal="center" vertical="center"/>
    </xf>
    <xf numFmtId="49" fontId="38" fillId="31" borderId="294" xfId="53" applyNumberFormat="1" applyFont="1" applyFill="1" applyBorder="1" applyAlignment="1" applyProtection="1">
      <alignment horizontal="center" vertical="center"/>
    </xf>
    <xf numFmtId="49" fontId="38" fillId="31" borderId="293" xfId="53" applyNumberFormat="1" applyFont="1" applyFill="1" applyBorder="1" applyAlignment="1" applyProtection="1">
      <alignment horizontal="center" vertical="center"/>
    </xf>
    <xf numFmtId="49" fontId="38" fillId="37" borderId="292" xfId="53" applyNumberFormat="1" applyFont="1" applyFill="1" applyBorder="1" applyAlignment="1" applyProtection="1">
      <alignment horizontal="center" vertical="center"/>
    </xf>
    <xf numFmtId="49" fontId="38" fillId="37" borderId="294" xfId="53" applyNumberFormat="1" applyFont="1" applyFill="1" applyBorder="1" applyAlignment="1" applyProtection="1">
      <alignment horizontal="center" vertical="center"/>
    </xf>
    <xf numFmtId="49" fontId="38" fillId="37" borderId="293" xfId="53" applyNumberFormat="1" applyFont="1" applyFill="1" applyBorder="1" applyAlignment="1" applyProtection="1">
      <alignment horizontal="center" vertical="center"/>
    </xf>
    <xf numFmtId="49" fontId="31" fillId="45" borderId="296" xfId="53" applyNumberFormat="1" applyFont="1" applyFill="1" applyBorder="1" applyAlignment="1" applyProtection="1">
      <alignment horizontal="center" vertical="center" wrapText="1"/>
    </xf>
    <xf numFmtId="49" fontId="31" fillId="35" borderId="296" xfId="53" applyNumberFormat="1" applyFont="1" applyFill="1" applyBorder="1" applyAlignment="1" applyProtection="1">
      <alignment horizontal="center" vertical="center" wrapText="1"/>
    </xf>
    <xf numFmtId="49" fontId="31" fillId="46" borderId="296" xfId="53" applyNumberFormat="1" applyFont="1" applyFill="1" applyBorder="1" applyAlignment="1" applyProtection="1">
      <alignment horizontal="center" vertical="center" wrapText="1"/>
    </xf>
    <xf numFmtId="0" fontId="76" fillId="39" borderId="296" xfId="0" applyFont="1" applyFill="1" applyBorder="1" applyAlignment="1" applyProtection="1">
      <alignment horizontal="center" vertical="center" wrapText="1"/>
    </xf>
    <xf numFmtId="0" fontId="60" fillId="39" borderId="296" xfId="0" applyFont="1" applyFill="1" applyBorder="1" applyAlignment="1" applyProtection="1">
      <alignment horizontal="center" vertical="center" wrapText="1"/>
    </xf>
    <xf numFmtId="49" fontId="31" fillId="31" borderId="296" xfId="53" applyNumberFormat="1" applyFont="1" applyFill="1" applyBorder="1" applyAlignment="1" applyProtection="1">
      <alignment horizontal="center" vertical="center" wrapText="1"/>
    </xf>
    <xf numFmtId="49" fontId="31" fillId="35" borderId="360" xfId="53" applyNumberFormat="1" applyFont="1" applyFill="1" applyBorder="1" applyAlignment="1" applyProtection="1">
      <alignment horizontal="center" vertical="center" wrapText="1"/>
    </xf>
    <xf numFmtId="0" fontId="26" fillId="0" borderId="362" xfId="53" applyFont="1" applyFill="1" applyBorder="1" applyAlignment="1" applyProtection="1">
      <alignment horizontal="left" vertical="center"/>
    </xf>
    <xf numFmtId="0" fontId="26" fillId="0" borderId="361" xfId="53" applyFont="1" applyFill="1" applyBorder="1" applyAlignment="1" applyProtection="1">
      <alignment horizontal="left" vertical="center"/>
    </xf>
    <xf numFmtId="0" fontId="60" fillId="39" borderId="263" xfId="0" applyFont="1" applyFill="1" applyBorder="1" applyAlignment="1" applyProtection="1">
      <alignment horizontal="center" vertical="center" wrapText="1"/>
    </xf>
    <xf numFmtId="49" fontId="31" fillId="45" borderId="263" xfId="53" applyNumberFormat="1" applyFont="1" applyFill="1" applyBorder="1" applyAlignment="1" applyProtection="1">
      <alignment horizontal="center" vertical="center" wrapText="1"/>
    </xf>
    <xf numFmtId="0" fontId="31" fillId="34" borderId="263" xfId="252" applyFont="1" applyFill="1" applyBorder="1" applyAlignment="1" applyProtection="1">
      <alignment horizontal="center" vertical="center" wrapText="1"/>
    </xf>
    <xf numFmtId="49" fontId="38" fillId="33" borderId="263" xfId="53" applyNumberFormat="1" applyFont="1" applyFill="1" applyBorder="1" applyAlignment="1" applyProtection="1">
      <alignment horizontal="center" vertical="center"/>
    </xf>
    <xf numFmtId="49" fontId="31" fillId="31" borderId="263" xfId="53" applyNumberFormat="1" applyFont="1" applyFill="1" applyBorder="1" applyAlignment="1" applyProtection="1">
      <alignment horizontal="center" vertical="center" wrapText="1"/>
    </xf>
    <xf numFmtId="49" fontId="31" fillId="31" borderId="263" xfId="53" applyNumberFormat="1" applyFont="1" applyFill="1" applyBorder="1" applyAlignment="1" applyProtection="1">
      <alignment horizontal="center" vertical="center"/>
    </xf>
    <xf numFmtId="49" fontId="31" fillId="39" borderId="41" xfId="53" applyNumberFormat="1" applyFont="1" applyFill="1" applyBorder="1" applyAlignment="1" applyProtection="1">
      <alignment horizontal="center" vertical="center" wrapText="1"/>
    </xf>
    <xf numFmtId="49" fontId="31" fillId="45" borderId="264" xfId="53" applyNumberFormat="1" applyFont="1" applyFill="1" applyBorder="1" applyAlignment="1" applyProtection="1">
      <alignment horizontal="center" vertical="center" wrapText="1"/>
    </xf>
    <xf numFmtId="49" fontId="31" fillId="45" borderId="198" xfId="53" applyNumberFormat="1" applyFont="1" applyFill="1" applyBorder="1" applyAlignment="1" applyProtection="1">
      <alignment horizontal="center" vertical="center" wrapText="1"/>
    </xf>
    <xf numFmtId="10" fontId="38" fillId="33" borderId="263" xfId="48" applyNumberFormat="1" applyFont="1" applyFill="1" applyBorder="1" applyAlignment="1" applyProtection="1">
      <alignment horizontal="center" vertical="center" wrapText="1"/>
    </xf>
    <xf numFmtId="0" fontId="60" fillId="39" borderId="268" xfId="53" applyFont="1" applyFill="1" applyBorder="1" applyAlignment="1" applyProtection="1">
      <alignment horizontal="center" vertical="center" wrapText="1"/>
    </xf>
    <xf numFmtId="0" fontId="60" fillId="39" borderId="269" xfId="53" applyFont="1" applyFill="1" applyBorder="1" applyAlignment="1" applyProtection="1">
      <alignment horizontal="center" vertical="center" wrapText="1"/>
    </xf>
    <xf numFmtId="0" fontId="60" fillId="39" borderId="40" xfId="53" applyFont="1" applyFill="1" applyBorder="1" applyAlignment="1" applyProtection="1">
      <alignment horizontal="center" vertical="center" wrapText="1"/>
    </xf>
    <xf numFmtId="0" fontId="60" fillId="39" borderId="22" xfId="53" applyFont="1" applyFill="1" applyBorder="1" applyAlignment="1" applyProtection="1">
      <alignment horizontal="center" vertical="center" wrapText="1"/>
    </xf>
    <xf numFmtId="0" fontId="60" fillId="39" borderId="197" xfId="53" applyFont="1" applyFill="1" applyBorder="1" applyAlignment="1" applyProtection="1">
      <alignment horizontal="center" vertical="center" wrapText="1"/>
    </xf>
    <xf numFmtId="0" fontId="60" fillId="39" borderId="29" xfId="53" applyFont="1" applyFill="1" applyBorder="1" applyAlignment="1" applyProtection="1">
      <alignment horizontal="center" vertical="center" wrapText="1"/>
    </xf>
    <xf numFmtId="0" fontId="31" fillId="34" borderId="334" xfId="252" applyFont="1" applyFill="1" applyBorder="1" applyAlignment="1" applyProtection="1">
      <alignment horizontal="center" vertical="center" wrapText="1"/>
    </xf>
    <xf numFmtId="0" fontId="60" fillId="39" borderId="380" xfId="53" applyFont="1" applyFill="1" applyBorder="1" applyAlignment="1" applyProtection="1">
      <alignment horizontal="center" vertical="center" wrapText="1"/>
    </xf>
    <xf numFmtId="0" fontId="60" fillId="39" borderId="381" xfId="53" applyFont="1" applyFill="1" applyBorder="1" applyAlignment="1" applyProtection="1">
      <alignment horizontal="center" vertical="center" wrapText="1"/>
    </xf>
    <xf numFmtId="0" fontId="60" fillId="39" borderId="383" xfId="53" applyFont="1" applyFill="1" applyBorder="1" applyAlignment="1" applyProtection="1">
      <alignment horizontal="center" vertical="center" wrapText="1"/>
    </xf>
    <xf numFmtId="49" fontId="31" fillId="35" borderId="334" xfId="53" applyNumberFormat="1" applyFont="1" applyFill="1" applyBorder="1" applyAlignment="1" applyProtection="1">
      <alignment horizontal="center" vertical="center" wrapText="1"/>
    </xf>
    <xf numFmtId="49" fontId="31" fillId="34" borderId="336" xfId="53" applyNumberFormat="1" applyFont="1" applyFill="1" applyBorder="1" applyAlignment="1" applyProtection="1">
      <alignment horizontal="center" vertical="center" wrapText="1"/>
    </xf>
    <xf numFmtId="49" fontId="31" fillId="34" borderId="333" xfId="53" applyNumberFormat="1" applyFont="1" applyFill="1" applyBorder="1" applyAlignment="1" applyProtection="1">
      <alignment horizontal="center" vertical="center" wrapText="1"/>
    </xf>
    <xf numFmtId="49" fontId="31" fillId="34" borderId="340" xfId="53" applyNumberFormat="1" applyFont="1" applyFill="1" applyBorder="1" applyAlignment="1" applyProtection="1">
      <alignment horizontal="center" vertical="center" wrapText="1"/>
    </xf>
    <xf numFmtId="49" fontId="38" fillId="33" borderId="265" xfId="53" applyNumberFormat="1" applyFont="1" applyFill="1" applyBorder="1" applyAlignment="1" applyProtection="1">
      <alignment horizontal="center" vertical="center"/>
    </xf>
    <xf numFmtId="49" fontId="38" fillId="33" borderId="267" xfId="53" applyNumberFormat="1" applyFont="1" applyFill="1" applyBorder="1" applyAlignment="1" applyProtection="1">
      <alignment horizontal="center" vertical="center"/>
    </xf>
    <xf numFmtId="49" fontId="38" fillId="33" borderId="266" xfId="53" applyNumberFormat="1" applyFont="1" applyFill="1" applyBorder="1" applyAlignment="1" applyProtection="1">
      <alignment horizontal="center" vertical="center"/>
    </xf>
    <xf numFmtId="0" fontId="31" fillId="25" borderId="215" xfId="0" applyFont="1" applyFill="1" applyBorder="1" applyAlignment="1" applyProtection="1">
      <alignment horizontal="center" vertical="center" wrapText="1"/>
    </xf>
    <xf numFmtId="0" fontId="31" fillId="25" borderId="41" xfId="0" applyFont="1" applyFill="1" applyBorder="1" applyAlignment="1" applyProtection="1">
      <alignment horizontal="center" vertical="center" wrapText="1"/>
    </xf>
    <xf numFmtId="0" fontId="72" fillId="40" borderId="217" xfId="0" applyFont="1" applyFill="1" applyBorder="1" applyAlignment="1" applyProtection="1">
      <alignment horizontal="center" vertical="center" wrapText="1"/>
    </xf>
    <xf numFmtId="0" fontId="72" fillId="40" borderId="219" xfId="0" applyFont="1" applyFill="1" applyBorder="1" applyAlignment="1" applyProtection="1">
      <alignment horizontal="center" vertical="center" wrapText="1"/>
    </xf>
    <xf numFmtId="0" fontId="72" fillId="40" borderId="218" xfId="0" applyFont="1" applyFill="1" applyBorder="1" applyAlignment="1" applyProtection="1">
      <alignment horizontal="center" vertical="center" wrapText="1"/>
    </xf>
    <xf numFmtId="0" fontId="31" fillId="46" borderId="216" xfId="0" applyFont="1" applyFill="1" applyBorder="1" applyAlignment="1" applyProtection="1">
      <alignment horizontal="center" vertical="center" wrapText="1"/>
    </xf>
    <xf numFmtId="0" fontId="31" fillId="45" borderId="216" xfId="0" applyFont="1" applyFill="1" applyBorder="1" applyAlignment="1" applyProtection="1">
      <alignment horizontal="center" vertical="center" wrapText="1"/>
    </xf>
    <xf numFmtId="0" fontId="72" fillId="33" borderId="217" xfId="0" applyFont="1" applyFill="1" applyBorder="1" applyAlignment="1" applyProtection="1">
      <alignment horizontal="center" vertical="center" wrapText="1"/>
    </xf>
    <xf numFmtId="0" fontId="72" fillId="33" borderId="219" xfId="0" applyFont="1" applyFill="1" applyBorder="1" applyAlignment="1" applyProtection="1">
      <alignment horizontal="center" vertical="center" wrapText="1"/>
    </xf>
    <xf numFmtId="0" fontId="72" fillId="33" borderId="218" xfId="0" applyFont="1" applyFill="1" applyBorder="1" applyAlignment="1" applyProtection="1">
      <alignment horizontal="center" vertical="center" wrapText="1"/>
    </xf>
    <xf numFmtId="0" fontId="31" fillId="34" borderId="215" xfId="0" applyFont="1" applyFill="1" applyBorder="1" applyAlignment="1" applyProtection="1">
      <alignment horizontal="center" vertical="center" wrapText="1"/>
    </xf>
    <xf numFmtId="0" fontId="31" fillId="34" borderId="41" xfId="0" applyFont="1" applyFill="1" applyBorder="1" applyAlignment="1" applyProtection="1">
      <alignment horizontal="center" vertical="center" wrapText="1"/>
    </xf>
    <xf numFmtId="0" fontId="31" fillId="34" borderId="198" xfId="0" applyFont="1" applyFill="1" applyBorder="1" applyAlignment="1" applyProtection="1">
      <alignment horizontal="center" vertical="center" wrapText="1"/>
    </xf>
    <xf numFmtId="0" fontId="31" fillId="25" borderId="15" xfId="0" applyFont="1" applyFill="1" applyBorder="1" applyAlignment="1" applyProtection="1">
      <alignment horizontal="center" vertical="center" wrapText="1"/>
    </xf>
    <xf numFmtId="0" fontId="71" fillId="27" borderId="264" xfId="0" applyFont="1" applyFill="1" applyBorder="1" applyAlignment="1" applyProtection="1">
      <alignment horizontal="center" vertical="center" wrapText="1"/>
    </xf>
    <xf numFmtId="0" fontId="71" fillId="27" borderId="41" xfId="0" applyFont="1" applyFill="1" applyBorder="1" applyAlignment="1" applyProtection="1">
      <alignment vertical="center"/>
    </xf>
    <xf numFmtId="0" fontId="71" fillId="27" borderId="198" xfId="0" applyFont="1" applyFill="1" applyBorder="1" applyAlignment="1" applyProtection="1">
      <alignment vertical="center"/>
    </xf>
    <xf numFmtId="0" fontId="28" fillId="25" borderId="10" xfId="0" applyFont="1" applyFill="1" applyBorder="1" applyAlignment="1" applyProtection="1">
      <alignment horizontal="center" vertical="center" wrapText="1"/>
    </xf>
    <xf numFmtId="0" fontId="28" fillId="25" borderId="11" xfId="0" applyFont="1" applyFill="1" applyBorder="1" applyAlignment="1" applyProtection="1">
      <alignment horizontal="center" vertical="center" wrapText="1"/>
    </xf>
    <xf numFmtId="0" fontId="28" fillId="25" borderId="13" xfId="0" applyFont="1" applyFill="1" applyBorder="1" applyAlignment="1" applyProtection="1">
      <alignment horizontal="center" vertical="center"/>
    </xf>
    <xf numFmtId="0" fontId="71" fillId="25" borderId="15" xfId="0" applyFont="1" applyFill="1" applyBorder="1" applyAlignment="1" applyProtection="1">
      <alignment horizontal="center" vertical="center" wrapText="1"/>
    </xf>
    <xf numFmtId="0" fontId="28" fillId="25" borderId="215" xfId="0" applyFont="1" applyFill="1" applyBorder="1" applyAlignment="1" applyProtection="1">
      <alignment horizontal="center" vertical="center" wrapText="1"/>
    </xf>
    <xf numFmtId="0" fontId="28" fillId="25" borderId="41" xfId="0" applyFont="1" applyFill="1" applyBorder="1" applyAlignment="1" applyProtection="1">
      <alignment horizontal="center" vertical="center" wrapText="1"/>
    </xf>
    <xf numFmtId="0" fontId="28" fillId="25" borderId="198" xfId="0" applyFont="1" applyFill="1" applyBorder="1" applyAlignment="1" applyProtection="1">
      <alignment horizontal="center" vertical="center" wrapText="1"/>
    </xf>
    <xf numFmtId="0" fontId="79" fillId="27" borderId="18" xfId="0" applyFont="1" applyFill="1" applyBorder="1" applyAlignment="1" applyProtection="1">
      <alignment horizontal="center" vertical="center"/>
    </xf>
    <xf numFmtId="0" fontId="79" fillId="27" borderId="23" xfId="0" applyFont="1" applyFill="1" applyBorder="1" applyAlignment="1" applyProtection="1">
      <alignment horizontal="center" vertical="center"/>
    </xf>
    <xf numFmtId="0" fontId="31" fillId="25" borderId="10" xfId="0" applyFont="1" applyFill="1" applyBorder="1" applyAlignment="1" applyProtection="1">
      <alignment horizontal="center" vertical="center" wrapText="1"/>
    </xf>
    <xf numFmtId="0" fontId="31" fillId="25" borderId="13" xfId="0" applyFont="1" applyFill="1" applyBorder="1" applyAlignment="1" applyProtection="1">
      <alignment horizontal="center" vertical="center" wrapText="1"/>
    </xf>
    <xf numFmtId="0" fontId="79" fillId="27" borderId="18" xfId="0" applyFont="1" applyFill="1" applyBorder="1" applyAlignment="1" applyProtection="1">
      <alignment horizontal="center" vertical="center" wrapText="1"/>
    </xf>
    <xf numFmtId="0" fontId="79" fillId="27" borderId="21" xfId="0" applyFont="1" applyFill="1" applyBorder="1" applyAlignment="1" applyProtection="1">
      <alignment horizontal="center" vertical="center" wrapText="1"/>
    </xf>
    <xf numFmtId="0" fontId="79" fillId="27" borderId="21" xfId="0" applyFont="1" applyFill="1" applyBorder="1" applyAlignment="1" applyProtection="1">
      <alignment horizontal="center" vertical="center"/>
    </xf>
    <xf numFmtId="0" fontId="79" fillId="27" borderId="18" xfId="0" quotePrefix="1" applyFont="1" applyFill="1" applyBorder="1" applyAlignment="1" applyProtection="1">
      <alignment horizontal="center" vertical="center"/>
    </xf>
    <xf numFmtId="0" fontId="79" fillId="27" borderId="23" xfId="0" quotePrefix="1" applyFont="1" applyFill="1" applyBorder="1" applyAlignment="1" applyProtection="1">
      <alignment horizontal="center" vertical="center"/>
    </xf>
    <xf numFmtId="0" fontId="40" fillId="0" borderId="23" xfId="0" applyFont="1" applyBorder="1" applyAlignment="1" applyProtection="1">
      <alignment horizontal="center" vertical="center"/>
    </xf>
    <xf numFmtId="0" fontId="40" fillId="0" borderId="21" xfId="0" applyFont="1" applyBorder="1" applyAlignment="1" applyProtection="1">
      <alignment horizontal="center" vertical="center"/>
    </xf>
    <xf numFmtId="0" fontId="75" fillId="55" borderId="385" xfId="70" applyFont="1" applyFill="1" applyBorder="1" applyAlignment="1" applyProtection="1">
      <alignment horizontal="center" vertical="center" wrapText="1"/>
    </xf>
    <xf numFmtId="0" fontId="75" fillId="55" borderId="384" xfId="70" applyFont="1" applyFill="1" applyBorder="1" applyAlignment="1" applyProtection="1">
      <alignment horizontal="center" vertical="center" wrapText="1"/>
    </xf>
    <xf numFmtId="0" fontId="75" fillId="55" borderId="386" xfId="70" applyFont="1" applyFill="1" applyBorder="1" applyAlignment="1" applyProtection="1">
      <alignment horizontal="center" vertical="center" wrapText="1"/>
    </xf>
    <xf numFmtId="0" fontId="71" fillId="42" borderId="296" xfId="47833" applyFont="1" applyFill="1" applyBorder="1" applyAlignment="1" applyProtection="1">
      <alignment horizontal="center" vertical="center" wrapText="1"/>
    </xf>
    <xf numFmtId="0" fontId="75" fillId="56" borderId="296" xfId="70" applyFont="1" applyFill="1" applyBorder="1" applyAlignment="1" applyProtection="1">
      <alignment horizontal="center" vertical="center" wrapText="1"/>
    </xf>
    <xf numFmtId="0" fontId="75" fillId="57" borderId="296" xfId="70" applyFont="1" applyFill="1" applyBorder="1" applyAlignment="1" applyProtection="1">
      <alignment horizontal="center" vertical="center" wrapText="1"/>
    </xf>
    <xf numFmtId="0" fontId="38" fillId="25" borderId="296" xfId="53" applyFont="1" applyFill="1" applyBorder="1" applyAlignment="1" applyProtection="1">
      <alignment horizontal="center" vertical="center" wrapText="1"/>
    </xf>
    <xf numFmtId="0" fontId="31" fillId="25" borderId="296" xfId="53" applyFont="1" applyFill="1" applyBorder="1" applyAlignment="1" applyProtection="1">
      <alignment horizontal="center" vertical="center" wrapText="1"/>
    </xf>
    <xf numFmtId="0" fontId="31" fillId="53" borderId="296" xfId="53" applyFont="1" applyFill="1" applyBorder="1" applyAlignment="1" applyProtection="1">
      <alignment horizontal="center" vertical="center" wrapText="1"/>
    </xf>
    <xf numFmtId="0" fontId="75" fillId="0" borderId="265" xfId="47830" applyFont="1" applyBorder="1" applyAlignment="1">
      <alignment horizontal="center" vertical="center" wrapText="1"/>
    </xf>
    <xf numFmtId="0" fontId="75" fillId="0" borderId="267" xfId="47830" applyFont="1" applyBorder="1" applyAlignment="1">
      <alignment horizontal="center" vertical="center"/>
    </xf>
    <xf numFmtId="0" fontId="75" fillId="0" borderId="266" xfId="47830" applyFont="1" applyBorder="1" applyAlignment="1">
      <alignment horizontal="center" vertical="center"/>
    </xf>
    <xf numFmtId="0" fontId="71" fillId="35" borderId="360" xfId="0" applyFont="1" applyFill="1" applyBorder="1" applyAlignment="1">
      <alignment horizontal="center" vertical="center" wrapText="1"/>
    </xf>
    <xf numFmtId="0" fontId="75" fillId="25" borderId="360" xfId="0" applyFont="1" applyFill="1" applyBorder="1" applyAlignment="1" applyProtection="1">
      <alignment horizontal="center" vertical="center" wrapText="1"/>
    </xf>
    <xf numFmtId="0" fontId="71" fillId="42" borderId="360" xfId="58" applyFont="1" applyFill="1" applyBorder="1" applyAlignment="1">
      <alignment horizontal="center" vertical="center" wrapText="1"/>
    </xf>
    <xf numFmtId="0" fontId="71" fillId="42" borderId="360" xfId="58" applyFont="1" applyFill="1" applyBorder="1" applyAlignment="1">
      <alignment horizontal="center" vertical="center"/>
    </xf>
    <xf numFmtId="0" fontId="71" fillId="33" borderId="360" xfId="58" applyFont="1" applyFill="1" applyBorder="1" applyAlignment="1">
      <alignment horizontal="center" vertical="center" wrapText="1"/>
    </xf>
    <xf numFmtId="0" fontId="71" fillId="45" borderId="360" xfId="0" applyFont="1" applyFill="1" applyBorder="1" applyAlignment="1">
      <alignment horizontal="center" vertical="center" wrapText="1"/>
    </xf>
    <xf numFmtId="0" fontId="26" fillId="25" borderId="296" xfId="64" applyFont="1" applyFill="1" applyBorder="1" applyAlignment="1" applyProtection="1">
      <alignment horizontal="center" vertical="center" wrapText="1"/>
    </xf>
    <xf numFmtId="166" fontId="23" fillId="0" borderId="0" xfId="0" applyNumberFormat="1" applyFont="1" applyFill="1" applyBorder="1" applyAlignment="1">
      <alignment horizontal="right"/>
    </xf>
    <xf numFmtId="0" fontId="26" fillId="28" borderId="263" xfId="0" applyFont="1" applyFill="1" applyBorder="1" applyAlignment="1">
      <alignment horizontal="center" vertical="center" wrapText="1"/>
    </xf>
    <xf numFmtId="1" fontId="26" fillId="28" borderId="263" xfId="47838" applyNumberFormat="1" applyFont="1" applyFill="1" applyBorder="1" applyAlignment="1">
      <alignment horizontal="center" vertical="center" wrapText="1"/>
    </xf>
    <xf numFmtId="1" fontId="26" fillId="28" borderId="263" xfId="47838" applyNumberFormat="1" applyFont="1" applyFill="1" applyBorder="1" applyAlignment="1">
      <alignment horizontal="center" vertical="center"/>
    </xf>
    <xf numFmtId="6" fontId="23" fillId="0" borderId="284" xfId="0" applyNumberFormat="1" applyFont="1" applyFill="1" applyBorder="1" applyAlignment="1">
      <alignment horizontal="right"/>
    </xf>
    <xf numFmtId="0" fontId="26" fillId="25" borderId="268" xfId="0" applyFont="1" applyFill="1" applyBorder="1" applyAlignment="1">
      <alignment horizontal="center" vertical="center" wrapText="1"/>
    </xf>
    <xf numFmtId="0" fontId="26" fillId="25" borderId="269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0" fontId="26" fillId="25" borderId="263" xfId="0" applyFont="1" applyFill="1" applyBorder="1" applyAlignment="1">
      <alignment horizontal="center" vertical="center" wrapText="1"/>
    </xf>
    <xf numFmtId="0" fontId="41" fillId="31" borderId="265" xfId="0" applyFont="1" applyFill="1" applyBorder="1" applyAlignment="1">
      <alignment horizontal="center" vertical="center"/>
    </xf>
    <xf numFmtId="0" fontId="41" fillId="31" borderId="267" xfId="0" applyFont="1" applyFill="1" applyBorder="1" applyAlignment="1">
      <alignment horizontal="center" vertical="center"/>
    </xf>
    <xf numFmtId="0" fontId="41" fillId="31" borderId="266" xfId="0" applyFont="1" applyFill="1" applyBorder="1" applyAlignment="1">
      <alignment horizontal="center" vertical="center"/>
    </xf>
    <xf numFmtId="0" fontId="41" fillId="40" borderId="265" xfId="0" applyFont="1" applyFill="1" applyBorder="1" applyAlignment="1">
      <alignment horizontal="center" vertical="center"/>
    </xf>
    <xf numFmtId="0" fontId="41" fillId="40" borderId="267" xfId="0" applyFont="1" applyFill="1" applyBorder="1" applyAlignment="1">
      <alignment horizontal="center" vertical="center"/>
    </xf>
    <xf numFmtId="0" fontId="41" fillId="40" borderId="266" xfId="0" applyFont="1" applyFill="1" applyBorder="1" applyAlignment="1">
      <alignment horizontal="center" vertical="center"/>
    </xf>
    <xf numFmtId="0" fontId="41" fillId="51" borderId="265" xfId="0" applyFont="1" applyFill="1" applyBorder="1" applyAlignment="1">
      <alignment horizontal="center" vertical="center"/>
    </xf>
    <xf numFmtId="0" fontId="41" fillId="51" borderId="267" xfId="0" applyFont="1" applyFill="1" applyBorder="1" applyAlignment="1">
      <alignment horizontal="center" vertical="center"/>
    </xf>
    <xf numFmtId="0" fontId="41" fillId="51" borderId="266" xfId="0" applyFont="1" applyFill="1" applyBorder="1" applyAlignment="1">
      <alignment horizontal="center" vertical="center"/>
    </xf>
    <xf numFmtId="0" fontId="41" fillId="33" borderId="265" xfId="0" applyFont="1" applyFill="1" applyBorder="1" applyAlignment="1">
      <alignment horizontal="center" vertical="center"/>
    </xf>
    <xf numFmtId="0" fontId="41" fillId="33" borderId="267" xfId="0" applyFont="1" applyFill="1" applyBorder="1" applyAlignment="1">
      <alignment horizontal="center" vertical="center"/>
    </xf>
    <xf numFmtId="0" fontId="41" fillId="33" borderId="266" xfId="0" applyFont="1" applyFill="1" applyBorder="1" applyAlignment="1">
      <alignment horizontal="center" vertical="center"/>
    </xf>
    <xf numFmtId="0" fontId="41" fillId="34" borderId="265" xfId="0" applyFont="1" applyFill="1" applyBorder="1" applyAlignment="1">
      <alignment horizontal="center" vertical="center"/>
    </xf>
    <xf numFmtId="0" fontId="41" fillId="34" borderId="267" xfId="0" applyFont="1" applyFill="1" applyBorder="1" applyAlignment="1">
      <alignment horizontal="center" vertical="center"/>
    </xf>
    <xf numFmtId="0" fontId="41" fillId="34" borderId="266" xfId="0" applyFont="1" applyFill="1" applyBorder="1" applyAlignment="1">
      <alignment horizontal="center" vertical="center"/>
    </xf>
    <xf numFmtId="0" fontId="75" fillId="55" borderId="382" xfId="70" applyFont="1" applyFill="1" applyBorder="1" applyAlignment="1" applyProtection="1">
      <alignment horizontal="center" vertical="center" wrapText="1"/>
    </xf>
    <xf numFmtId="0" fontId="38" fillId="25" borderId="380" xfId="53" applyFont="1" applyFill="1" applyBorder="1" applyAlignment="1" applyProtection="1">
      <alignment horizontal="center" vertical="center" wrapText="1"/>
    </xf>
    <xf numFmtId="0" fontId="38" fillId="25" borderId="381" xfId="53" applyFont="1" applyFill="1" applyBorder="1" applyAlignment="1" applyProtection="1">
      <alignment horizontal="center" vertical="center" wrapText="1"/>
    </xf>
    <xf numFmtId="0" fontId="38" fillId="25" borderId="383" xfId="53" applyFont="1" applyFill="1" applyBorder="1" applyAlignment="1" applyProtection="1">
      <alignment horizontal="center" vertical="center" wrapText="1"/>
    </xf>
    <xf numFmtId="0" fontId="38" fillId="25" borderId="22" xfId="53" applyFont="1" applyFill="1" applyBorder="1" applyAlignment="1" applyProtection="1">
      <alignment horizontal="center" vertical="center" wrapText="1"/>
    </xf>
    <xf numFmtId="0" fontId="31" fillId="25" borderId="386" xfId="53" applyFont="1" applyFill="1" applyBorder="1" applyAlignment="1" applyProtection="1">
      <alignment horizontal="center" vertical="center" wrapText="1"/>
    </xf>
    <xf numFmtId="0" fontId="31" fillId="53" borderId="382" xfId="53" applyFont="1" applyFill="1" applyBorder="1" applyAlignment="1" applyProtection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1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000080"/>
      <color rgb="FFFFFF99"/>
      <color rgb="FFFFFFCC"/>
      <color rgb="FFCCFFFF"/>
      <color rgb="FF8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76" Type="http://schemas.openxmlformats.org/officeDocument/2006/relationships/externalLink" Target="externalLinks/externalLink13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externalLink" Target="externalLinks/externalLink11.xml"/><Relationship Id="rId79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9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77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9.xml"/><Relationship Id="rId80" Type="http://schemas.openxmlformats.org/officeDocument/2006/relationships/externalLink" Target="externalLinks/externalLink17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externalLink" Target="externalLinks/externalLink12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externalLink" Target="externalLinks/externalLink10.xml"/><Relationship Id="rId78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18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Summary%20Of%20Audit%20Adjustments_FY2019-20%20Budget%20Letter_Sept.%20Update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alaries/2019%20Foreign%20Associate-Escadrille%20Teachers_Salaries_2.1.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FATS/Stipends/2019%20Foreign%20Associate-Escadrille%20Teachers_1st%20year%20repor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CDF/FY2019-20%20CDF_2.12.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HCS/FY2019-20%20High%20Cost%20Services%20Allocatio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Level%204/SCA/Feb%202019%20multi%20stats%20(mfp%20by%20site%20and%20school%20system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10.1.19/Copy%20of%20Oct%202019%20Multistats_Inter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10.1.19%20Counts%20Used%20in%20Mid-Year%20Adjustment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August%202019/FY2019-20%20MFP%20Budget%20Letter_Aug%20201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Audit%20Adjustments/Files%20from%20Audit%20Team/FY%202017-2018%20AFR-CAFR%20Final%20Adjustmen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9-20/Per%20Pupil%20Calculations/Final/FY2019-20%20FINAL%20Charter%20Per%20Pupil_March_INTERNAL%20ON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Mid-Year%20Adjustments/FY2019-20%20MFP%20Midyear%20Adjustments_Oc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Mid-Year%20Adjustments/FY2019-20%20MFP%20Midyear%20Adjustments_Feb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July%202019/FY2019-20%20MFP%20Budget%20Letter_July%20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September%202019/FY2019-20%20MFP%20Budget%20Letter_Sept%202019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October%202019/FY2019-20%20MFP%20Budget%20Letter_October%20%20201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Budget%20Letter/January%202020/FY2019-20%20MFP%20Budget%20Letter_Jan%202020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Student%20Counts/2.1.19%20Counts%20Used%20in%20July%202019%20Budget%20Let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9-2020/Pay%20Raises_2019-20/FY2019-20%20Budgeted%20Summary%20of%20Reported%20Personnel_FINAL%20for%20Pay%20Rai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5A2B_Glencoe"/>
      <sheetName val="5A2C_ISL"/>
      <sheetName val="5A2D_Avoyelles"/>
      <sheetName val="5A2F_Belle Chasse"/>
      <sheetName val="5A6_Thrive"/>
      <sheetName val="5C1A_Madison"/>
      <sheetName val="5C1D_NOMMA"/>
      <sheetName val="5C1E_LFNO"/>
      <sheetName val="5C1F_L.C. Charter"/>
      <sheetName val="5C1J_JCFA-East"/>
      <sheetName val="5C1N_Delta"/>
      <sheetName val="5C1O_Impact"/>
      <sheetName val="5C1Q_Advantage"/>
      <sheetName val="5C1R_Iberville"/>
      <sheetName val="5C1S_LC Col Prep"/>
      <sheetName val="5C1V_Laf Ren"/>
      <sheetName val="5C1AE_Noble Minds"/>
      <sheetName val="5C1AG_Collegiate"/>
      <sheetName val="5C1AH_BRUP"/>
      <sheetName val="5C2_LAVCA"/>
      <sheetName val="5C3_UnvView"/>
      <sheetName val="Tangi_Closed"/>
      <sheetName val="Vision_Closed"/>
      <sheetName val="Apex_Closed"/>
      <sheetName val="Smothers_Closed"/>
      <sheetName val="5A2A_New Vision"/>
      <sheetName val="5A2E_Delhi"/>
      <sheetName val="5A2H_MAX"/>
      <sheetName val="5A4_NOCCA"/>
      <sheetName val="5A5_LSMSA"/>
      <sheetName val="5C1B_DArbonne"/>
      <sheetName val="5C1C_Intl High"/>
      <sheetName val="5C1G_JS Clark"/>
      <sheetName val="5C1H_Southwest"/>
      <sheetName val="5C1I_LA Key"/>
      <sheetName val="5C1M_GEO Mid"/>
      <sheetName val="5C1T_Northeast"/>
      <sheetName val="5C1U_Acadiana Ren"/>
      <sheetName val="5C1W_Willow"/>
      <sheetName val="5C1Y_GEO"/>
      <sheetName val="5C1Z_Lincoln Prep"/>
      <sheetName val="5C1AD_Greater"/>
      <sheetName val="5C1AF_JCFA-Laf"/>
      <sheetName val="5C1AI_Harmony"/>
      <sheetName val="5C1AJ_Athlos"/>
    </sheetNames>
    <sheetDataSet>
      <sheetData sheetId="0">
        <row r="7">
          <cell r="A7">
            <v>1</v>
          </cell>
          <cell r="C7" t="str">
            <v>Acadia</v>
          </cell>
          <cell r="D7">
            <v>0</v>
          </cell>
          <cell r="E7">
            <v>5618</v>
          </cell>
          <cell r="F7">
            <v>5316</v>
          </cell>
          <cell r="G7">
            <v>-16944</v>
          </cell>
          <cell r="H7">
            <v>5648</v>
          </cell>
          <cell r="I7">
            <v>0</v>
          </cell>
          <cell r="J7">
            <v>9082</v>
          </cell>
          <cell r="K7">
            <v>8720</v>
          </cell>
        </row>
        <row r="8">
          <cell r="A8">
            <v>2</v>
          </cell>
          <cell r="C8" t="str">
            <v>Allen</v>
          </cell>
          <cell r="D8">
            <v>-7175</v>
          </cell>
          <cell r="E8">
            <v>7175</v>
          </cell>
          <cell r="F8">
            <v>77653</v>
          </cell>
          <cell r="G8">
            <v>-14738</v>
          </cell>
          <cell r="H8">
            <v>3685</v>
          </cell>
          <cell r="I8">
            <v>0</v>
          </cell>
          <cell r="J8">
            <v>0</v>
          </cell>
          <cell r="K8">
            <v>66600</v>
          </cell>
        </row>
        <row r="9">
          <cell r="A9">
            <v>3</v>
          </cell>
          <cell r="C9" t="str">
            <v>Ascension</v>
          </cell>
          <cell r="D9">
            <v>-88500</v>
          </cell>
          <cell r="E9">
            <v>17700</v>
          </cell>
          <cell r="F9">
            <v>-89911</v>
          </cell>
          <cell r="G9">
            <v>44690</v>
          </cell>
          <cell r="H9">
            <v>22345</v>
          </cell>
          <cell r="I9">
            <v>0</v>
          </cell>
          <cell r="J9">
            <v>0</v>
          </cell>
          <cell r="K9">
            <v>-93676</v>
          </cell>
        </row>
        <row r="10">
          <cell r="A10">
            <v>4</v>
          </cell>
          <cell r="C10" t="str">
            <v>Assumption</v>
          </cell>
          <cell r="D10">
            <v>-20073</v>
          </cell>
          <cell r="E10">
            <v>16728</v>
          </cell>
          <cell r="F10">
            <v>10405</v>
          </cell>
          <cell r="G10">
            <v>-13794</v>
          </cell>
          <cell r="H10">
            <v>0</v>
          </cell>
          <cell r="I10">
            <v>0</v>
          </cell>
          <cell r="J10">
            <v>0</v>
          </cell>
          <cell r="K10">
            <v>-6734</v>
          </cell>
        </row>
        <row r="11">
          <cell r="A11">
            <v>5</v>
          </cell>
          <cell r="C11" t="str">
            <v>Avoyelles</v>
          </cell>
          <cell r="D11">
            <v>-36186</v>
          </cell>
          <cell r="E11">
            <v>3016</v>
          </cell>
          <cell r="F11">
            <v>-22356</v>
          </cell>
          <cell r="G11">
            <v>36258</v>
          </cell>
          <cell r="H11">
            <v>0</v>
          </cell>
          <cell r="I11">
            <v>0</v>
          </cell>
          <cell r="J11">
            <v>0</v>
          </cell>
          <cell r="K11">
            <v>-19268</v>
          </cell>
        </row>
        <row r="12">
          <cell r="A12">
            <v>6</v>
          </cell>
          <cell r="C12" t="str">
            <v>Beauregard</v>
          </cell>
          <cell r="D12">
            <v>-5980</v>
          </cell>
          <cell r="E12">
            <v>-11960</v>
          </cell>
          <cell r="F12">
            <v>9951</v>
          </cell>
          <cell r="G12">
            <v>31225</v>
          </cell>
          <cell r="H12">
            <v>0</v>
          </cell>
          <cell r="I12">
            <v>0</v>
          </cell>
          <cell r="J12">
            <v>0</v>
          </cell>
          <cell r="K12">
            <v>23236</v>
          </cell>
        </row>
        <row r="13">
          <cell r="A13">
            <v>7</v>
          </cell>
          <cell r="C13" t="str">
            <v>Bienville</v>
          </cell>
          <cell r="D13">
            <v>-3573</v>
          </cell>
          <cell r="E13">
            <v>3573</v>
          </cell>
          <cell r="F13">
            <v>6381</v>
          </cell>
          <cell r="G13">
            <v>-4123</v>
          </cell>
          <cell r="H13">
            <v>0</v>
          </cell>
          <cell r="I13">
            <v>0</v>
          </cell>
          <cell r="J13">
            <v>0</v>
          </cell>
          <cell r="K13">
            <v>2258</v>
          </cell>
        </row>
        <row r="14">
          <cell r="A14">
            <v>8</v>
          </cell>
          <cell r="C14" t="str">
            <v>Bossier</v>
          </cell>
          <cell r="D14">
            <v>-16767</v>
          </cell>
          <cell r="E14">
            <v>-8384</v>
          </cell>
          <cell r="F14">
            <v>-63464</v>
          </cell>
          <cell r="G14">
            <v>46496</v>
          </cell>
          <cell r="H14">
            <v>5812</v>
          </cell>
          <cell r="I14">
            <v>0</v>
          </cell>
          <cell r="J14">
            <v>0</v>
          </cell>
          <cell r="K14">
            <v>-36307</v>
          </cell>
        </row>
        <row r="15">
          <cell r="A15">
            <v>9</v>
          </cell>
          <cell r="C15" t="str">
            <v>Caddo</v>
          </cell>
          <cell r="D15">
            <v>-201169</v>
          </cell>
          <cell r="E15">
            <v>-78837</v>
          </cell>
          <cell r="F15">
            <v>-466348</v>
          </cell>
          <cell r="G15">
            <v>411218</v>
          </cell>
          <cell r="H15">
            <v>38899</v>
          </cell>
          <cell r="I15">
            <v>0</v>
          </cell>
          <cell r="J15">
            <v>253750</v>
          </cell>
          <cell r="K15">
            <v>-42487</v>
          </cell>
        </row>
        <row r="16">
          <cell r="A16">
            <v>10</v>
          </cell>
          <cell r="C16" t="str">
            <v>Calcasieu</v>
          </cell>
          <cell r="D16">
            <v>-49698</v>
          </cell>
          <cell r="E16">
            <v>-45180</v>
          </cell>
          <cell r="F16">
            <v>-136169</v>
          </cell>
          <cell r="G16">
            <v>109350</v>
          </cell>
          <cell r="H16">
            <v>21870</v>
          </cell>
          <cell r="I16">
            <v>0</v>
          </cell>
          <cell r="J16">
            <v>0</v>
          </cell>
          <cell r="K16">
            <v>-99827</v>
          </cell>
        </row>
        <row r="17">
          <cell r="A17">
            <v>11</v>
          </cell>
          <cell r="C17" t="str">
            <v>Caldwell</v>
          </cell>
          <cell r="D17">
            <v>7819</v>
          </cell>
          <cell r="E17">
            <v>3910</v>
          </cell>
          <cell r="F17">
            <v>12862</v>
          </cell>
          <cell r="G17">
            <v>-23490</v>
          </cell>
          <cell r="H17">
            <v>3915</v>
          </cell>
          <cell r="I17">
            <v>0</v>
          </cell>
          <cell r="J17">
            <v>0</v>
          </cell>
          <cell r="K17">
            <v>5016</v>
          </cell>
        </row>
        <row r="18">
          <cell r="A18">
            <v>12</v>
          </cell>
          <cell r="C18" t="str">
            <v>Cameron</v>
          </cell>
          <cell r="D18">
            <v>0</v>
          </cell>
          <cell r="E18">
            <v>0</v>
          </cell>
          <cell r="F18">
            <v>2550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2550</v>
          </cell>
        </row>
        <row r="19">
          <cell r="A19">
            <v>13</v>
          </cell>
          <cell r="C19" t="str">
            <v>Catahoula</v>
          </cell>
          <cell r="D19">
            <v>0</v>
          </cell>
          <cell r="E19">
            <v>3715</v>
          </cell>
          <cell r="F19">
            <v>5498</v>
          </cell>
          <cell r="G19">
            <v>-14922</v>
          </cell>
          <cell r="H19">
            <v>3731</v>
          </cell>
          <cell r="I19">
            <v>0</v>
          </cell>
          <cell r="J19">
            <v>1797</v>
          </cell>
          <cell r="K19">
            <v>-181</v>
          </cell>
        </row>
        <row r="20">
          <cell r="A20">
            <v>14</v>
          </cell>
          <cell r="C20" t="str">
            <v>Claiborne</v>
          </cell>
          <cell r="D20">
            <v>-6811</v>
          </cell>
          <cell r="E20">
            <v>-3406</v>
          </cell>
          <cell r="F20">
            <v>-15210</v>
          </cell>
          <cell r="G20">
            <v>21693</v>
          </cell>
          <cell r="H20">
            <v>0</v>
          </cell>
          <cell r="I20">
            <v>0</v>
          </cell>
          <cell r="J20">
            <v>209</v>
          </cell>
          <cell r="K20">
            <v>-3525</v>
          </cell>
        </row>
        <row r="21">
          <cell r="A21">
            <v>15</v>
          </cell>
          <cell r="C21" t="str">
            <v>Concordia</v>
          </cell>
          <cell r="D21">
            <v>6669</v>
          </cell>
          <cell r="E21">
            <v>-20007</v>
          </cell>
          <cell r="F21">
            <v>-36994</v>
          </cell>
          <cell r="G21">
            <v>26928</v>
          </cell>
          <cell r="H21">
            <v>3366</v>
          </cell>
          <cell r="I21">
            <v>0</v>
          </cell>
          <cell r="J21">
            <v>5922</v>
          </cell>
          <cell r="K21">
            <v>-14116</v>
          </cell>
        </row>
        <row r="22">
          <cell r="A22">
            <v>16</v>
          </cell>
          <cell r="C22" t="str">
            <v>DeSoto</v>
          </cell>
          <cell r="D22">
            <v>5880</v>
          </cell>
          <cell r="E22">
            <v>-16170</v>
          </cell>
          <cell r="F22">
            <v>-24186</v>
          </cell>
          <cell r="G22">
            <v>26811</v>
          </cell>
          <cell r="H22">
            <v>0</v>
          </cell>
          <cell r="I22">
            <v>0</v>
          </cell>
          <cell r="J22">
            <v>0</v>
          </cell>
          <cell r="K22">
            <v>-7665</v>
          </cell>
        </row>
        <row r="23">
          <cell r="A23">
            <v>17</v>
          </cell>
          <cell r="C23" t="str">
            <v>East Baton Rouge</v>
          </cell>
          <cell r="D23">
            <v>133792</v>
          </cell>
          <cell r="E23">
            <v>-121249</v>
          </cell>
          <cell r="F23">
            <v>-180306</v>
          </cell>
          <cell r="G23">
            <v>85844</v>
          </cell>
          <cell r="H23">
            <v>48775</v>
          </cell>
          <cell r="I23">
            <v>0</v>
          </cell>
          <cell r="J23">
            <v>11910</v>
          </cell>
          <cell r="K23">
            <v>-21234</v>
          </cell>
        </row>
        <row r="24">
          <cell r="A24">
            <v>18</v>
          </cell>
          <cell r="C24" t="str">
            <v>East Carroll</v>
          </cell>
          <cell r="D24">
            <v>-41700</v>
          </cell>
          <cell r="E24">
            <v>13900</v>
          </cell>
          <cell r="F24">
            <v>2470</v>
          </cell>
          <cell r="G24">
            <v>13956</v>
          </cell>
          <cell r="H24">
            <v>0</v>
          </cell>
          <cell r="I24">
            <v>0</v>
          </cell>
          <cell r="J24">
            <v>0</v>
          </cell>
          <cell r="K24">
            <v>-11374</v>
          </cell>
        </row>
        <row r="25">
          <cell r="A25">
            <v>19</v>
          </cell>
          <cell r="C25" t="str">
            <v>East Feliciana</v>
          </cell>
          <cell r="D25">
            <v>0</v>
          </cell>
          <cell r="E25">
            <v>0</v>
          </cell>
          <cell r="F25">
            <v>8246</v>
          </cell>
          <cell r="G25">
            <v>-6027</v>
          </cell>
          <cell r="H25">
            <v>3014</v>
          </cell>
          <cell r="I25">
            <v>0</v>
          </cell>
          <cell r="J25">
            <v>0</v>
          </cell>
          <cell r="K25">
            <v>5233</v>
          </cell>
        </row>
        <row r="26">
          <cell r="A26">
            <v>20</v>
          </cell>
          <cell r="C26" t="str">
            <v>Evangeline</v>
          </cell>
          <cell r="D26">
            <v>-12206</v>
          </cell>
          <cell r="E26">
            <v>3052</v>
          </cell>
          <cell r="F26">
            <v>-6209</v>
          </cell>
          <cell r="G26">
            <v>6259</v>
          </cell>
          <cell r="H26">
            <v>0</v>
          </cell>
          <cell r="I26">
            <v>0</v>
          </cell>
          <cell r="J26">
            <v>0</v>
          </cell>
          <cell r="K26">
            <v>-9104</v>
          </cell>
        </row>
        <row r="27">
          <cell r="A27">
            <v>21</v>
          </cell>
          <cell r="C27" t="str">
            <v>Franklin</v>
          </cell>
          <cell r="D27">
            <v>-20337</v>
          </cell>
          <cell r="E27">
            <v>3390</v>
          </cell>
          <cell r="F27">
            <v>-16145</v>
          </cell>
          <cell r="G27">
            <v>13694</v>
          </cell>
          <cell r="H27">
            <v>0</v>
          </cell>
          <cell r="I27">
            <v>0</v>
          </cell>
          <cell r="J27">
            <v>0</v>
          </cell>
          <cell r="K27">
            <v>-19398</v>
          </cell>
        </row>
        <row r="28">
          <cell r="A28">
            <v>22</v>
          </cell>
          <cell r="C28" t="str">
            <v>Grant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2972</v>
          </cell>
          <cell r="K28">
            <v>2972</v>
          </cell>
        </row>
        <row r="29">
          <cell r="A29">
            <v>23</v>
          </cell>
          <cell r="C29" t="str">
            <v>Iberia</v>
          </cell>
          <cell r="D29">
            <v>-17592</v>
          </cell>
          <cell r="E29">
            <v>-11728</v>
          </cell>
          <cell r="F29">
            <v>-54456</v>
          </cell>
          <cell r="G29">
            <v>18342</v>
          </cell>
          <cell r="H29">
            <v>18342</v>
          </cell>
          <cell r="I29">
            <v>0</v>
          </cell>
          <cell r="J29">
            <v>0</v>
          </cell>
          <cell r="K29">
            <v>-47092</v>
          </cell>
        </row>
        <row r="30">
          <cell r="A30">
            <v>24</v>
          </cell>
          <cell r="C30" t="str">
            <v>Iberville</v>
          </cell>
          <cell r="D30">
            <v>0</v>
          </cell>
          <cell r="E30">
            <v>-3137</v>
          </cell>
          <cell r="F30">
            <v>-5224</v>
          </cell>
          <cell r="G30">
            <v>5714</v>
          </cell>
          <cell r="H30">
            <v>0</v>
          </cell>
          <cell r="I30">
            <v>0</v>
          </cell>
          <cell r="J30">
            <v>0</v>
          </cell>
          <cell r="K30">
            <v>-2647</v>
          </cell>
        </row>
        <row r="31">
          <cell r="A31">
            <v>25</v>
          </cell>
          <cell r="C31" t="str">
            <v>Jackson</v>
          </cell>
          <cell r="D31">
            <v>5014</v>
          </cell>
          <cell r="E31">
            <v>0</v>
          </cell>
          <cell r="F31">
            <v>4585</v>
          </cell>
          <cell r="G31">
            <v>-5278</v>
          </cell>
          <cell r="H31">
            <v>0</v>
          </cell>
          <cell r="I31">
            <v>0</v>
          </cell>
          <cell r="J31">
            <v>0</v>
          </cell>
          <cell r="K31">
            <v>4321</v>
          </cell>
        </row>
        <row r="32">
          <cell r="A32">
            <v>26</v>
          </cell>
          <cell r="C32" t="str">
            <v>Jefferson</v>
          </cell>
          <cell r="D32">
            <v>-258048</v>
          </cell>
          <cell r="E32">
            <v>-6912</v>
          </cell>
          <cell r="F32">
            <v>-297641</v>
          </cell>
          <cell r="G32">
            <v>252504</v>
          </cell>
          <cell r="H32">
            <v>30394</v>
          </cell>
          <cell r="I32">
            <v>0</v>
          </cell>
          <cell r="J32">
            <v>0</v>
          </cell>
          <cell r="K32">
            <v>-279703</v>
          </cell>
        </row>
        <row r="33">
          <cell r="A33">
            <v>27</v>
          </cell>
          <cell r="C33" t="str">
            <v>Jefferson Davis</v>
          </cell>
          <cell r="D33">
            <v>-6565</v>
          </cell>
          <cell r="E33">
            <v>0</v>
          </cell>
          <cell r="F33">
            <v>-5916</v>
          </cell>
          <cell r="G33">
            <v>6631</v>
          </cell>
          <cell r="H33">
            <v>0</v>
          </cell>
          <cell r="I33">
            <v>0</v>
          </cell>
          <cell r="J33">
            <v>0</v>
          </cell>
          <cell r="K33">
            <v>-5850</v>
          </cell>
        </row>
        <row r="34">
          <cell r="A34">
            <v>28</v>
          </cell>
          <cell r="C34" t="str">
            <v>Lafayette</v>
          </cell>
          <cell r="D34">
            <v>-45914</v>
          </cell>
          <cell r="E34">
            <v>-2087</v>
          </cell>
          <cell r="F34">
            <v>-52264</v>
          </cell>
          <cell r="G34">
            <v>32984</v>
          </cell>
          <cell r="H34">
            <v>20615</v>
          </cell>
          <cell r="I34">
            <v>0</v>
          </cell>
          <cell r="J34">
            <v>0</v>
          </cell>
          <cell r="K34">
            <v>-46666</v>
          </cell>
        </row>
        <row r="35">
          <cell r="A35">
            <v>29</v>
          </cell>
          <cell r="C35" t="str">
            <v>Lafourche</v>
          </cell>
          <cell r="D35">
            <v>0</v>
          </cell>
          <cell r="E35">
            <v>-11818</v>
          </cell>
          <cell r="F35">
            <v>-27492</v>
          </cell>
          <cell r="G35">
            <v>29730</v>
          </cell>
          <cell r="H35">
            <v>0</v>
          </cell>
          <cell r="I35">
            <v>0</v>
          </cell>
          <cell r="J35">
            <v>0</v>
          </cell>
          <cell r="K35">
            <v>-9580</v>
          </cell>
        </row>
        <row r="36">
          <cell r="A36">
            <v>30</v>
          </cell>
          <cell r="C36" t="str">
            <v>LaSalle</v>
          </cell>
          <cell r="D36">
            <v>13808</v>
          </cell>
          <cell r="E36">
            <v>-3452</v>
          </cell>
          <cell r="F36">
            <v>5414</v>
          </cell>
          <cell r="G36">
            <v>-6943</v>
          </cell>
          <cell r="H36">
            <v>0</v>
          </cell>
          <cell r="I36">
            <v>0</v>
          </cell>
          <cell r="J36">
            <v>0</v>
          </cell>
          <cell r="K36">
            <v>8827</v>
          </cell>
        </row>
        <row r="37">
          <cell r="A37">
            <v>31</v>
          </cell>
          <cell r="C37" t="str">
            <v>Lincoln</v>
          </cell>
          <cell r="D37">
            <v>0</v>
          </cell>
          <cell r="E37">
            <v>-2374</v>
          </cell>
          <cell r="F37">
            <v>-3796</v>
          </cell>
          <cell r="G37">
            <v>4903</v>
          </cell>
          <cell r="H37">
            <v>0</v>
          </cell>
          <cell r="I37">
            <v>0</v>
          </cell>
          <cell r="J37">
            <v>0</v>
          </cell>
          <cell r="K37">
            <v>-1267</v>
          </cell>
        </row>
        <row r="38">
          <cell r="A38">
            <v>32</v>
          </cell>
          <cell r="C38" t="str">
            <v>Livingston</v>
          </cell>
          <cell r="D38">
            <v>-107882</v>
          </cell>
          <cell r="E38">
            <v>-6346</v>
          </cell>
          <cell r="F38">
            <v>-119771</v>
          </cell>
          <cell r="G38">
            <v>94845</v>
          </cell>
          <cell r="H38">
            <v>15808</v>
          </cell>
          <cell r="I38">
            <v>0</v>
          </cell>
          <cell r="J38">
            <v>0</v>
          </cell>
          <cell r="K38">
            <v>-123346</v>
          </cell>
        </row>
        <row r="39">
          <cell r="A39">
            <v>33</v>
          </cell>
          <cell r="C39" t="str">
            <v>Madison</v>
          </cell>
          <cell r="D39">
            <v>-50352</v>
          </cell>
          <cell r="E39">
            <v>-9441</v>
          </cell>
          <cell r="F39">
            <v>-59203</v>
          </cell>
          <cell r="G39">
            <v>45598</v>
          </cell>
          <cell r="H39">
            <v>13028</v>
          </cell>
          <cell r="I39">
            <v>0</v>
          </cell>
          <cell r="J39">
            <v>0</v>
          </cell>
          <cell r="K39">
            <v>-60370</v>
          </cell>
        </row>
        <row r="40">
          <cell r="A40">
            <v>34</v>
          </cell>
          <cell r="C40" t="str">
            <v>Morehouse</v>
          </cell>
          <cell r="D40">
            <v>13786</v>
          </cell>
          <cell r="E40">
            <v>-6893</v>
          </cell>
          <cell r="F40">
            <v>0</v>
          </cell>
          <cell r="G40">
            <v>-7057</v>
          </cell>
          <cell r="H40">
            <v>3529</v>
          </cell>
          <cell r="I40">
            <v>0</v>
          </cell>
          <cell r="J40">
            <v>0</v>
          </cell>
          <cell r="K40">
            <v>3365</v>
          </cell>
        </row>
        <row r="41">
          <cell r="A41">
            <v>35</v>
          </cell>
          <cell r="C41" t="str">
            <v>Natchitoches</v>
          </cell>
          <cell r="D41">
            <v>-16674</v>
          </cell>
          <cell r="E41">
            <v>-11116</v>
          </cell>
          <cell r="F41">
            <v>-34151</v>
          </cell>
          <cell r="G41">
            <v>39067</v>
          </cell>
          <cell r="H41">
            <v>0</v>
          </cell>
          <cell r="I41">
            <v>0</v>
          </cell>
          <cell r="J41">
            <v>3574</v>
          </cell>
          <cell r="K41">
            <v>-19300</v>
          </cell>
        </row>
        <row r="42">
          <cell r="A42">
            <v>36</v>
          </cell>
          <cell r="C42" t="str">
            <v>Orleans</v>
          </cell>
          <cell r="D42">
            <v>-51522</v>
          </cell>
          <cell r="E42">
            <v>-74230</v>
          </cell>
          <cell r="F42">
            <v>-214116</v>
          </cell>
          <cell r="G42">
            <v>112476</v>
          </cell>
          <cell r="H42">
            <v>71379</v>
          </cell>
          <cell r="I42">
            <v>0</v>
          </cell>
          <cell r="J42">
            <v>0</v>
          </cell>
          <cell r="K42">
            <v>-156013</v>
          </cell>
          <cell r="L42">
            <v>-26695</v>
          </cell>
          <cell r="M42">
            <v>-99178</v>
          </cell>
          <cell r="S42">
            <v>-125873</v>
          </cell>
        </row>
        <row r="43">
          <cell r="A43">
            <v>37</v>
          </cell>
          <cell r="C43" t="str">
            <v>Ouachita</v>
          </cell>
          <cell r="D43">
            <v>-81237</v>
          </cell>
          <cell r="E43">
            <v>15623</v>
          </cell>
          <cell r="F43">
            <v>-61967</v>
          </cell>
          <cell r="G43">
            <v>44450</v>
          </cell>
          <cell r="H43">
            <v>9525</v>
          </cell>
          <cell r="I43">
            <v>0</v>
          </cell>
          <cell r="J43">
            <v>0</v>
          </cell>
          <cell r="K43">
            <v>-73606</v>
          </cell>
        </row>
        <row r="44">
          <cell r="A44">
            <v>38</v>
          </cell>
          <cell r="C44" t="str">
            <v>Plaquemines</v>
          </cell>
          <cell r="D44">
            <v>-5492</v>
          </cell>
          <cell r="E44">
            <v>-23341</v>
          </cell>
          <cell r="F44">
            <v>-51186</v>
          </cell>
          <cell r="G44">
            <v>52554</v>
          </cell>
          <cell r="H44">
            <v>0</v>
          </cell>
          <cell r="I44">
            <v>0</v>
          </cell>
          <cell r="J44">
            <v>0</v>
          </cell>
          <cell r="K44">
            <v>-27465</v>
          </cell>
        </row>
        <row r="45">
          <cell r="A45">
            <v>39</v>
          </cell>
          <cell r="C45" t="str">
            <v>Pointe Coupee</v>
          </cell>
          <cell r="D45">
            <v>4220</v>
          </cell>
          <cell r="E45">
            <v>-37980</v>
          </cell>
          <cell r="F45">
            <v>-59740</v>
          </cell>
          <cell r="G45">
            <v>54900</v>
          </cell>
          <cell r="H45">
            <v>3660</v>
          </cell>
          <cell r="I45">
            <v>0</v>
          </cell>
          <cell r="J45">
            <v>0</v>
          </cell>
          <cell r="K45">
            <v>-34940</v>
          </cell>
        </row>
        <row r="46">
          <cell r="A46">
            <v>40</v>
          </cell>
          <cell r="C46" t="str">
            <v>Rapides</v>
          </cell>
          <cell r="D46">
            <v>-83720</v>
          </cell>
          <cell r="E46">
            <v>-44850</v>
          </cell>
          <cell r="F46">
            <v>-192612</v>
          </cell>
          <cell r="G46">
            <v>150825</v>
          </cell>
          <cell r="H46">
            <v>30165</v>
          </cell>
          <cell r="I46">
            <v>0</v>
          </cell>
          <cell r="J46">
            <v>0</v>
          </cell>
          <cell r="K46">
            <v>-140192</v>
          </cell>
        </row>
        <row r="47">
          <cell r="A47">
            <v>41</v>
          </cell>
          <cell r="C47" t="str">
            <v>Red River</v>
          </cell>
          <cell r="D47">
            <v>-3616</v>
          </cell>
          <cell r="E47">
            <v>0</v>
          </cell>
          <cell r="F47">
            <v>11898</v>
          </cell>
          <cell r="G47">
            <v>-7680</v>
          </cell>
          <cell r="H47">
            <v>5760</v>
          </cell>
          <cell r="I47">
            <v>0</v>
          </cell>
          <cell r="J47">
            <v>0</v>
          </cell>
          <cell r="K47">
            <v>6362</v>
          </cell>
        </row>
        <row r="48">
          <cell r="A48">
            <v>42</v>
          </cell>
          <cell r="C48" t="str">
            <v>Richland</v>
          </cell>
          <cell r="D48">
            <v>-5727</v>
          </cell>
          <cell r="E48">
            <v>5727</v>
          </cell>
          <cell r="F48">
            <v>-3681</v>
          </cell>
          <cell r="G48">
            <v>0</v>
          </cell>
          <cell r="H48">
            <v>2847</v>
          </cell>
          <cell r="I48">
            <v>0</v>
          </cell>
          <cell r="J48">
            <v>0</v>
          </cell>
          <cell r="K48">
            <v>-834</v>
          </cell>
        </row>
        <row r="49">
          <cell r="A49">
            <v>43</v>
          </cell>
          <cell r="C49" t="str">
            <v>Sabine</v>
          </cell>
          <cell r="D49">
            <v>-19668</v>
          </cell>
          <cell r="E49">
            <v>22946</v>
          </cell>
          <cell r="F49">
            <v>19516</v>
          </cell>
          <cell r="G49">
            <v>-27172</v>
          </cell>
          <cell r="H49">
            <v>3397</v>
          </cell>
          <cell r="I49">
            <v>0</v>
          </cell>
          <cell r="J49">
            <v>0</v>
          </cell>
          <cell r="K49">
            <v>-981</v>
          </cell>
        </row>
        <row r="50">
          <cell r="A50">
            <v>44</v>
          </cell>
          <cell r="C50" t="str">
            <v>St. Bernard</v>
          </cell>
          <cell r="D50">
            <v>-71688</v>
          </cell>
          <cell r="E50">
            <v>29870</v>
          </cell>
          <cell r="F50">
            <v>-15170</v>
          </cell>
          <cell r="G50">
            <v>-5919</v>
          </cell>
          <cell r="H50">
            <v>8879</v>
          </cell>
          <cell r="I50">
            <v>0</v>
          </cell>
          <cell r="J50">
            <v>0</v>
          </cell>
          <cell r="K50">
            <v>-54028</v>
          </cell>
        </row>
        <row r="51">
          <cell r="A51">
            <v>45</v>
          </cell>
          <cell r="C51" t="str">
            <v>St. Charles</v>
          </cell>
          <cell r="D51">
            <v>3193</v>
          </cell>
          <cell r="E51">
            <v>-3193</v>
          </cell>
          <cell r="F51">
            <v>-3008</v>
          </cell>
          <cell r="G51">
            <v>3230</v>
          </cell>
          <cell r="H51">
            <v>0</v>
          </cell>
          <cell r="I51">
            <v>0</v>
          </cell>
          <cell r="J51">
            <v>0</v>
          </cell>
          <cell r="K51">
            <v>222</v>
          </cell>
        </row>
        <row r="52">
          <cell r="A52">
            <v>46</v>
          </cell>
          <cell r="C52" t="str">
            <v>St. Helena</v>
          </cell>
          <cell r="D52">
            <v>-84568</v>
          </cell>
          <cell r="E52">
            <v>26908</v>
          </cell>
          <cell r="F52">
            <v>-30947</v>
          </cell>
          <cell r="G52">
            <v>30496</v>
          </cell>
          <cell r="H52">
            <v>3812</v>
          </cell>
          <cell r="I52">
            <v>0</v>
          </cell>
          <cell r="J52">
            <v>532</v>
          </cell>
          <cell r="K52">
            <v>-53767</v>
          </cell>
        </row>
        <row r="53">
          <cell r="A53">
            <v>47</v>
          </cell>
          <cell r="C53" t="str">
            <v>St. James</v>
          </cell>
          <cell r="D53">
            <v>-3445</v>
          </cell>
          <cell r="E53">
            <v>0</v>
          </cell>
          <cell r="F53">
            <v>-9080</v>
          </cell>
          <cell r="G53">
            <v>14588</v>
          </cell>
          <cell r="H53">
            <v>0</v>
          </cell>
          <cell r="I53">
            <v>0</v>
          </cell>
          <cell r="J53">
            <v>0</v>
          </cell>
          <cell r="K53">
            <v>2063</v>
          </cell>
        </row>
        <row r="54">
          <cell r="A54">
            <v>48</v>
          </cell>
          <cell r="C54" t="str">
            <v>St. John the Baptist</v>
          </cell>
          <cell r="D54">
            <v>-38608</v>
          </cell>
          <cell r="E54">
            <v>-38608</v>
          </cell>
          <cell r="F54">
            <v>-122186</v>
          </cell>
          <cell r="G54">
            <v>114180</v>
          </cell>
          <cell r="H54">
            <v>10380</v>
          </cell>
          <cell r="I54">
            <v>0</v>
          </cell>
          <cell r="J54">
            <v>0</v>
          </cell>
          <cell r="K54">
            <v>-74842</v>
          </cell>
        </row>
        <row r="55">
          <cell r="A55">
            <v>49</v>
          </cell>
          <cell r="C55" t="str">
            <v>St. Landry</v>
          </cell>
          <cell r="D55">
            <v>-57860</v>
          </cell>
          <cell r="E55">
            <v>14465</v>
          </cell>
          <cell r="F55">
            <v>-49063</v>
          </cell>
          <cell r="G55">
            <v>40698</v>
          </cell>
          <cell r="H55">
            <v>2907</v>
          </cell>
          <cell r="I55">
            <v>0</v>
          </cell>
          <cell r="J55">
            <v>0</v>
          </cell>
          <cell r="K55">
            <v>-48853</v>
          </cell>
        </row>
        <row r="56">
          <cell r="A56">
            <v>50</v>
          </cell>
          <cell r="C56" t="str">
            <v>St. Martin</v>
          </cell>
          <cell r="D56">
            <v>5895</v>
          </cell>
          <cell r="E56">
            <v>-8843</v>
          </cell>
          <cell r="F56">
            <v>-5121</v>
          </cell>
          <cell r="G56">
            <v>5951</v>
          </cell>
          <cell r="H56">
            <v>2976</v>
          </cell>
          <cell r="I56">
            <v>0</v>
          </cell>
          <cell r="J56">
            <v>0</v>
          </cell>
          <cell r="K56">
            <v>858</v>
          </cell>
        </row>
        <row r="57">
          <cell r="A57">
            <v>51</v>
          </cell>
          <cell r="C57" t="str">
            <v>St. Mary</v>
          </cell>
          <cell r="D57">
            <v>-5560</v>
          </cell>
          <cell r="E57">
            <v>-13900</v>
          </cell>
          <cell r="F57">
            <v>-26261</v>
          </cell>
          <cell r="G57">
            <v>33180</v>
          </cell>
          <cell r="H57">
            <v>0</v>
          </cell>
          <cell r="I57">
            <v>0</v>
          </cell>
          <cell r="J57">
            <v>0</v>
          </cell>
          <cell r="K57">
            <v>-12541</v>
          </cell>
        </row>
        <row r="58">
          <cell r="A58">
            <v>52</v>
          </cell>
          <cell r="C58" t="str">
            <v>St. Tammany</v>
          </cell>
          <cell r="D58">
            <v>187572</v>
          </cell>
          <cell r="E58">
            <v>-187572</v>
          </cell>
          <cell r="F58">
            <v>-176288</v>
          </cell>
          <cell r="G58">
            <v>200515</v>
          </cell>
          <cell r="H58">
            <v>5729</v>
          </cell>
          <cell r="I58">
            <v>0</v>
          </cell>
          <cell r="J58">
            <v>0</v>
          </cell>
          <cell r="K58">
            <v>29956</v>
          </cell>
        </row>
        <row r="59">
          <cell r="A59">
            <v>53</v>
          </cell>
          <cell r="C59" t="str">
            <v>Tangipahoa</v>
          </cell>
          <cell r="D59">
            <v>11858</v>
          </cell>
          <cell r="E59">
            <v>2965</v>
          </cell>
          <cell r="F59">
            <v>18002</v>
          </cell>
          <cell r="G59">
            <v>-17682</v>
          </cell>
          <cell r="H59">
            <v>5894</v>
          </cell>
          <cell r="I59">
            <v>0</v>
          </cell>
          <cell r="J59">
            <v>5304</v>
          </cell>
          <cell r="K59">
            <v>26341</v>
          </cell>
        </row>
        <row r="60">
          <cell r="A60">
            <v>54</v>
          </cell>
          <cell r="C60" t="str">
            <v>Tensas</v>
          </cell>
          <cell r="D60">
            <v>-43296</v>
          </cell>
          <cell r="E60">
            <v>10824</v>
          </cell>
          <cell r="F60">
            <v>7774</v>
          </cell>
          <cell r="G60">
            <v>20319</v>
          </cell>
          <cell r="H60">
            <v>0</v>
          </cell>
          <cell r="I60">
            <v>-552</v>
          </cell>
          <cell r="J60">
            <v>0</v>
          </cell>
          <cell r="K60">
            <v>-4931</v>
          </cell>
        </row>
        <row r="61">
          <cell r="A61">
            <v>55</v>
          </cell>
          <cell r="C61" t="str">
            <v>Terrebonne</v>
          </cell>
          <cell r="D61">
            <v>0</v>
          </cell>
          <cell r="E61">
            <v>-16308</v>
          </cell>
          <cell r="F61">
            <v>-25985</v>
          </cell>
          <cell r="G61">
            <v>27670</v>
          </cell>
          <cell r="H61">
            <v>2767</v>
          </cell>
          <cell r="I61">
            <v>0</v>
          </cell>
          <cell r="J61">
            <v>0</v>
          </cell>
          <cell r="K61">
            <v>-11856</v>
          </cell>
        </row>
        <row r="62">
          <cell r="A62">
            <v>56</v>
          </cell>
          <cell r="C62" t="str">
            <v>Union</v>
          </cell>
          <cell r="D62">
            <v>-20346</v>
          </cell>
          <cell r="E62">
            <v>3391</v>
          </cell>
          <cell r="F62">
            <v>-6149</v>
          </cell>
          <cell r="G62">
            <v>13798</v>
          </cell>
          <cell r="H62">
            <v>0</v>
          </cell>
          <cell r="I62">
            <v>0</v>
          </cell>
          <cell r="J62">
            <v>0</v>
          </cell>
          <cell r="K62">
            <v>-9306</v>
          </cell>
        </row>
        <row r="63">
          <cell r="A63">
            <v>57</v>
          </cell>
          <cell r="C63" t="str">
            <v>Vermilion</v>
          </cell>
          <cell r="D63">
            <v>0</v>
          </cell>
          <cell r="E63">
            <v>5725</v>
          </cell>
          <cell r="F63">
            <v>4811</v>
          </cell>
          <cell r="G63">
            <v>-5909</v>
          </cell>
          <cell r="H63">
            <v>0</v>
          </cell>
          <cell r="I63">
            <v>0</v>
          </cell>
          <cell r="J63">
            <v>19889</v>
          </cell>
          <cell r="K63">
            <v>24516</v>
          </cell>
        </row>
        <row r="64">
          <cell r="A64">
            <v>58</v>
          </cell>
          <cell r="C64" t="str">
            <v>Vernon</v>
          </cell>
          <cell r="D64">
            <v>-6560</v>
          </cell>
          <cell r="E64">
            <v>13120</v>
          </cell>
          <cell r="F64">
            <v>24321</v>
          </cell>
          <cell r="G64">
            <v>-13256</v>
          </cell>
          <cell r="H64">
            <v>0</v>
          </cell>
          <cell r="I64">
            <v>0</v>
          </cell>
          <cell r="J64">
            <v>0</v>
          </cell>
          <cell r="K64">
            <v>17625</v>
          </cell>
        </row>
        <row r="65">
          <cell r="A65">
            <v>59</v>
          </cell>
          <cell r="C65" t="str">
            <v>Washington</v>
          </cell>
          <cell r="D65">
            <v>14400</v>
          </cell>
          <cell r="E65">
            <v>-10800</v>
          </cell>
          <cell r="F65">
            <v>-4366</v>
          </cell>
          <cell r="G65">
            <v>7229</v>
          </cell>
          <cell r="H65">
            <v>0</v>
          </cell>
          <cell r="I65">
            <v>0</v>
          </cell>
          <cell r="J65">
            <v>0</v>
          </cell>
          <cell r="K65">
            <v>6463</v>
          </cell>
        </row>
        <row r="66">
          <cell r="A66">
            <v>60</v>
          </cell>
          <cell r="C66" t="str">
            <v>Webster</v>
          </cell>
          <cell r="D66">
            <v>-6203</v>
          </cell>
          <cell r="E66">
            <v>-9305</v>
          </cell>
          <cell r="F66">
            <v>-14723</v>
          </cell>
          <cell r="G66">
            <v>18684</v>
          </cell>
          <cell r="H66">
            <v>6228</v>
          </cell>
          <cell r="I66">
            <v>0</v>
          </cell>
          <cell r="J66">
            <v>0</v>
          </cell>
          <cell r="K66">
            <v>-5319</v>
          </cell>
        </row>
        <row r="67">
          <cell r="A67">
            <v>61</v>
          </cell>
          <cell r="C67" t="str">
            <v>West Baton Rouge</v>
          </cell>
          <cell r="D67">
            <v>-6872</v>
          </cell>
          <cell r="E67">
            <v>3436</v>
          </cell>
          <cell r="F67">
            <v>7222</v>
          </cell>
          <cell r="G67">
            <v>3660</v>
          </cell>
          <cell r="H67">
            <v>0</v>
          </cell>
          <cell r="I67">
            <v>0</v>
          </cell>
          <cell r="J67">
            <v>0</v>
          </cell>
          <cell r="K67">
            <v>7446</v>
          </cell>
        </row>
        <row r="68">
          <cell r="A68">
            <v>62</v>
          </cell>
          <cell r="C68" t="str">
            <v>West Carroll</v>
          </cell>
          <cell r="D68">
            <v>-26636</v>
          </cell>
          <cell r="E68">
            <v>6659</v>
          </cell>
          <cell r="F68">
            <v>-15522</v>
          </cell>
          <cell r="G68">
            <v>13520</v>
          </cell>
          <cell r="H68">
            <v>0</v>
          </cell>
          <cell r="I68">
            <v>0</v>
          </cell>
          <cell r="J68">
            <v>0</v>
          </cell>
          <cell r="K68">
            <v>-21979</v>
          </cell>
        </row>
        <row r="69">
          <cell r="A69">
            <v>63</v>
          </cell>
          <cell r="C69" t="str">
            <v>West Feliciana</v>
          </cell>
          <cell r="D69">
            <v>4978</v>
          </cell>
          <cell r="E69">
            <v>2489</v>
          </cell>
          <cell r="F69">
            <v>7691</v>
          </cell>
          <cell r="G69">
            <v>-9452</v>
          </cell>
          <cell r="H69">
            <v>0</v>
          </cell>
          <cell r="I69">
            <v>0</v>
          </cell>
          <cell r="J69">
            <v>0</v>
          </cell>
          <cell r="K69">
            <v>5706</v>
          </cell>
        </row>
        <row r="70">
          <cell r="A70">
            <v>64</v>
          </cell>
          <cell r="C70" t="str">
            <v>Winn</v>
          </cell>
          <cell r="D70">
            <v>0</v>
          </cell>
          <cell r="E70">
            <v>-3556</v>
          </cell>
          <cell r="F70">
            <v>-1154</v>
          </cell>
          <cell r="G70">
            <v>7205</v>
          </cell>
          <cell r="H70">
            <v>0</v>
          </cell>
          <cell r="I70">
            <v>0</v>
          </cell>
          <cell r="J70">
            <v>552</v>
          </cell>
          <cell r="K70">
            <v>3047</v>
          </cell>
        </row>
        <row r="71">
          <cell r="A71">
            <v>65</v>
          </cell>
          <cell r="C71" t="str">
            <v>City of Monroe</v>
          </cell>
          <cell r="D71">
            <v>-34044</v>
          </cell>
          <cell r="E71">
            <v>0</v>
          </cell>
          <cell r="F71">
            <v>-47306</v>
          </cell>
          <cell r="G71">
            <v>34248</v>
          </cell>
          <cell r="H71">
            <v>8562</v>
          </cell>
          <cell r="I71">
            <v>0</v>
          </cell>
          <cell r="J71">
            <v>0</v>
          </cell>
          <cell r="K71">
            <v>-38540</v>
          </cell>
        </row>
        <row r="72">
          <cell r="A72">
            <v>66</v>
          </cell>
          <cell r="C72" t="str">
            <v>City of Bogalusa</v>
          </cell>
          <cell r="D72">
            <v>0</v>
          </cell>
          <cell r="E72">
            <v>0</v>
          </cell>
          <cell r="F72">
            <v>4469</v>
          </cell>
          <cell r="G72">
            <v>-7525</v>
          </cell>
          <cell r="H72">
            <v>3763</v>
          </cell>
          <cell r="I72">
            <v>0</v>
          </cell>
          <cell r="J72">
            <v>0</v>
          </cell>
          <cell r="K72">
            <v>707</v>
          </cell>
        </row>
        <row r="73">
          <cell r="A73">
            <v>67</v>
          </cell>
          <cell r="C73" t="str">
            <v>Zachary Community</v>
          </cell>
          <cell r="D73">
            <v>-12038</v>
          </cell>
          <cell r="E73">
            <v>0</v>
          </cell>
          <cell r="F73">
            <v>-9563</v>
          </cell>
          <cell r="G73">
            <v>11794</v>
          </cell>
          <cell r="H73">
            <v>0</v>
          </cell>
          <cell r="I73">
            <v>0</v>
          </cell>
          <cell r="J73">
            <v>99299</v>
          </cell>
          <cell r="K73">
            <v>89492</v>
          </cell>
        </row>
        <row r="74">
          <cell r="A74">
            <v>68</v>
          </cell>
          <cell r="C74" t="str">
            <v>City of Baker</v>
          </cell>
          <cell r="D74">
            <v>-22188</v>
          </cell>
          <cell r="E74">
            <v>3698</v>
          </cell>
          <cell r="F74">
            <v>-15839</v>
          </cell>
          <cell r="G74">
            <v>15092</v>
          </cell>
          <cell r="H74">
            <v>0</v>
          </cell>
          <cell r="I74">
            <v>439</v>
          </cell>
          <cell r="J74">
            <v>-65734</v>
          </cell>
          <cell r="K74">
            <v>-84532</v>
          </cell>
        </row>
        <row r="75">
          <cell r="A75">
            <v>69</v>
          </cell>
          <cell r="C75" t="str">
            <v>Central Community</v>
          </cell>
          <cell r="D75">
            <v>0</v>
          </cell>
          <cell r="E75">
            <v>6808</v>
          </cell>
          <cell r="F75">
            <v>1207</v>
          </cell>
          <cell r="G75">
            <v>-6458</v>
          </cell>
          <cell r="H75">
            <v>0</v>
          </cell>
          <cell r="I75">
            <v>0</v>
          </cell>
          <cell r="J75">
            <v>-312176</v>
          </cell>
          <cell r="K75">
            <v>-310619</v>
          </cell>
        </row>
        <row r="76">
          <cell r="C76" t="str">
            <v>Total City/Parish</v>
          </cell>
          <cell r="D76">
            <v>-1285212</v>
          </cell>
          <cell r="E76">
            <v>-596552</v>
          </cell>
          <cell r="F76">
            <v>-2620003</v>
          </cell>
          <cell r="G76">
            <v>2221633</v>
          </cell>
          <cell r="H76">
            <v>451406</v>
          </cell>
          <cell r="I76">
            <v>-113</v>
          </cell>
          <cell r="J76">
            <v>36882</v>
          </cell>
          <cell r="K76">
            <v>-1791959</v>
          </cell>
          <cell r="L76">
            <v>-26695</v>
          </cell>
          <cell r="M76">
            <v>-99178</v>
          </cell>
          <cell r="S76">
            <v>-125873</v>
          </cell>
        </row>
        <row r="78">
          <cell r="A78">
            <v>341001</v>
          </cell>
          <cell r="C78" t="str">
            <v xml:space="preserve">D'Arbonne Woods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</row>
        <row r="79">
          <cell r="A79">
            <v>343001</v>
          </cell>
          <cell r="C79" t="str">
            <v>Madison Prep</v>
          </cell>
          <cell r="D79">
            <v>0</v>
          </cell>
          <cell r="E79">
            <v>0</v>
          </cell>
          <cell r="F79">
            <v>-3603</v>
          </cell>
          <cell r="G79">
            <v>3603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-7562</v>
          </cell>
          <cell r="O79">
            <v>7562</v>
          </cell>
          <cell r="P79">
            <v>0</v>
          </cell>
          <cell r="R79">
            <v>0</v>
          </cell>
          <cell r="S79">
            <v>0</v>
          </cell>
        </row>
        <row r="80">
          <cell r="A80">
            <v>344001</v>
          </cell>
          <cell r="C80" t="str">
            <v xml:space="preserve">Int'l High School of N. O. 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</row>
        <row r="81">
          <cell r="A81">
            <v>345001</v>
          </cell>
          <cell r="C81" t="str">
            <v>University View Academy (90%)</v>
          </cell>
          <cell r="D81">
            <v>-244572</v>
          </cell>
          <cell r="E81">
            <v>19236</v>
          </cell>
          <cell r="F81">
            <v>-206992</v>
          </cell>
          <cell r="G81">
            <v>168006</v>
          </cell>
          <cell r="H81">
            <v>19492</v>
          </cell>
          <cell r="J81">
            <v>0</v>
          </cell>
          <cell r="K81">
            <v>-244830</v>
          </cell>
          <cell r="L81">
            <v>-297081</v>
          </cell>
          <cell r="M81">
            <v>21666</v>
          </cell>
          <cell r="N81">
            <v>-256444</v>
          </cell>
          <cell r="O81">
            <v>205475</v>
          </cell>
          <cell r="P81">
            <v>25486</v>
          </cell>
          <cell r="R81">
            <v>0</v>
          </cell>
          <cell r="S81">
            <v>-300898</v>
          </cell>
        </row>
        <row r="82">
          <cell r="A82">
            <v>346001</v>
          </cell>
          <cell r="C82" t="str">
            <v xml:space="preserve">Lake Charles Charter Academy </v>
          </cell>
          <cell r="D82">
            <v>0</v>
          </cell>
          <cell r="E82">
            <v>553</v>
          </cell>
          <cell r="F82">
            <v>929</v>
          </cell>
          <cell r="G82">
            <v>-929</v>
          </cell>
          <cell r="H82">
            <v>0</v>
          </cell>
          <cell r="J82">
            <v>0</v>
          </cell>
          <cell r="K82">
            <v>553</v>
          </cell>
          <cell r="L82">
            <v>0</v>
          </cell>
          <cell r="M82">
            <v>-2893</v>
          </cell>
          <cell r="N82">
            <v>-5446</v>
          </cell>
          <cell r="O82">
            <v>5446</v>
          </cell>
          <cell r="P82">
            <v>0</v>
          </cell>
          <cell r="R82">
            <v>0</v>
          </cell>
          <cell r="S82">
            <v>-2893</v>
          </cell>
        </row>
        <row r="83">
          <cell r="A83">
            <v>347001</v>
          </cell>
          <cell r="C83" t="str">
            <v>LFNO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-231826</v>
          </cell>
          <cell r="S83">
            <v>-231826</v>
          </cell>
        </row>
        <row r="84">
          <cell r="A84">
            <v>348001</v>
          </cell>
          <cell r="C84" t="str">
            <v>New Orleans Military/Maritime</v>
          </cell>
          <cell r="D84">
            <v>0</v>
          </cell>
          <cell r="E84">
            <v>1571</v>
          </cell>
          <cell r="F84">
            <v>3158</v>
          </cell>
          <cell r="G84">
            <v>-3158</v>
          </cell>
          <cell r="H84">
            <v>0</v>
          </cell>
          <cell r="J84">
            <v>0</v>
          </cell>
          <cell r="K84">
            <v>1571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A85" t="str">
            <v>W18001</v>
          </cell>
          <cell r="C85" t="str">
            <v>Noble Minds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-23954</v>
          </cell>
          <cell r="S85">
            <v>-23954</v>
          </cell>
        </row>
        <row r="86">
          <cell r="A86" t="str">
            <v>W1A001</v>
          </cell>
          <cell r="C86" t="str">
            <v>JCFA - East</v>
          </cell>
          <cell r="D86">
            <v>4196</v>
          </cell>
          <cell r="E86">
            <v>-1919</v>
          </cell>
          <cell r="F86">
            <v>-7627</v>
          </cell>
          <cell r="G86">
            <v>-13551</v>
          </cell>
          <cell r="H86">
            <v>10589</v>
          </cell>
          <cell r="J86">
            <v>0</v>
          </cell>
          <cell r="K86">
            <v>-8312</v>
          </cell>
          <cell r="L86">
            <v>5208</v>
          </cell>
          <cell r="M86">
            <v>-3076</v>
          </cell>
          <cell r="N86">
            <v>-11670</v>
          </cell>
          <cell r="O86">
            <v>-14645</v>
          </cell>
          <cell r="P86">
            <v>13158</v>
          </cell>
          <cell r="R86">
            <v>0</v>
          </cell>
          <cell r="S86">
            <v>-11025</v>
          </cell>
        </row>
        <row r="87">
          <cell r="A87" t="str">
            <v>W1B001</v>
          </cell>
          <cell r="C87" t="str">
            <v>Advantage Charter Academy</v>
          </cell>
          <cell r="D87">
            <v>0</v>
          </cell>
          <cell r="E87">
            <v>7641</v>
          </cell>
          <cell r="F87">
            <v>14411</v>
          </cell>
          <cell r="G87">
            <v>-14411</v>
          </cell>
          <cell r="H87">
            <v>0</v>
          </cell>
          <cell r="J87">
            <v>0</v>
          </cell>
          <cell r="K87">
            <v>7641</v>
          </cell>
          <cell r="L87">
            <v>0</v>
          </cell>
          <cell r="M87">
            <v>15442</v>
          </cell>
          <cell r="N87">
            <v>30248</v>
          </cell>
          <cell r="O87">
            <v>-30248</v>
          </cell>
          <cell r="P87">
            <v>0</v>
          </cell>
          <cell r="R87">
            <v>0</v>
          </cell>
          <cell r="S87">
            <v>15442</v>
          </cell>
        </row>
        <row r="88">
          <cell r="A88" t="str">
            <v>W1D001</v>
          </cell>
          <cell r="C88" t="str">
            <v>JCFA - Lafayette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A89" t="str">
            <v>W2B001</v>
          </cell>
          <cell r="C89" t="str">
            <v>Willow Charter Academy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</row>
        <row r="90">
          <cell r="A90" t="str">
            <v>W33001</v>
          </cell>
          <cell r="C90" t="str">
            <v>Lincoln Prep School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</row>
        <row r="91">
          <cell r="A91" t="str">
            <v>W37001</v>
          </cell>
          <cell r="C91" t="str">
            <v>Greater Grace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</row>
        <row r="92">
          <cell r="A92" t="str">
            <v>W3B001</v>
          </cell>
          <cell r="C92" t="str">
            <v>Iberville Charter Academy</v>
          </cell>
          <cell r="D92">
            <v>2565</v>
          </cell>
          <cell r="E92">
            <v>-1282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1283</v>
          </cell>
          <cell r="L92">
            <v>13593</v>
          </cell>
          <cell r="M92">
            <v>-6797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6796</v>
          </cell>
        </row>
        <row r="93">
          <cell r="A93" t="str">
            <v>W4A001</v>
          </cell>
          <cell r="C93" t="str">
            <v xml:space="preserve">Delta Charter School </v>
          </cell>
          <cell r="D93">
            <v>0</v>
          </cell>
          <cell r="E93">
            <v>2130</v>
          </cell>
          <cell r="F93">
            <v>3980</v>
          </cell>
          <cell r="G93">
            <v>-3980</v>
          </cell>
          <cell r="H93">
            <v>0</v>
          </cell>
          <cell r="J93">
            <v>0</v>
          </cell>
          <cell r="K93">
            <v>2130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</row>
        <row r="94">
          <cell r="A94" t="str">
            <v>W4B001</v>
          </cell>
          <cell r="C94" t="str">
            <v>Lake Charles College Prep</v>
          </cell>
          <cell r="D94">
            <v>0</v>
          </cell>
          <cell r="E94">
            <v>3841</v>
          </cell>
          <cell r="F94">
            <v>7388</v>
          </cell>
          <cell r="G94">
            <v>-7388</v>
          </cell>
          <cell r="H94">
            <v>0</v>
          </cell>
          <cell r="J94">
            <v>0</v>
          </cell>
          <cell r="K94">
            <v>3841</v>
          </cell>
          <cell r="L94">
            <v>0</v>
          </cell>
          <cell r="M94">
            <v>6714</v>
          </cell>
          <cell r="N94">
            <v>15626</v>
          </cell>
          <cell r="O94">
            <v>-15626</v>
          </cell>
          <cell r="P94">
            <v>0</v>
          </cell>
          <cell r="R94">
            <v>0</v>
          </cell>
          <cell r="S94">
            <v>6714</v>
          </cell>
        </row>
        <row r="95">
          <cell r="A95" t="str">
            <v>W5B001</v>
          </cell>
          <cell r="C95" t="str">
            <v>Northeast Claiborne Charter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</row>
        <row r="96">
          <cell r="A96" t="str">
            <v>W6B001</v>
          </cell>
          <cell r="C96" t="str">
            <v>Acadiana Renaissance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A97" t="str">
            <v>W7A001</v>
          </cell>
          <cell r="C97" t="str">
            <v xml:space="preserve">Louisiana Key Academy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A98" t="str">
            <v>W7B001</v>
          </cell>
          <cell r="C98" t="str">
            <v>Lafayette Renaissance</v>
          </cell>
          <cell r="D98">
            <v>9194</v>
          </cell>
          <cell r="E98">
            <v>-6318</v>
          </cell>
          <cell r="F98">
            <v>-3408</v>
          </cell>
          <cell r="G98">
            <v>3408</v>
          </cell>
          <cell r="H98">
            <v>0</v>
          </cell>
          <cell r="J98">
            <v>0</v>
          </cell>
          <cell r="K98">
            <v>2876</v>
          </cell>
          <cell r="L98">
            <v>8267</v>
          </cell>
          <cell r="M98">
            <v>-7026</v>
          </cell>
          <cell r="N98">
            <v>-5742</v>
          </cell>
          <cell r="O98">
            <v>5742</v>
          </cell>
          <cell r="P98">
            <v>0</v>
          </cell>
          <cell r="R98">
            <v>0</v>
          </cell>
          <cell r="S98">
            <v>1241</v>
          </cell>
        </row>
        <row r="99">
          <cell r="A99" t="str">
            <v>W8A001</v>
          </cell>
          <cell r="C99" t="str">
            <v>Impact Charter</v>
          </cell>
          <cell r="D99">
            <v>3392</v>
          </cell>
          <cell r="E99">
            <v>214</v>
          </cell>
          <cell r="F99">
            <v>3603</v>
          </cell>
          <cell r="G99">
            <v>-3603</v>
          </cell>
          <cell r="H99">
            <v>0</v>
          </cell>
          <cell r="J99">
            <v>0</v>
          </cell>
          <cell r="K99">
            <v>3606</v>
          </cell>
          <cell r="L99">
            <v>7721</v>
          </cell>
          <cell r="M99">
            <v>0</v>
          </cell>
          <cell r="N99">
            <v>7562</v>
          </cell>
          <cell r="O99">
            <v>-7562</v>
          </cell>
          <cell r="P99">
            <v>0</v>
          </cell>
          <cell r="R99">
            <v>0</v>
          </cell>
          <cell r="S99">
            <v>7721</v>
          </cell>
        </row>
        <row r="100">
          <cell r="A100" t="str">
            <v>WAG001</v>
          </cell>
          <cell r="C100" t="str">
            <v>LAVCA (90%)</v>
          </cell>
          <cell r="D100">
            <v>-598</v>
          </cell>
          <cell r="E100">
            <v>7389</v>
          </cell>
          <cell r="F100">
            <v>14172</v>
          </cell>
          <cell r="G100">
            <v>-14172</v>
          </cell>
          <cell r="H100">
            <v>0</v>
          </cell>
          <cell r="J100">
            <v>0</v>
          </cell>
          <cell r="K100">
            <v>6791</v>
          </cell>
          <cell r="L100">
            <v>1002</v>
          </cell>
          <cell r="M100">
            <v>6812</v>
          </cell>
          <cell r="N100">
            <v>14349</v>
          </cell>
          <cell r="O100">
            <v>-14349</v>
          </cell>
          <cell r="P100">
            <v>0</v>
          </cell>
          <cell r="R100">
            <v>0</v>
          </cell>
          <cell r="S100">
            <v>7814</v>
          </cell>
        </row>
        <row r="101">
          <cell r="A101" t="str">
            <v>WAK001</v>
          </cell>
          <cell r="C101" t="str">
            <v xml:space="preserve">Southwest LA Charter School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A102" t="str">
            <v>WAL001</v>
          </cell>
          <cell r="C102" t="str">
            <v xml:space="preserve">J. S. Clark Leadership Academy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</row>
        <row r="103">
          <cell r="A103" t="str">
            <v>WAQ001</v>
          </cell>
          <cell r="C103" t="str">
            <v>Baton Rouge University Prep</v>
          </cell>
          <cell r="D103">
            <v>3821</v>
          </cell>
          <cell r="E103">
            <v>-1910</v>
          </cell>
          <cell r="F103">
            <v>0</v>
          </cell>
          <cell r="G103">
            <v>0</v>
          </cell>
          <cell r="H103">
            <v>0</v>
          </cell>
          <cell r="J103">
            <v>0</v>
          </cell>
          <cell r="K103">
            <v>1911</v>
          </cell>
          <cell r="L103">
            <v>7721</v>
          </cell>
          <cell r="M103">
            <v>-3861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3860</v>
          </cell>
        </row>
        <row r="104">
          <cell r="A104" t="str">
            <v>WAU001</v>
          </cell>
          <cell r="C104" t="str">
            <v>GEO Prep Academy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</row>
        <row r="105">
          <cell r="A105" t="str">
            <v>WBQ001</v>
          </cell>
          <cell r="C105" t="str">
            <v>New Harmony High School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</row>
        <row r="106">
          <cell r="A106" t="str">
            <v>WBR001</v>
          </cell>
          <cell r="C106" t="str">
            <v>Athlos Academy of Jefferson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</row>
        <row r="107">
          <cell r="A107" t="str">
            <v>WJ5001</v>
          </cell>
          <cell r="C107" t="str">
            <v>Collegiate Academies</v>
          </cell>
          <cell r="D107">
            <v>0</v>
          </cell>
          <cell r="E107">
            <v>3606</v>
          </cell>
          <cell r="F107">
            <v>6801</v>
          </cell>
          <cell r="G107">
            <v>-6801</v>
          </cell>
          <cell r="H107">
            <v>0</v>
          </cell>
          <cell r="J107">
            <v>0</v>
          </cell>
          <cell r="K107">
            <v>3606</v>
          </cell>
          <cell r="L107">
            <v>0</v>
          </cell>
          <cell r="M107">
            <v>7721</v>
          </cell>
          <cell r="N107">
            <v>15124</v>
          </cell>
          <cell r="O107">
            <v>-15124</v>
          </cell>
          <cell r="P107">
            <v>0</v>
          </cell>
          <cell r="R107">
            <v>0</v>
          </cell>
          <cell r="S107">
            <v>7721</v>
          </cell>
        </row>
        <row r="108">
          <cell r="A108" t="str">
            <v>WZ8001</v>
          </cell>
          <cell r="C108" t="str">
            <v>GEO Prep Mid-City of Great BR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C109" t="str">
            <v>Total New Type 2</v>
          </cell>
          <cell r="D109">
            <v>-222002</v>
          </cell>
          <cell r="E109">
            <v>34752</v>
          </cell>
          <cell r="F109">
            <v>-167188</v>
          </cell>
          <cell r="G109">
            <v>107024</v>
          </cell>
          <cell r="H109">
            <v>30081</v>
          </cell>
          <cell r="J109">
            <v>0</v>
          </cell>
          <cell r="K109">
            <v>-217333</v>
          </cell>
          <cell r="L109">
            <v>-253569</v>
          </cell>
          <cell r="M109">
            <v>34702</v>
          </cell>
          <cell r="N109">
            <v>-203955</v>
          </cell>
          <cell r="O109">
            <v>126671</v>
          </cell>
          <cell r="P109">
            <v>38644</v>
          </cell>
          <cell r="R109">
            <v>-255780</v>
          </cell>
          <cell r="S109">
            <v>-513287</v>
          </cell>
        </row>
        <row r="111">
          <cell r="A111">
            <v>396211</v>
          </cell>
          <cell r="C111" t="str">
            <v>Linwood Charter (RSD Operated)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S111">
            <v>0</v>
          </cell>
        </row>
        <row r="112">
          <cell r="A112" t="str">
            <v>WA7001</v>
          </cell>
          <cell r="B112" t="str">
            <v>W9B001</v>
          </cell>
          <cell r="C112" t="str">
            <v>Capitol High School</v>
          </cell>
          <cell r="D112">
            <v>-4176</v>
          </cell>
          <cell r="E112">
            <v>0</v>
          </cell>
          <cell r="F112">
            <v>-43234</v>
          </cell>
          <cell r="G112">
            <v>35138</v>
          </cell>
          <cell r="H112">
            <v>5856</v>
          </cell>
          <cell r="K112">
            <v>-6416</v>
          </cell>
          <cell r="L112">
            <v>-6703</v>
          </cell>
          <cell r="M112">
            <v>0</v>
          </cell>
          <cell r="N112">
            <v>-79416</v>
          </cell>
          <cell r="O112">
            <v>59562</v>
          </cell>
          <cell r="P112">
            <v>9927</v>
          </cell>
          <cell r="S112">
            <v>-16630</v>
          </cell>
        </row>
        <row r="113">
          <cell r="A113" t="str">
            <v>WAO001</v>
          </cell>
          <cell r="C113" t="str">
            <v>Celerity Dalton Charter School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S113">
            <v>0</v>
          </cell>
        </row>
        <row r="114">
          <cell r="A114" t="str">
            <v>WAP001</v>
          </cell>
          <cell r="C114" t="str">
            <v>Celerity Lanier Charter School</v>
          </cell>
          <cell r="D114">
            <v>-8353</v>
          </cell>
          <cell r="E114">
            <v>2088</v>
          </cell>
          <cell r="F114">
            <v>-3603</v>
          </cell>
          <cell r="G114">
            <v>3904</v>
          </cell>
          <cell r="H114">
            <v>0</v>
          </cell>
          <cell r="K114">
            <v>-5964</v>
          </cell>
          <cell r="L114">
            <v>-13406</v>
          </cell>
          <cell r="M114">
            <v>3352</v>
          </cell>
          <cell r="N114">
            <v>-6618</v>
          </cell>
          <cell r="O114">
            <v>6618</v>
          </cell>
          <cell r="P114">
            <v>0</v>
          </cell>
          <cell r="S114">
            <v>-10054</v>
          </cell>
        </row>
        <row r="115">
          <cell r="A115" t="str">
            <v>WAV001</v>
          </cell>
          <cell r="C115" t="str">
            <v>Democracy Prep</v>
          </cell>
          <cell r="D115">
            <v>0</v>
          </cell>
          <cell r="E115">
            <v>-2088</v>
          </cell>
          <cell r="F115">
            <v>-3603</v>
          </cell>
          <cell r="G115">
            <v>3904</v>
          </cell>
          <cell r="H115">
            <v>0</v>
          </cell>
          <cell r="K115">
            <v>-1787</v>
          </cell>
          <cell r="L115">
            <v>0</v>
          </cell>
          <cell r="M115">
            <v>-3352</v>
          </cell>
          <cell r="N115">
            <v>-6618</v>
          </cell>
          <cell r="O115">
            <v>6618</v>
          </cell>
          <cell r="P115">
            <v>0</v>
          </cell>
          <cell r="S115">
            <v>-3352</v>
          </cell>
        </row>
        <row r="116">
          <cell r="A116" t="str">
            <v>WB2001</v>
          </cell>
          <cell r="C116" t="str">
            <v>Kenilworth Middle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S116">
            <v>0</v>
          </cell>
        </row>
        <row r="117">
          <cell r="C117" t="str">
            <v>Total Type 5 Charters - LA</v>
          </cell>
          <cell r="D117">
            <v>-12529</v>
          </cell>
          <cell r="E117">
            <v>0</v>
          </cell>
          <cell r="F117">
            <v>-50440</v>
          </cell>
          <cell r="G117">
            <v>42946</v>
          </cell>
          <cell r="H117">
            <v>5856</v>
          </cell>
          <cell r="J117">
            <v>0</v>
          </cell>
          <cell r="K117">
            <v>-14167</v>
          </cell>
          <cell r="L117">
            <v>-20109</v>
          </cell>
          <cell r="M117">
            <v>0</v>
          </cell>
          <cell r="N117">
            <v>-92652</v>
          </cell>
          <cell r="O117">
            <v>72798</v>
          </cell>
          <cell r="P117">
            <v>9927</v>
          </cell>
          <cell r="R117">
            <v>0</v>
          </cell>
          <cell r="S117">
            <v>-30036</v>
          </cell>
        </row>
        <row r="119">
          <cell r="C119" t="str">
            <v>Total Table 3</v>
          </cell>
          <cell r="D119">
            <v>-1519743</v>
          </cell>
          <cell r="E119">
            <v>-561800</v>
          </cell>
          <cell r="F119">
            <v>-2837631</v>
          </cell>
          <cell r="G119">
            <v>2371603</v>
          </cell>
          <cell r="H119">
            <v>487343</v>
          </cell>
          <cell r="I119">
            <v>-113</v>
          </cell>
          <cell r="J119">
            <v>36882</v>
          </cell>
          <cell r="K119">
            <v>-2023459</v>
          </cell>
          <cell r="L119">
            <v>-300373</v>
          </cell>
          <cell r="M119">
            <v>-64476</v>
          </cell>
          <cell r="N119">
            <v>-296607</v>
          </cell>
          <cell r="O119">
            <v>199469</v>
          </cell>
          <cell r="P119">
            <v>48571</v>
          </cell>
          <cell r="R119">
            <v>-255780</v>
          </cell>
          <cell r="S119">
            <v>-669196</v>
          </cell>
        </row>
        <row r="121">
          <cell r="A121">
            <v>318001</v>
          </cell>
          <cell r="C121" t="str">
            <v>LSU Lab School</v>
          </cell>
          <cell r="D121">
            <v>-20623</v>
          </cell>
          <cell r="E121">
            <v>10312</v>
          </cell>
          <cell r="F121">
            <v>0</v>
          </cell>
          <cell r="G121">
            <v>0</v>
          </cell>
          <cell r="H121">
            <v>0</v>
          </cell>
          <cell r="K121">
            <v>-10311</v>
          </cell>
        </row>
        <row r="122">
          <cell r="A122">
            <v>319001</v>
          </cell>
          <cell r="C122" t="str">
            <v>Southern Lab School</v>
          </cell>
          <cell r="D122">
            <v>-20999</v>
          </cell>
          <cell r="E122">
            <v>-2625</v>
          </cell>
          <cell r="F122">
            <v>-26398</v>
          </cell>
          <cell r="G122">
            <v>-5280</v>
          </cell>
          <cell r="H122">
            <v>15839</v>
          </cell>
          <cell r="K122">
            <v>-39463</v>
          </cell>
        </row>
        <row r="123">
          <cell r="A123">
            <v>302006</v>
          </cell>
          <cell r="C123" t="str">
            <v>LSMSA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</row>
        <row r="124">
          <cell r="A124">
            <v>334001</v>
          </cell>
          <cell r="C124" t="str">
            <v>NOCCA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</row>
        <row r="125">
          <cell r="A125" t="str">
            <v>3C1001</v>
          </cell>
          <cell r="C125" t="str">
            <v>Thrive</v>
          </cell>
          <cell r="D125">
            <v>26675</v>
          </cell>
          <cell r="E125">
            <v>0</v>
          </cell>
          <cell r="F125">
            <v>26103</v>
          </cell>
          <cell r="G125">
            <v>-26103</v>
          </cell>
          <cell r="H125">
            <v>0</v>
          </cell>
          <cell r="J125">
            <v>0</v>
          </cell>
          <cell r="K125">
            <v>26675</v>
          </cell>
        </row>
        <row r="126">
          <cell r="C126" t="str">
            <v>Total Lab &amp; State Approved</v>
          </cell>
          <cell r="D126">
            <v>-14947</v>
          </cell>
          <cell r="E126">
            <v>7687</v>
          </cell>
          <cell r="F126">
            <v>-295</v>
          </cell>
          <cell r="G126">
            <v>-31383</v>
          </cell>
          <cell r="H126">
            <v>15839</v>
          </cell>
          <cell r="J126">
            <v>0</v>
          </cell>
          <cell r="K126">
            <v>-23099</v>
          </cell>
        </row>
        <row r="128">
          <cell r="A128">
            <v>321001</v>
          </cell>
          <cell r="C128" t="str">
            <v>New Vision Learning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</row>
        <row r="129">
          <cell r="A129">
            <v>329001</v>
          </cell>
          <cell r="C129" t="str">
            <v>Glencoe Charter School</v>
          </cell>
          <cell r="D129">
            <v>16727</v>
          </cell>
          <cell r="E129">
            <v>-8364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8363</v>
          </cell>
        </row>
        <row r="130">
          <cell r="A130">
            <v>331001</v>
          </cell>
          <cell r="C130" t="str">
            <v>International School of LA</v>
          </cell>
          <cell r="D130">
            <v>9146</v>
          </cell>
          <cell r="E130">
            <v>-4573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4573</v>
          </cell>
        </row>
        <row r="131">
          <cell r="A131">
            <v>333001</v>
          </cell>
          <cell r="C131" t="str">
            <v>Avoyelles Public Charter</v>
          </cell>
          <cell r="D131">
            <v>0</v>
          </cell>
          <cell r="E131">
            <v>6101</v>
          </cell>
          <cell r="F131">
            <v>12271</v>
          </cell>
          <cell r="G131">
            <v>-12271</v>
          </cell>
          <cell r="H131">
            <v>0</v>
          </cell>
          <cell r="J131">
            <v>0</v>
          </cell>
          <cell r="K131">
            <v>6101</v>
          </cell>
        </row>
        <row r="132">
          <cell r="A132">
            <v>336001</v>
          </cell>
          <cell r="C132" t="str">
            <v>Delhi Charter School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</row>
        <row r="133">
          <cell r="A133">
            <v>337001</v>
          </cell>
          <cell r="C133" t="str">
            <v>Belle Chasse Academy</v>
          </cell>
          <cell r="D133">
            <v>3171</v>
          </cell>
          <cell r="E133">
            <v>0</v>
          </cell>
          <cell r="F133">
            <v>3197</v>
          </cell>
          <cell r="G133">
            <v>-3197</v>
          </cell>
          <cell r="H133">
            <v>0</v>
          </cell>
          <cell r="J133">
            <v>0</v>
          </cell>
          <cell r="K133">
            <v>3171</v>
          </cell>
        </row>
        <row r="134">
          <cell r="A134">
            <v>340001</v>
          </cell>
          <cell r="C134" t="str">
            <v>The MAX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</row>
        <row r="135">
          <cell r="C135" t="str">
            <v>Total Legacy Type 2</v>
          </cell>
          <cell r="D135">
            <v>29044</v>
          </cell>
          <cell r="E135">
            <v>-6836</v>
          </cell>
          <cell r="F135">
            <v>15468</v>
          </cell>
          <cell r="G135">
            <v>-15468</v>
          </cell>
          <cell r="H135">
            <v>0</v>
          </cell>
          <cell r="J135">
            <v>0</v>
          </cell>
          <cell r="K135">
            <v>22208</v>
          </cell>
        </row>
        <row r="137">
          <cell r="C137" t="str">
            <v>Total Statewide</v>
          </cell>
          <cell r="D137">
            <v>-1505646</v>
          </cell>
          <cell r="E137">
            <v>-560949</v>
          </cell>
          <cell r="F137">
            <v>-2822458</v>
          </cell>
          <cell r="G137">
            <v>2324752</v>
          </cell>
          <cell r="H137">
            <v>503182</v>
          </cell>
          <cell r="I137">
            <v>-113</v>
          </cell>
          <cell r="J137">
            <v>36882</v>
          </cell>
          <cell r="K137">
            <v>-2024350</v>
          </cell>
          <cell r="L137">
            <v>-300373</v>
          </cell>
          <cell r="M137">
            <v>-64476</v>
          </cell>
          <cell r="N137">
            <v>-296607</v>
          </cell>
          <cell r="O137">
            <v>199469</v>
          </cell>
          <cell r="P137">
            <v>48571</v>
          </cell>
          <cell r="R137">
            <v>-255780</v>
          </cell>
          <cell r="S137">
            <v>-669196</v>
          </cell>
        </row>
        <row r="139">
          <cell r="A139" t="str">
            <v>Closed</v>
          </cell>
          <cell r="C139" t="str">
            <v>Tangi</v>
          </cell>
          <cell r="D139">
            <v>-5099</v>
          </cell>
          <cell r="E139">
            <v>2549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-2550</v>
          </cell>
          <cell r="L139">
            <v>-5891</v>
          </cell>
          <cell r="M139">
            <v>2946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-2945</v>
          </cell>
        </row>
        <row r="140">
          <cell r="A140" t="str">
            <v>Closed</v>
          </cell>
          <cell r="C140" t="str">
            <v>Vision</v>
          </cell>
          <cell r="D140">
            <v>0</v>
          </cell>
          <cell r="E140">
            <v>-2877</v>
          </cell>
          <cell r="F140">
            <v>-5799</v>
          </cell>
          <cell r="G140">
            <v>-10752</v>
          </cell>
          <cell r="H140">
            <v>8275</v>
          </cell>
          <cell r="J140">
            <v>0</v>
          </cell>
          <cell r="K140">
            <v>-11153</v>
          </cell>
          <cell r="L140">
            <v>0</v>
          </cell>
          <cell r="M140">
            <v>-1932</v>
          </cell>
          <cell r="N140">
            <v>-3977</v>
          </cell>
          <cell r="O140">
            <v>-9554</v>
          </cell>
          <cell r="P140">
            <v>6766</v>
          </cell>
          <cell r="R140">
            <v>0</v>
          </cell>
          <cell r="S140">
            <v>-8697</v>
          </cell>
        </row>
        <row r="141">
          <cell r="A141" t="str">
            <v>Closed</v>
          </cell>
          <cell r="C141" t="str">
            <v>Apex</v>
          </cell>
          <cell r="D141">
            <v>0</v>
          </cell>
          <cell r="E141">
            <v>1910</v>
          </cell>
          <cell r="F141">
            <v>3603</v>
          </cell>
          <cell r="G141">
            <v>-3603</v>
          </cell>
          <cell r="H141">
            <v>0</v>
          </cell>
          <cell r="J141">
            <v>0</v>
          </cell>
          <cell r="K141">
            <v>1910</v>
          </cell>
          <cell r="L141">
            <v>0</v>
          </cell>
          <cell r="M141">
            <v>3861</v>
          </cell>
          <cell r="N141">
            <v>7562</v>
          </cell>
          <cell r="O141">
            <v>-7562</v>
          </cell>
          <cell r="P141">
            <v>0</v>
          </cell>
          <cell r="R141">
            <v>0</v>
          </cell>
          <cell r="S141">
            <v>3861</v>
          </cell>
        </row>
        <row r="142">
          <cell r="A142" t="str">
            <v>Closed</v>
          </cell>
          <cell r="C142" t="str">
            <v>Smothers</v>
          </cell>
          <cell r="D142">
            <v>0</v>
          </cell>
          <cell r="E142">
            <v>-6062</v>
          </cell>
          <cell r="F142">
            <v>-12238</v>
          </cell>
          <cell r="G142">
            <v>12238</v>
          </cell>
          <cell r="H142">
            <v>0</v>
          </cell>
          <cell r="J142">
            <v>0</v>
          </cell>
          <cell r="K142">
            <v>-6062</v>
          </cell>
          <cell r="L142">
            <v>0</v>
          </cell>
          <cell r="M142">
            <v>-7812</v>
          </cell>
          <cell r="N142">
            <v>-15789</v>
          </cell>
          <cell r="O142">
            <v>15789</v>
          </cell>
          <cell r="P142">
            <v>0</v>
          </cell>
          <cell r="R142">
            <v>0</v>
          </cell>
          <cell r="S142">
            <v>-7812</v>
          </cell>
        </row>
        <row r="143">
          <cell r="A143" t="str">
            <v>WAX001</v>
          </cell>
          <cell r="C143" t="str">
            <v>Closed_B. R. College Prep</v>
          </cell>
          <cell r="D143">
            <v>4176</v>
          </cell>
          <cell r="E143">
            <v>0</v>
          </cell>
          <cell r="F143">
            <v>5959</v>
          </cell>
          <cell r="G143">
            <v>-3904</v>
          </cell>
          <cell r="H143">
            <v>0</v>
          </cell>
          <cell r="K143">
            <v>6231</v>
          </cell>
          <cell r="L143">
            <v>6703</v>
          </cell>
          <cell r="M143">
            <v>0</v>
          </cell>
          <cell r="N143">
            <v>6618</v>
          </cell>
          <cell r="O143">
            <v>-6618</v>
          </cell>
          <cell r="P143">
            <v>0</v>
          </cell>
          <cell r="S143">
            <v>6703</v>
          </cell>
        </row>
        <row r="144">
          <cell r="D144">
            <v>-923</v>
          </cell>
          <cell r="E144">
            <v>-4480</v>
          </cell>
          <cell r="F144">
            <v>-8475</v>
          </cell>
          <cell r="G144">
            <v>-6021</v>
          </cell>
          <cell r="H144">
            <v>8275</v>
          </cell>
          <cell r="I144">
            <v>0</v>
          </cell>
          <cell r="J144">
            <v>0</v>
          </cell>
          <cell r="K144">
            <v>-11624</v>
          </cell>
          <cell r="L144">
            <v>812</v>
          </cell>
          <cell r="M144">
            <v>-2937</v>
          </cell>
          <cell r="N144">
            <v>-5586</v>
          </cell>
          <cell r="O144">
            <v>-7945</v>
          </cell>
          <cell r="P144">
            <v>6766</v>
          </cell>
          <cell r="R144">
            <v>0</v>
          </cell>
          <cell r="S144">
            <v>-8890</v>
          </cell>
        </row>
        <row r="146">
          <cell r="D146">
            <v>-1506569</v>
          </cell>
          <cell r="E146">
            <v>-565429</v>
          </cell>
          <cell r="F146">
            <v>-2830933</v>
          </cell>
          <cell r="G146">
            <v>2318731</v>
          </cell>
          <cell r="H146">
            <v>511457</v>
          </cell>
          <cell r="I146">
            <v>-113</v>
          </cell>
          <cell r="J146">
            <v>36882</v>
          </cell>
          <cell r="K146">
            <v>-2035974</v>
          </cell>
          <cell r="L146">
            <v>-299561</v>
          </cell>
          <cell r="M146">
            <v>-67413</v>
          </cell>
          <cell r="N146">
            <v>-302193</v>
          </cell>
          <cell r="O146">
            <v>191524</v>
          </cell>
          <cell r="P146">
            <v>55337</v>
          </cell>
          <cell r="R146">
            <v>-255780</v>
          </cell>
          <cell r="S146">
            <v>-678086</v>
          </cell>
        </row>
        <row r="148">
          <cell r="A148" t="str">
            <v>WAZ001</v>
          </cell>
          <cell r="B148" t="str">
            <v>WAZ001</v>
          </cell>
          <cell r="C148" t="str">
            <v>Audubon Charter School</v>
          </cell>
          <cell r="D148">
            <v>0</v>
          </cell>
          <cell r="E148">
            <v>0</v>
          </cell>
          <cell r="K148">
            <v>0</v>
          </cell>
          <cell r="L148">
            <v>0</v>
          </cell>
          <cell r="M148">
            <v>0</v>
          </cell>
          <cell r="S148">
            <v>0</v>
          </cell>
        </row>
        <row r="149">
          <cell r="A149" t="str">
            <v>WBA001</v>
          </cell>
          <cell r="B149" t="str">
            <v>WBA001</v>
          </cell>
          <cell r="C149" t="str">
            <v>Einstein Charter School at Village De L'Est</v>
          </cell>
          <cell r="D149">
            <v>0</v>
          </cell>
          <cell r="E149">
            <v>1910</v>
          </cell>
          <cell r="K149">
            <v>1910</v>
          </cell>
          <cell r="L149">
            <v>0</v>
          </cell>
          <cell r="M149">
            <v>2670</v>
          </cell>
          <cell r="S149">
            <v>2670</v>
          </cell>
        </row>
        <row r="150">
          <cell r="A150" t="str">
            <v>WBB001</v>
          </cell>
          <cell r="B150" t="str">
            <v>WBB001</v>
          </cell>
          <cell r="C150" t="str">
            <v>Benjamin Franklin High School</v>
          </cell>
          <cell r="D150">
            <v>0</v>
          </cell>
          <cell r="E150">
            <v>0</v>
          </cell>
          <cell r="K150">
            <v>0</v>
          </cell>
          <cell r="L150">
            <v>0</v>
          </cell>
          <cell r="M150">
            <v>0</v>
          </cell>
          <cell r="S150">
            <v>0</v>
          </cell>
        </row>
        <row r="151">
          <cell r="A151" t="str">
            <v>WBC001</v>
          </cell>
          <cell r="B151" t="str">
            <v>WBC001</v>
          </cell>
          <cell r="C151" t="str">
            <v>Alice M. Harte Elementary Charter School</v>
          </cell>
          <cell r="D151">
            <v>3820</v>
          </cell>
          <cell r="E151">
            <v>-1910</v>
          </cell>
          <cell r="K151">
            <v>1910</v>
          </cell>
          <cell r="L151">
            <v>5339</v>
          </cell>
          <cell r="M151">
            <v>-2670</v>
          </cell>
          <cell r="S151">
            <v>2669</v>
          </cell>
        </row>
        <row r="152">
          <cell r="A152" t="str">
            <v>WBD001</v>
          </cell>
          <cell r="B152" t="str">
            <v>WBD001</v>
          </cell>
          <cell r="C152" t="str">
            <v>Edna Karr High School</v>
          </cell>
          <cell r="D152">
            <v>3820</v>
          </cell>
          <cell r="E152">
            <v>-3820</v>
          </cell>
          <cell r="K152">
            <v>0</v>
          </cell>
          <cell r="L152">
            <v>5339</v>
          </cell>
          <cell r="M152">
            <v>-5339</v>
          </cell>
          <cell r="S152">
            <v>0</v>
          </cell>
        </row>
        <row r="153">
          <cell r="A153" t="str">
            <v>WBE001</v>
          </cell>
          <cell r="B153" t="str">
            <v>WBE001</v>
          </cell>
          <cell r="C153" t="str">
            <v>Lusher Charter School</v>
          </cell>
          <cell r="D153">
            <v>0</v>
          </cell>
          <cell r="E153">
            <v>-1679</v>
          </cell>
          <cell r="K153">
            <v>-1679</v>
          </cell>
          <cell r="L153">
            <v>0</v>
          </cell>
          <cell r="M153">
            <v>-2670</v>
          </cell>
          <cell r="S153">
            <v>-2670</v>
          </cell>
        </row>
        <row r="154">
          <cell r="A154" t="str">
            <v>WBF001</v>
          </cell>
          <cell r="B154" t="str">
            <v>WBF001</v>
          </cell>
          <cell r="C154" t="str">
            <v>Eleanor McMain Secondary School</v>
          </cell>
          <cell r="D154">
            <v>0</v>
          </cell>
          <cell r="E154">
            <v>1219</v>
          </cell>
          <cell r="K154">
            <v>1219</v>
          </cell>
          <cell r="L154">
            <v>0</v>
          </cell>
          <cell r="M154">
            <v>2670</v>
          </cell>
          <cell r="S154">
            <v>2670</v>
          </cell>
        </row>
        <row r="155">
          <cell r="A155" t="str">
            <v>WBG001</v>
          </cell>
          <cell r="B155" t="str">
            <v>WBG001</v>
          </cell>
          <cell r="C155" t="str">
            <v>Robert Russa Moton Charter School</v>
          </cell>
          <cell r="D155">
            <v>0</v>
          </cell>
          <cell r="E155">
            <v>0</v>
          </cell>
          <cell r="K155">
            <v>0</v>
          </cell>
          <cell r="L155">
            <v>0</v>
          </cell>
          <cell r="M155">
            <v>0</v>
          </cell>
          <cell r="S155">
            <v>0</v>
          </cell>
        </row>
        <row r="156">
          <cell r="A156" t="str">
            <v>WBH001</v>
          </cell>
          <cell r="B156" t="str">
            <v>WBH001</v>
          </cell>
          <cell r="C156" t="str">
            <v>Lake Forest Elementary Charter School</v>
          </cell>
          <cell r="D156">
            <v>0</v>
          </cell>
          <cell r="E156">
            <v>0</v>
          </cell>
          <cell r="K156">
            <v>0</v>
          </cell>
          <cell r="L156">
            <v>0</v>
          </cell>
          <cell r="M156">
            <v>0</v>
          </cell>
          <cell r="S156">
            <v>0</v>
          </cell>
        </row>
        <row r="157">
          <cell r="A157" t="str">
            <v>WBI001</v>
          </cell>
          <cell r="B157" t="str">
            <v>WBI001</v>
          </cell>
          <cell r="C157" t="str">
            <v>New Orleans Charter Science and Mathematics HS</v>
          </cell>
          <cell r="D157">
            <v>0</v>
          </cell>
          <cell r="E157">
            <v>-1910</v>
          </cell>
          <cell r="K157">
            <v>-1910</v>
          </cell>
          <cell r="L157">
            <v>0</v>
          </cell>
          <cell r="M157">
            <v>-2670</v>
          </cell>
          <cell r="S157">
            <v>-2670</v>
          </cell>
        </row>
        <row r="158">
          <cell r="A158" t="str">
            <v>WBJ001</v>
          </cell>
          <cell r="B158" t="str">
            <v>WBJ001</v>
          </cell>
          <cell r="C158" t="str">
            <v>ENCORE Academy</v>
          </cell>
          <cell r="D158">
            <v>0</v>
          </cell>
          <cell r="E158">
            <v>0</v>
          </cell>
          <cell r="K158">
            <v>0</v>
          </cell>
          <cell r="L158">
            <v>0</v>
          </cell>
          <cell r="M158">
            <v>0</v>
          </cell>
          <cell r="S158">
            <v>0</v>
          </cell>
        </row>
        <row r="159">
          <cell r="A159" t="str">
            <v>WBK001</v>
          </cell>
          <cell r="B159" t="str">
            <v>WBK001</v>
          </cell>
          <cell r="C159" t="str">
            <v>Bricolage Academy</v>
          </cell>
          <cell r="D159">
            <v>3820</v>
          </cell>
          <cell r="E159">
            <v>-1910</v>
          </cell>
          <cell r="K159">
            <v>1910</v>
          </cell>
          <cell r="L159">
            <v>6151</v>
          </cell>
          <cell r="M159">
            <v>-3076</v>
          </cell>
          <cell r="S159">
            <v>3075</v>
          </cell>
        </row>
        <row r="160">
          <cell r="A160" t="str">
            <v>WBL001</v>
          </cell>
          <cell r="B160" t="str">
            <v>WBL001</v>
          </cell>
          <cell r="C160" t="str">
            <v>Wilson Charter School</v>
          </cell>
          <cell r="D160">
            <v>-3820</v>
          </cell>
          <cell r="E160">
            <v>-3820</v>
          </cell>
          <cell r="K160">
            <v>-7640</v>
          </cell>
          <cell r="L160">
            <v>-5339</v>
          </cell>
          <cell r="M160">
            <v>-5339</v>
          </cell>
          <cell r="S160">
            <v>-10678</v>
          </cell>
        </row>
        <row r="161">
          <cell r="A161" t="str">
            <v>WBM001</v>
          </cell>
          <cell r="B161" t="str">
            <v>WBM001</v>
          </cell>
          <cell r="C161" t="str">
            <v>Einstein Charter High School at Sarah Towles Reed</v>
          </cell>
          <cell r="D161">
            <v>0</v>
          </cell>
          <cell r="E161">
            <v>0</v>
          </cell>
          <cell r="K161">
            <v>0</v>
          </cell>
          <cell r="L161">
            <v>0</v>
          </cell>
          <cell r="M161">
            <v>0</v>
          </cell>
          <cell r="S161">
            <v>0</v>
          </cell>
        </row>
        <row r="162">
          <cell r="A162" t="str">
            <v>WBN001</v>
          </cell>
          <cell r="B162" t="str">
            <v>WBN001</v>
          </cell>
          <cell r="C162" t="str">
            <v>Einstein Charter Middle Sch at Sarah Towles Reed</v>
          </cell>
          <cell r="D162">
            <v>0</v>
          </cell>
          <cell r="E162">
            <v>0</v>
          </cell>
          <cell r="K162">
            <v>0</v>
          </cell>
          <cell r="L162">
            <v>0</v>
          </cell>
          <cell r="M162">
            <v>0</v>
          </cell>
          <cell r="S162">
            <v>0</v>
          </cell>
        </row>
        <row r="163">
          <cell r="A163" t="str">
            <v>WBO001</v>
          </cell>
          <cell r="B163" t="str">
            <v>WBO001</v>
          </cell>
          <cell r="C163" t="str">
            <v>Einstein Charter School at Sherwood Forest</v>
          </cell>
          <cell r="D163">
            <v>0</v>
          </cell>
          <cell r="E163">
            <v>0</v>
          </cell>
          <cell r="K163">
            <v>0</v>
          </cell>
          <cell r="L163">
            <v>0</v>
          </cell>
          <cell r="M163">
            <v>0</v>
          </cell>
          <cell r="S163">
            <v>0</v>
          </cell>
        </row>
        <row r="164">
          <cell r="A164" t="str">
            <v>W12001</v>
          </cell>
          <cell r="B164" t="str">
            <v>W12001</v>
          </cell>
          <cell r="C164" t="str">
            <v>Pierre A. Capdau Learning Academy</v>
          </cell>
          <cell r="D164">
            <v>0</v>
          </cell>
          <cell r="E164">
            <v>3399</v>
          </cell>
          <cell r="K164">
            <v>3399</v>
          </cell>
          <cell r="L164">
            <v>0</v>
          </cell>
          <cell r="M164">
            <v>6151</v>
          </cell>
          <cell r="S164">
            <v>6151</v>
          </cell>
        </row>
        <row r="165">
          <cell r="A165" t="str">
            <v>W13001</v>
          </cell>
          <cell r="B165" t="str">
            <v>W13001</v>
          </cell>
          <cell r="C165" t="str">
            <v>Lake Area New Tech Early College</v>
          </cell>
          <cell r="D165">
            <v>0</v>
          </cell>
          <cell r="E165">
            <v>-359</v>
          </cell>
          <cell r="K165">
            <v>-359</v>
          </cell>
          <cell r="L165">
            <v>0</v>
          </cell>
          <cell r="M165">
            <v>-2670</v>
          </cell>
          <cell r="S165">
            <v>-2670</v>
          </cell>
        </row>
        <row r="166">
          <cell r="A166" t="str">
            <v>W31001</v>
          </cell>
          <cell r="B166" t="str">
            <v>W31001</v>
          </cell>
          <cell r="C166" t="str">
            <v>Dr. Martin Luther King Jr Charter for Sci &amp; Tech</v>
          </cell>
          <cell r="D166">
            <v>0</v>
          </cell>
          <cell r="E166">
            <v>7647</v>
          </cell>
          <cell r="K166">
            <v>7647</v>
          </cell>
          <cell r="L166">
            <v>0</v>
          </cell>
          <cell r="M166">
            <v>2670</v>
          </cell>
          <cell r="S166">
            <v>2670</v>
          </cell>
        </row>
        <row r="167">
          <cell r="A167" t="str">
            <v>W51001</v>
          </cell>
          <cell r="B167" t="str">
            <v>W51001</v>
          </cell>
          <cell r="C167" t="str">
            <v>Lafayette Academy</v>
          </cell>
          <cell r="D167">
            <v>0</v>
          </cell>
          <cell r="E167">
            <v>0</v>
          </cell>
          <cell r="K167">
            <v>0</v>
          </cell>
          <cell r="L167">
            <v>0</v>
          </cell>
          <cell r="M167">
            <v>0</v>
          </cell>
          <cell r="S167">
            <v>0</v>
          </cell>
        </row>
        <row r="168">
          <cell r="A168" t="str">
            <v>W52001</v>
          </cell>
          <cell r="B168" t="str">
            <v>W52001</v>
          </cell>
          <cell r="C168" t="str">
            <v>Esperanza Charter School</v>
          </cell>
          <cell r="D168">
            <v>0</v>
          </cell>
          <cell r="E168">
            <v>0</v>
          </cell>
          <cell r="K168">
            <v>0</v>
          </cell>
          <cell r="L168">
            <v>0</v>
          </cell>
          <cell r="M168">
            <v>0</v>
          </cell>
          <cell r="S168">
            <v>0</v>
          </cell>
        </row>
        <row r="169">
          <cell r="A169" t="str">
            <v>WBP001</v>
          </cell>
          <cell r="B169" t="str">
            <v>WBP001</v>
          </cell>
          <cell r="C169" t="str">
            <v>McDonogh 42 Charter School</v>
          </cell>
          <cell r="D169">
            <v>6520</v>
          </cell>
          <cell r="E169">
            <v>230</v>
          </cell>
          <cell r="K169">
            <v>6750</v>
          </cell>
          <cell r="L169">
            <v>6151</v>
          </cell>
          <cell r="M169">
            <v>0</v>
          </cell>
          <cell r="S169">
            <v>6151</v>
          </cell>
        </row>
        <row r="170">
          <cell r="A170" t="str">
            <v>W5A001</v>
          </cell>
          <cell r="B170" t="str">
            <v>W5A001</v>
          </cell>
          <cell r="C170" t="str">
            <v>Mary D. Coghill Accelerated</v>
          </cell>
          <cell r="D170">
            <v>7677</v>
          </cell>
          <cell r="E170">
            <v>-3839</v>
          </cell>
          <cell r="K170">
            <v>3838</v>
          </cell>
          <cell r="L170">
            <v>10678</v>
          </cell>
          <cell r="M170">
            <v>-5339</v>
          </cell>
          <cell r="S170">
            <v>5339</v>
          </cell>
        </row>
        <row r="171">
          <cell r="A171" t="str">
            <v>W84001</v>
          </cell>
          <cell r="B171" t="str">
            <v>W84001</v>
          </cell>
          <cell r="C171" t="str">
            <v>KIPP Renaissance High</v>
          </cell>
          <cell r="D171">
            <v>-3839</v>
          </cell>
          <cell r="E171">
            <v>-6981</v>
          </cell>
          <cell r="K171">
            <v>-10820</v>
          </cell>
          <cell r="L171">
            <v>-5339</v>
          </cell>
          <cell r="M171">
            <v>-5339</v>
          </cell>
          <cell r="S171">
            <v>-10678</v>
          </cell>
        </row>
        <row r="172">
          <cell r="A172" t="str">
            <v>W91001</v>
          </cell>
          <cell r="B172" t="str">
            <v>W91001</v>
          </cell>
          <cell r="C172" t="str">
            <v>Samuel J_ Green Charter School</v>
          </cell>
          <cell r="D172">
            <v>0</v>
          </cell>
          <cell r="E172">
            <v>0</v>
          </cell>
          <cell r="K172">
            <v>0</v>
          </cell>
          <cell r="L172">
            <v>0</v>
          </cell>
          <cell r="M172">
            <v>0</v>
          </cell>
          <cell r="S172">
            <v>0</v>
          </cell>
        </row>
        <row r="173">
          <cell r="A173" t="str">
            <v>W92001</v>
          </cell>
          <cell r="B173" t="str">
            <v>W92001</v>
          </cell>
          <cell r="C173" t="str">
            <v>Arthur Ashe Charter School</v>
          </cell>
          <cell r="D173">
            <v>3896</v>
          </cell>
          <cell r="E173">
            <v>-1948</v>
          </cell>
          <cell r="K173">
            <v>1948</v>
          </cell>
          <cell r="L173">
            <v>5339</v>
          </cell>
          <cell r="M173">
            <v>-2670</v>
          </cell>
          <cell r="S173">
            <v>2669</v>
          </cell>
        </row>
        <row r="174">
          <cell r="A174" t="str">
            <v>W94001</v>
          </cell>
          <cell r="B174" t="str">
            <v>W94001</v>
          </cell>
          <cell r="C174" t="str">
            <v>Phillis Wheatley Community School</v>
          </cell>
          <cell r="D174">
            <v>0</v>
          </cell>
          <cell r="E174">
            <v>1919</v>
          </cell>
          <cell r="K174">
            <v>1919</v>
          </cell>
          <cell r="L174">
            <v>0</v>
          </cell>
          <cell r="M174">
            <v>3076</v>
          </cell>
          <cell r="S174">
            <v>3076</v>
          </cell>
        </row>
        <row r="175">
          <cell r="A175" t="str">
            <v>W95001</v>
          </cell>
          <cell r="B175" t="str">
            <v>W95001</v>
          </cell>
          <cell r="C175" t="str">
            <v>Langston Hughes Charter Academy</v>
          </cell>
          <cell r="D175">
            <v>0</v>
          </cell>
          <cell r="E175">
            <v>1571</v>
          </cell>
          <cell r="K175">
            <v>1571</v>
          </cell>
          <cell r="L175">
            <v>0</v>
          </cell>
          <cell r="M175">
            <v>0</v>
          </cell>
          <cell r="S175">
            <v>0</v>
          </cell>
        </row>
        <row r="176">
          <cell r="A176" t="str">
            <v>WAB001</v>
          </cell>
          <cell r="B176" t="str">
            <v>WAB001</v>
          </cell>
          <cell r="C176" t="str">
            <v>Edgar P_ Harney Spirit of Excellence Academy</v>
          </cell>
          <cell r="D176">
            <v>0</v>
          </cell>
          <cell r="E176">
            <v>0</v>
          </cell>
          <cell r="K176">
            <v>0</v>
          </cell>
          <cell r="L176">
            <v>0</v>
          </cell>
          <cell r="M176">
            <v>0</v>
          </cell>
          <cell r="S176">
            <v>0</v>
          </cell>
        </row>
        <row r="177">
          <cell r="A177" t="str">
            <v>WJ1001</v>
          </cell>
          <cell r="B177" t="str">
            <v>WJ1001</v>
          </cell>
          <cell r="C177" t="str">
            <v>Sci Academy</v>
          </cell>
          <cell r="D177">
            <v>-10246</v>
          </cell>
          <cell r="E177">
            <v>-3833</v>
          </cell>
          <cell r="K177">
            <v>-14079</v>
          </cell>
          <cell r="L177">
            <v>-16017</v>
          </cell>
          <cell r="M177">
            <v>0</v>
          </cell>
          <cell r="S177">
            <v>-16017</v>
          </cell>
        </row>
        <row r="178">
          <cell r="A178" t="str">
            <v>W11001</v>
          </cell>
          <cell r="B178" t="str">
            <v>W11001</v>
          </cell>
          <cell r="C178" t="str">
            <v>Medard H. Nelson Elem</v>
          </cell>
          <cell r="D178">
            <v>0</v>
          </cell>
          <cell r="E178">
            <v>0</v>
          </cell>
          <cell r="K178">
            <v>0</v>
          </cell>
          <cell r="L178">
            <v>0</v>
          </cell>
          <cell r="M178">
            <v>0</v>
          </cell>
          <cell r="S178">
            <v>0</v>
          </cell>
        </row>
        <row r="179">
          <cell r="A179" t="str">
            <v>W21001</v>
          </cell>
          <cell r="B179" t="str">
            <v>W21001</v>
          </cell>
          <cell r="C179" t="str">
            <v>James M. Singleton Charter</v>
          </cell>
          <cell r="D179">
            <v>0</v>
          </cell>
          <cell r="E179">
            <v>0</v>
          </cell>
          <cell r="K179">
            <v>0</v>
          </cell>
          <cell r="L179">
            <v>0</v>
          </cell>
          <cell r="M179">
            <v>0</v>
          </cell>
          <cell r="S179">
            <v>0</v>
          </cell>
        </row>
        <row r="180">
          <cell r="A180" t="str">
            <v>W32001</v>
          </cell>
          <cell r="B180" t="str">
            <v>W32001</v>
          </cell>
          <cell r="C180" t="str">
            <v>Joseph A. Craig</v>
          </cell>
          <cell r="D180">
            <v>-4301</v>
          </cell>
          <cell r="E180">
            <v>2150</v>
          </cell>
          <cell r="K180">
            <v>-2151</v>
          </cell>
          <cell r="L180">
            <v>-5339</v>
          </cell>
          <cell r="M180">
            <v>2670</v>
          </cell>
          <cell r="S180">
            <v>-2669</v>
          </cell>
        </row>
        <row r="181">
          <cell r="A181" t="str">
            <v>W62001</v>
          </cell>
          <cell r="B181" t="str">
            <v>W62001</v>
          </cell>
          <cell r="C181" t="str">
            <v>LB Landry-OP Walker College &amp; Career Prep</v>
          </cell>
          <cell r="D181">
            <v>-4147</v>
          </cell>
          <cell r="E181">
            <v>2073</v>
          </cell>
          <cell r="K181">
            <v>-2074</v>
          </cell>
          <cell r="L181">
            <v>-5339</v>
          </cell>
          <cell r="M181">
            <v>2670</v>
          </cell>
          <cell r="S181">
            <v>-2669</v>
          </cell>
        </row>
        <row r="182">
          <cell r="A182" t="str">
            <v>W63001</v>
          </cell>
          <cell r="B182" t="str">
            <v>W63001</v>
          </cell>
          <cell r="C182" t="str">
            <v>McDonogh #32 Elem</v>
          </cell>
          <cell r="D182">
            <v>0</v>
          </cell>
          <cell r="E182">
            <v>0</v>
          </cell>
          <cell r="K182">
            <v>0</v>
          </cell>
          <cell r="L182">
            <v>0</v>
          </cell>
          <cell r="M182">
            <v>0</v>
          </cell>
          <cell r="S182">
            <v>0</v>
          </cell>
        </row>
        <row r="183">
          <cell r="A183" t="str">
            <v>W64001</v>
          </cell>
          <cell r="B183" t="str">
            <v>W64001</v>
          </cell>
          <cell r="C183" t="str">
            <v>William J. Fischer</v>
          </cell>
          <cell r="D183">
            <v>0</v>
          </cell>
          <cell r="E183">
            <v>0</v>
          </cell>
          <cell r="K183">
            <v>0</v>
          </cell>
          <cell r="L183">
            <v>0</v>
          </cell>
          <cell r="M183">
            <v>0</v>
          </cell>
          <cell r="S183">
            <v>0</v>
          </cell>
        </row>
        <row r="184">
          <cell r="A184" t="str">
            <v>W65001</v>
          </cell>
          <cell r="B184" t="str">
            <v>W65001</v>
          </cell>
          <cell r="C184" t="str">
            <v>Dwight D. Eisenhower</v>
          </cell>
          <cell r="D184">
            <v>0</v>
          </cell>
          <cell r="E184">
            <v>0</v>
          </cell>
          <cell r="K184">
            <v>0</v>
          </cell>
          <cell r="L184">
            <v>0</v>
          </cell>
          <cell r="M184">
            <v>0</v>
          </cell>
          <cell r="S184">
            <v>0</v>
          </cell>
        </row>
        <row r="185">
          <cell r="A185" t="str">
            <v>W66001</v>
          </cell>
          <cell r="B185" t="str">
            <v>W66001</v>
          </cell>
          <cell r="C185" t="str">
            <v>Martin Behrman</v>
          </cell>
          <cell r="D185">
            <v>0</v>
          </cell>
          <cell r="E185">
            <v>-2116</v>
          </cell>
          <cell r="K185">
            <v>-2116</v>
          </cell>
          <cell r="L185">
            <v>0</v>
          </cell>
          <cell r="M185">
            <v>-2670</v>
          </cell>
          <cell r="S185">
            <v>-2670</v>
          </cell>
        </row>
        <row r="186">
          <cell r="A186" t="str">
            <v>W71001</v>
          </cell>
          <cell r="B186" t="str">
            <v>W71001</v>
          </cell>
          <cell r="C186" t="str">
            <v>Sophie B. Wright Learning Acdmy</v>
          </cell>
          <cell r="D186">
            <v>0</v>
          </cell>
          <cell r="E186">
            <v>0</v>
          </cell>
          <cell r="K186">
            <v>0</v>
          </cell>
          <cell r="L186">
            <v>0</v>
          </cell>
          <cell r="M186">
            <v>0</v>
          </cell>
          <cell r="S186">
            <v>0</v>
          </cell>
        </row>
        <row r="187">
          <cell r="A187" t="str">
            <v>W81001</v>
          </cell>
          <cell r="B187" t="str">
            <v>W81001</v>
          </cell>
          <cell r="C187" t="str">
            <v>KIPP McDonogh 15 Sch. For the Creative Arts</v>
          </cell>
          <cell r="D187">
            <v>-4279</v>
          </cell>
          <cell r="E187">
            <v>2140</v>
          </cell>
          <cell r="K187">
            <v>-2139</v>
          </cell>
          <cell r="L187">
            <v>-5339</v>
          </cell>
          <cell r="M187">
            <v>2670</v>
          </cell>
          <cell r="S187">
            <v>-2669</v>
          </cell>
        </row>
        <row r="188">
          <cell r="A188" t="str">
            <v>W82001</v>
          </cell>
          <cell r="B188" t="str">
            <v>W82001</v>
          </cell>
          <cell r="C188" t="str">
            <v>KIPP Believe College Prep</v>
          </cell>
          <cell r="D188">
            <v>-12595</v>
          </cell>
          <cell r="E188">
            <v>6298</v>
          </cell>
          <cell r="K188">
            <v>-6297</v>
          </cell>
          <cell r="L188">
            <v>-16017</v>
          </cell>
          <cell r="M188">
            <v>8009</v>
          </cell>
          <cell r="S188">
            <v>-8008</v>
          </cell>
        </row>
        <row r="189">
          <cell r="A189" t="str">
            <v>W85001</v>
          </cell>
          <cell r="B189" t="str">
            <v>W85001</v>
          </cell>
          <cell r="C189" t="str">
            <v>KIPP N.O. Leadership Acdmy</v>
          </cell>
          <cell r="D189">
            <v>0</v>
          </cell>
          <cell r="E189">
            <v>-12902</v>
          </cell>
          <cell r="K189">
            <v>-12902</v>
          </cell>
          <cell r="L189">
            <v>0</v>
          </cell>
          <cell r="M189">
            <v>-16017</v>
          </cell>
          <cell r="S189">
            <v>-16017</v>
          </cell>
        </row>
        <row r="190">
          <cell r="A190" t="str">
            <v>W86001</v>
          </cell>
          <cell r="B190" t="str">
            <v>W86001</v>
          </cell>
          <cell r="C190" t="str">
            <v>KIPP East</v>
          </cell>
          <cell r="D190">
            <v>0</v>
          </cell>
          <cell r="E190">
            <v>-2150</v>
          </cell>
          <cell r="K190">
            <v>-2150</v>
          </cell>
          <cell r="L190">
            <v>0</v>
          </cell>
          <cell r="M190">
            <v>-2670</v>
          </cell>
          <cell r="S190">
            <v>-2670</v>
          </cell>
        </row>
        <row r="191">
          <cell r="A191" t="str">
            <v>W87001</v>
          </cell>
          <cell r="B191" t="str">
            <v>W87001</v>
          </cell>
          <cell r="C191" t="str">
            <v>KIPP Booker T. Washington High School</v>
          </cell>
          <cell r="D191">
            <v>0</v>
          </cell>
          <cell r="E191">
            <v>0</v>
          </cell>
          <cell r="K191">
            <v>0</v>
          </cell>
          <cell r="L191">
            <v>0</v>
          </cell>
          <cell r="M191">
            <v>0</v>
          </cell>
          <cell r="S191">
            <v>0</v>
          </cell>
        </row>
        <row r="192">
          <cell r="A192" t="str">
            <v>W93001</v>
          </cell>
          <cell r="B192" t="str">
            <v>W93001</v>
          </cell>
          <cell r="C192" t="str">
            <v>Joseph Clark High</v>
          </cell>
          <cell r="D192">
            <v>0</v>
          </cell>
          <cell r="E192">
            <v>0</v>
          </cell>
          <cell r="K192">
            <v>0</v>
          </cell>
          <cell r="L192">
            <v>0</v>
          </cell>
          <cell r="M192">
            <v>0</v>
          </cell>
          <cell r="S192">
            <v>0</v>
          </cell>
        </row>
        <row r="193">
          <cell r="A193" t="str">
            <v>WAA001</v>
          </cell>
          <cell r="B193" t="str">
            <v>WAA001</v>
          </cell>
          <cell r="C193" t="str">
            <v>Morris Jeff Community School</v>
          </cell>
          <cell r="D193">
            <v>4301</v>
          </cell>
          <cell r="E193">
            <v>2150</v>
          </cell>
          <cell r="K193">
            <v>6451</v>
          </cell>
          <cell r="L193">
            <v>5339</v>
          </cell>
          <cell r="M193">
            <v>2670</v>
          </cell>
          <cell r="S193">
            <v>8009</v>
          </cell>
        </row>
        <row r="194">
          <cell r="A194" t="str">
            <v>WAE001</v>
          </cell>
          <cell r="B194" t="str">
            <v>WAE001</v>
          </cell>
          <cell r="C194" t="str">
            <v>Fannie C. Williams Charter School</v>
          </cell>
          <cell r="D194">
            <v>0</v>
          </cell>
          <cell r="E194">
            <v>0</v>
          </cell>
          <cell r="K194">
            <v>0</v>
          </cell>
          <cell r="L194">
            <v>0</v>
          </cell>
          <cell r="M194">
            <v>0</v>
          </cell>
          <cell r="S194">
            <v>0</v>
          </cell>
        </row>
        <row r="195">
          <cell r="A195" t="str">
            <v>WAF001</v>
          </cell>
          <cell r="B195" t="str">
            <v>WAF001</v>
          </cell>
          <cell r="C195" t="str">
            <v>Harriet Tubman Charter School</v>
          </cell>
          <cell r="D195">
            <v>0</v>
          </cell>
          <cell r="E195">
            <v>2150</v>
          </cell>
          <cell r="K195">
            <v>2150</v>
          </cell>
          <cell r="L195">
            <v>0</v>
          </cell>
          <cell r="M195">
            <v>2670</v>
          </cell>
          <cell r="S195">
            <v>2670</v>
          </cell>
        </row>
        <row r="196">
          <cell r="A196" t="str">
            <v>WAH001</v>
          </cell>
          <cell r="B196" t="str">
            <v>WAH001</v>
          </cell>
          <cell r="C196" t="str">
            <v>The NET Charter School</v>
          </cell>
          <cell r="D196">
            <v>-4301</v>
          </cell>
          <cell r="E196">
            <v>0</v>
          </cell>
          <cell r="K196">
            <v>-4301</v>
          </cell>
          <cell r="L196">
            <v>-6151</v>
          </cell>
          <cell r="M196">
            <v>0</v>
          </cell>
          <cell r="S196">
            <v>-6151</v>
          </cell>
        </row>
        <row r="197">
          <cell r="A197" t="str">
            <v>WAI001</v>
          </cell>
          <cell r="B197" t="str">
            <v>WAI001</v>
          </cell>
          <cell r="C197" t="str">
            <v>Crescent Leadership Acdmy</v>
          </cell>
          <cell r="D197">
            <v>0</v>
          </cell>
          <cell r="E197">
            <v>0</v>
          </cell>
          <cell r="K197">
            <v>0</v>
          </cell>
          <cell r="L197">
            <v>0</v>
          </cell>
          <cell r="M197">
            <v>0</v>
          </cell>
          <cell r="S197">
            <v>0</v>
          </cell>
        </row>
        <row r="198">
          <cell r="A198" t="str">
            <v>WAM001</v>
          </cell>
          <cell r="B198" t="str">
            <v>WAM001</v>
          </cell>
          <cell r="C198" t="str">
            <v>Paul Habans Elem</v>
          </cell>
          <cell r="D198">
            <v>4301</v>
          </cell>
          <cell r="E198">
            <v>2150</v>
          </cell>
          <cell r="K198">
            <v>6451</v>
          </cell>
          <cell r="L198">
            <v>5339</v>
          </cell>
          <cell r="M198">
            <v>2670</v>
          </cell>
          <cell r="S198">
            <v>8009</v>
          </cell>
        </row>
        <row r="199">
          <cell r="A199" t="str">
            <v>WE1001</v>
          </cell>
          <cell r="B199" t="str">
            <v>WE1001</v>
          </cell>
          <cell r="C199" t="str">
            <v>Sylvanie Williams College Prep</v>
          </cell>
          <cell r="D199">
            <v>4173</v>
          </cell>
          <cell r="E199">
            <v>-2087</v>
          </cell>
          <cell r="K199">
            <v>2086</v>
          </cell>
          <cell r="L199">
            <v>5339</v>
          </cell>
          <cell r="M199">
            <v>-2670</v>
          </cell>
          <cell r="S199">
            <v>2669</v>
          </cell>
        </row>
        <row r="200">
          <cell r="A200" t="str">
            <v>WE2001</v>
          </cell>
          <cell r="B200" t="str">
            <v>WE2001</v>
          </cell>
          <cell r="C200" t="str">
            <v>Cohen College Prep</v>
          </cell>
          <cell r="D200">
            <v>4301</v>
          </cell>
          <cell r="E200">
            <v>0</v>
          </cell>
          <cell r="K200">
            <v>4301</v>
          </cell>
          <cell r="L200">
            <v>5339</v>
          </cell>
          <cell r="M200">
            <v>0</v>
          </cell>
          <cell r="S200">
            <v>5339</v>
          </cell>
        </row>
        <row r="201">
          <cell r="A201" t="str">
            <v>WE3001</v>
          </cell>
          <cell r="B201" t="str">
            <v>WE3001</v>
          </cell>
          <cell r="C201" t="str">
            <v>Crocker College Prep</v>
          </cell>
          <cell r="D201">
            <v>4301</v>
          </cell>
          <cell r="E201">
            <v>0</v>
          </cell>
          <cell r="K201">
            <v>4301</v>
          </cell>
          <cell r="L201">
            <v>5339</v>
          </cell>
          <cell r="M201">
            <v>0</v>
          </cell>
          <cell r="S201">
            <v>5339</v>
          </cell>
        </row>
        <row r="202">
          <cell r="A202" t="str">
            <v>WI1001</v>
          </cell>
          <cell r="B202" t="str">
            <v>WI1001</v>
          </cell>
          <cell r="C202" t="str">
            <v>Akili Academy of N.O.</v>
          </cell>
          <cell r="D202">
            <v>4298</v>
          </cell>
          <cell r="E202">
            <v>-2149</v>
          </cell>
          <cell r="K202">
            <v>2149</v>
          </cell>
          <cell r="L202">
            <v>5339</v>
          </cell>
          <cell r="M202">
            <v>-2670</v>
          </cell>
          <cell r="S202">
            <v>2669</v>
          </cell>
        </row>
        <row r="203">
          <cell r="A203" t="str">
            <v>WJ2001</v>
          </cell>
          <cell r="B203" t="str">
            <v>WJ2001</v>
          </cell>
          <cell r="C203" t="str">
            <v>G.W. Carver Collegiate Acdmy</v>
          </cell>
          <cell r="D203">
            <v>0</v>
          </cell>
          <cell r="E203">
            <v>-12902</v>
          </cell>
          <cell r="K203">
            <v>-12902</v>
          </cell>
          <cell r="L203">
            <v>0</v>
          </cell>
          <cell r="M203">
            <v>-16017</v>
          </cell>
          <cell r="S203">
            <v>-16017</v>
          </cell>
        </row>
        <row r="204">
          <cell r="A204" t="str">
            <v>WJ4001</v>
          </cell>
          <cell r="B204" t="str">
            <v>WJ4001</v>
          </cell>
          <cell r="C204" t="str">
            <v>Livingston Collegiate Academy</v>
          </cell>
          <cell r="D204">
            <v>0</v>
          </cell>
          <cell r="E204">
            <v>0</v>
          </cell>
          <cell r="K204">
            <v>0</v>
          </cell>
          <cell r="L204">
            <v>0</v>
          </cell>
          <cell r="M204">
            <v>0</v>
          </cell>
          <cell r="S204">
            <v>0</v>
          </cell>
        </row>
        <row r="205">
          <cell r="A205" t="str">
            <v>WL1001</v>
          </cell>
          <cell r="B205" t="str">
            <v>WL1001</v>
          </cell>
          <cell r="C205" t="str">
            <v>KIPP Central City Primary</v>
          </cell>
          <cell r="D205">
            <v>0</v>
          </cell>
          <cell r="E205">
            <v>2148</v>
          </cell>
          <cell r="K205">
            <v>2148</v>
          </cell>
          <cell r="L205">
            <v>0</v>
          </cell>
          <cell r="M205">
            <v>2670</v>
          </cell>
          <cell r="S205">
            <v>2670</v>
          </cell>
        </row>
        <row r="206">
          <cell r="A206" t="str">
            <v>WU1001</v>
          </cell>
          <cell r="B206" t="str">
            <v>WU1001</v>
          </cell>
          <cell r="C206" t="str">
            <v>Success Preparatory Academy</v>
          </cell>
          <cell r="D206">
            <v>0</v>
          </cell>
          <cell r="E206">
            <v>0</v>
          </cell>
          <cell r="K206">
            <v>0</v>
          </cell>
          <cell r="L206">
            <v>0</v>
          </cell>
          <cell r="M206">
            <v>0</v>
          </cell>
          <cell r="S206">
            <v>0</v>
          </cell>
        </row>
        <row r="207">
          <cell r="A207" t="str">
            <v>WV1001</v>
          </cell>
          <cell r="B207" t="str">
            <v>WV1001</v>
          </cell>
          <cell r="C207" t="str">
            <v>Arise Academy</v>
          </cell>
          <cell r="D207">
            <v>0</v>
          </cell>
          <cell r="E207">
            <v>-6451</v>
          </cell>
          <cell r="K207">
            <v>-6451</v>
          </cell>
          <cell r="L207">
            <v>0</v>
          </cell>
          <cell r="M207">
            <v>-9227</v>
          </cell>
          <cell r="S207">
            <v>-9227</v>
          </cell>
        </row>
        <row r="208">
          <cell r="A208" t="str">
            <v>WV2001</v>
          </cell>
          <cell r="B208" t="str">
            <v>WV2001</v>
          </cell>
          <cell r="C208" t="str">
            <v>Mildred Osborne Elem</v>
          </cell>
          <cell r="D208">
            <v>0</v>
          </cell>
          <cell r="E208">
            <v>2150</v>
          </cell>
          <cell r="K208">
            <v>2150</v>
          </cell>
          <cell r="L208">
            <v>0</v>
          </cell>
          <cell r="M208">
            <v>2670</v>
          </cell>
          <cell r="S208">
            <v>2670</v>
          </cell>
        </row>
        <row r="209">
          <cell r="A209" t="str">
            <v>WZ1001</v>
          </cell>
          <cell r="B209" t="str">
            <v>WZ1001</v>
          </cell>
          <cell r="C209" t="str">
            <v>ReNEW Cultural Arts Acdmy.</v>
          </cell>
          <cell r="D209">
            <v>4301</v>
          </cell>
          <cell r="E209">
            <v>-2150</v>
          </cell>
          <cell r="K209">
            <v>2151</v>
          </cell>
          <cell r="L209">
            <v>5339</v>
          </cell>
          <cell r="M209">
            <v>-2670</v>
          </cell>
          <cell r="S209">
            <v>2669</v>
          </cell>
        </row>
        <row r="210">
          <cell r="A210" t="str">
            <v>WZ2001</v>
          </cell>
          <cell r="B210" t="str">
            <v>WZ2001</v>
          </cell>
          <cell r="C210" t="str">
            <v>ReNEW SciTech Acdmy.</v>
          </cell>
          <cell r="D210">
            <v>-4301</v>
          </cell>
          <cell r="E210">
            <v>0</v>
          </cell>
          <cell r="K210">
            <v>-4301</v>
          </cell>
          <cell r="L210">
            <v>-5339</v>
          </cell>
          <cell r="M210">
            <v>0</v>
          </cell>
          <cell r="S210">
            <v>-5339</v>
          </cell>
        </row>
        <row r="211">
          <cell r="A211" t="str">
            <v>WZ3001</v>
          </cell>
          <cell r="B211" t="str">
            <v>WZ3001</v>
          </cell>
          <cell r="C211" t="str">
            <v>ReNEW Delores T. Aaron Elem</v>
          </cell>
          <cell r="D211">
            <v>0</v>
          </cell>
          <cell r="E211">
            <v>-6451</v>
          </cell>
          <cell r="K211">
            <v>-6451</v>
          </cell>
          <cell r="L211">
            <v>0</v>
          </cell>
          <cell r="M211">
            <v>-8009</v>
          </cell>
          <cell r="S211">
            <v>-8009</v>
          </cell>
        </row>
        <row r="212">
          <cell r="A212" t="str">
            <v>WZ5001</v>
          </cell>
          <cell r="B212" t="str">
            <v>WZ5001</v>
          </cell>
          <cell r="C212" t="str">
            <v>ReNEW Accelerated High</v>
          </cell>
          <cell r="D212">
            <v>-8601</v>
          </cell>
          <cell r="E212">
            <v>-40855</v>
          </cell>
          <cell r="K212">
            <v>-49456</v>
          </cell>
          <cell r="L212">
            <v>-10678</v>
          </cell>
          <cell r="M212">
            <v>-50721</v>
          </cell>
          <cell r="S212">
            <v>-61399</v>
          </cell>
        </row>
        <row r="213">
          <cell r="A213" t="str">
            <v>WZ6001</v>
          </cell>
          <cell r="B213" t="str">
            <v>WZ6001</v>
          </cell>
          <cell r="C213" t="str">
            <v>ReNEW Schaumburg Elem</v>
          </cell>
          <cell r="D213">
            <v>-12902</v>
          </cell>
          <cell r="E213">
            <v>4301</v>
          </cell>
          <cell r="K213">
            <v>-8601</v>
          </cell>
          <cell r="L213">
            <v>-16017</v>
          </cell>
          <cell r="M213">
            <v>5339</v>
          </cell>
          <cell r="S213">
            <v>-10678</v>
          </cell>
        </row>
        <row r="214">
          <cell r="A214" t="str">
            <v>WZ7001</v>
          </cell>
          <cell r="B214" t="str">
            <v>WZ7001</v>
          </cell>
          <cell r="C214" t="str">
            <v>ReNEW McDonogh City Park</v>
          </cell>
          <cell r="D214">
            <v>0</v>
          </cell>
          <cell r="E214">
            <v>0</v>
          </cell>
          <cell r="K214">
            <v>0</v>
          </cell>
          <cell r="L214">
            <v>0</v>
          </cell>
          <cell r="M214">
            <v>0</v>
          </cell>
          <cell r="S214">
            <v>0</v>
          </cell>
        </row>
        <row r="215">
          <cell r="A215" t="str">
            <v>WZ9001</v>
          </cell>
          <cell r="B215" t="str">
            <v>WZ9001</v>
          </cell>
          <cell r="C215" t="str">
            <v>The NET 2 Charter School</v>
          </cell>
          <cell r="D215">
            <v>-4301</v>
          </cell>
          <cell r="E215">
            <v>0</v>
          </cell>
          <cell r="K215">
            <v>-4301</v>
          </cell>
          <cell r="L215">
            <v>-6151</v>
          </cell>
          <cell r="M215">
            <v>0</v>
          </cell>
          <cell r="S215">
            <v>-6151</v>
          </cell>
        </row>
        <row r="216">
          <cell r="D216">
            <v>-18104</v>
          </cell>
          <cell r="E216">
            <v>-76617</v>
          </cell>
          <cell r="F216">
            <v>0</v>
          </cell>
          <cell r="G216">
            <v>0</v>
          </cell>
          <cell r="H216">
            <v>0</v>
          </cell>
          <cell r="J216">
            <v>0</v>
          </cell>
          <cell r="K216">
            <v>-94721</v>
          </cell>
          <cell r="L216">
            <v>-26695</v>
          </cell>
          <cell r="M216">
            <v>-99178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-125873</v>
          </cell>
        </row>
      </sheetData>
      <sheetData sheetId="1">
        <row r="7">
          <cell r="J7">
            <v>0</v>
          </cell>
        </row>
      </sheetData>
      <sheetData sheetId="2">
        <row r="7">
          <cell r="J7">
            <v>0</v>
          </cell>
        </row>
      </sheetData>
      <sheetData sheetId="3">
        <row r="7">
          <cell r="J7">
            <v>0</v>
          </cell>
        </row>
      </sheetData>
      <sheetData sheetId="4">
        <row r="7">
          <cell r="J7">
            <v>0</v>
          </cell>
        </row>
      </sheetData>
      <sheetData sheetId="5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26675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6">
        <row r="7">
          <cell r="J7">
            <v>0</v>
          </cell>
        </row>
      </sheetData>
      <sheetData sheetId="7">
        <row r="7">
          <cell r="J7">
            <v>0</v>
          </cell>
        </row>
      </sheetData>
      <sheetData sheetId="8">
        <row r="7">
          <cell r="J7">
            <v>0</v>
          </cell>
        </row>
      </sheetData>
      <sheetData sheetId="9">
        <row r="7">
          <cell r="J7">
            <v>0</v>
          </cell>
        </row>
      </sheetData>
      <sheetData sheetId="10">
        <row r="7">
          <cell r="J7">
            <v>0</v>
          </cell>
        </row>
      </sheetData>
      <sheetData sheetId="11">
        <row r="7">
          <cell r="J7">
            <v>0</v>
          </cell>
        </row>
      </sheetData>
      <sheetData sheetId="12">
        <row r="7">
          <cell r="J7">
            <v>0</v>
          </cell>
        </row>
      </sheetData>
      <sheetData sheetId="13">
        <row r="7">
          <cell r="J7">
            <v>0</v>
          </cell>
        </row>
      </sheetData>
      <sheetData sheetId="14">
        <row r="7">
          <cell r="J7">
            <v>0</v>
          </cell>
        </row>
      </sheetData>
      <sheetData sheetId="15">
        <row r="7">
          <cell r="J7">
            <v>0</v>
          </cell>
        </row>
      </sheetData>
      <sheetData sheetId="16">
        <row r="7">
          <cell r="J7">
            <v>2640</v>
          </cell>
        </row>
      </sheetData>
      <sheetData sheetId="17">
        <row r="7">
          <cell r="J7">
            <v>0</v>
          </cell>
        </row>
      </sheetData>
      <sheetData sheetId="18">
        <row r="7">
          <cell r="J7">
            <v>0</v>
          </cell>
        </row>
      </sheetData>
      <sheetData sheetId="19">
        <row r="7">
          <cell r="J7">
            <v>0</v>
          </cell>
        </row>
      </sheetData>
      <sheetData sheetId="20">
        <row r="7">
          <cell r="J7">
            <v>0</v>
          </cell>
        </row>
      </sheetData>
      <sheetData sheetId="21">
        <row r="7">
          <cell r="J7">
            <v>-6532</v>
          </cell>
        </row>
      </sheetData>
      <sheetData sheetId="22"/>
      <sheetData sheetId="23"/>
      <sheetData sheetId="24"/>
      <sheetData sheetId="25"/>
      <sheetData sheetId="26">
        <row r="7">
          <cell r="J7">
            <v>0</v>
          </cell>
        </row>
      </sheetData>
      <sheetData sheetId="27">
        <row r="7">
          <cell r="J7">
            <v>0</v>
          </cell>
        </row>
      </sheetData>
      <sheetData sheetId="28">
        <row r="7">
          <cell r="J7">
            <v>0</v>
          </cell>
        </row>
      </sheetData>
      <sheetData sheetId="29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0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</sheetData>
      <sheetData sheetId="31">
        <row r="7">
          <cell r="J7">
            <v>0</v>
          </cell>
        </row>
      </sheetData>
      <sheetData sheetId="32">
        <row r="7">
          <cell r="J7">
            <v>0</v>
          </cell>
        </row>
      </sheetData>
      <sheetData sheetId="33">
        <row r="7">
          <cell r="J7">
            <v>0</v>
          </cell>
        </row>
      </sheetData>
      <sheetData sheetId="34">
        <row r="7">
          <cell r="J7">
            <v>0</v>
          </cell>
        </row>
      </sheetData>
      <sheetData sheetId="35">
        <row r="7">
          <cell r="J7">
            <v>0</v>
          </cell>
        </row>
      </sheetData>
      <sheetData sheetId="36">
        <row r="7">
          <cell r="J7">
            <v>0</v>
          </cell>
        </row>
      </sheetData>
      <sheetData sheetId="37">
        <row r="7">
          <cell r="J7">
            <v>0</v>
          </cell>
        </row>
      </sheetData>
      <sheetData sheetId="38">
        <row r="7">
          <cell r="J7">
            <v>0</v>
          </cell>
        </row>
      </sheetData>
      <sheetData sheetId="39">
        <row r="7">
          <cell r="J7">
            <v>0</v>
          </cell>
        </row>
      </sheetData>
      <sheetData sheetId="40">
        <row r="7">
          <cell r="J7">
            <v>0</v>
          </cell>
        </row>
      </sheetData>
      <sheetData sheetId="41">
        <row r="7">
          <cell r="J7">
            <v>0</v>
          </cell>
        </row>
      </sheetData>
      <sheetData sheetId="42">
        <row r="7">
          <cell r="J7">
            <v>0</v>
          </cell>
        </row>
      </sheetData>
      <sheetData sheetId="43">
        <row r="7">
          <cell r="J7">
            <v>0</v>
          </cell>
        </row>
      </sheetData>
      <sheetData sheetId="44">
        <row r="7">
          <cell r="J7">
            <v>0</v>
          </cell>
        </row>
      </sheetData>
      <sheetData sheetId="45">
        <row r="7">
          <cell r="J7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OPSB"/>
    </sheetNames>
    <sheetDataSet>
      <sheetData sheetId="0">
        <row r="3">
          <cell r="A3">
            <v>1</v>
          </cell>
          <cell r="B3"/>
          <cell r="C3" t="str">
            <v>Acadia</v>
          </cell>
          <cell r="D3"/>
          <cell r="E3"/>
          <cell r="F3"/>
          <cell r="G3">
            <v>0</v>
          </cell>
        </row>
        <row r="4">
          <cell r="A4">
            <v>2</v>
          </cell>
          <cell r="B4"/>
          <cell r="C4" t="str">
            <v>Allen</v>
          </cell>
          <cell r="D4"/>
          <cell r="E4"/>
          <cell r="F4"/>
          <cell r="G4">
            <v>0</v>
          </cell>
        </row>
        <row r="5">
          <cell r="A5">
            <v>3</v>
          </cell>
          <cell r="B5"/>
          <cell r="C5" t="str">
            <v>Ascension</v>
          </cell>
          <cell r="D5"/>
          <cell r="E5"/>
          <cell r="F5"/>
          <cell r="G5">
            <v>0</v>
          </cell>
        </row>
        <row r="6">
          <cell r="A6">
            <v>4</v>
          </cell>
          <cell r="B6"/>
          <cell r="C6" t="str">
            <v>Assumption</v>
          </cell>
          <cell r="D6">
            <v>2</v>
          </cell>
          <cell r="E6"/>
          <cell r="F6"/>
          <cell r="G6">
            <v>2</v>
          </cell>
        </row>
        <row r="7">
          <cell r="A7">
            <v>5</v>
          </cell>
          <cell r="B7"/>
          <cell r="C7" t="str">
            <v>Avoyelles</v>
          </cell>
          <cell r="D7"/>
          <cell r="E7"/>
          <cell r="F7"/>
          <cell r="G7">
            <v>0</v>
          </cell>
        </row>
        <row r="8">
          <cell r="A8">
            <v>6</v>
          </cell>
          <cell r="B8"/>
          <cell r="C8" t="str">
            <v>Beauregard</v>
          </cell>
          <cell r="D8"/>
          <cell r="E8"/>
          <cell r="F8"/>
          <cell r="G8">
            <v>0</v>
          </cell>
        </row>
        <row r="9">
          <cell r="A9">
            <v>7</v>
          </cell>
          <cell r="B9"/>
          <cell r="C9" t="str">
            <v>Bienville</v>
          </cell>
          <cell r="D9"/>
          <cell r="E9"/>
          <cell r="F9"/>
          <cell r="G9">
            <v>0</v>
          </cell>
        </row>
        <row r="10">
          <cell r="A10">
            <v>8</v>
          </cell>
          <cell r="B10"/>
          <cell r="C10" t="str">
            <v>Bossier</v>
          </cell>
          <cell r="D10"/>
          <cell r="E10">
            <v>3</v>
          </cell>
          <cell r="F10"/>
          <cell r="G10">
            <v>3</v>
          </cell>
        </row>
        <row r="11">
          <cell r="A11">
            <v>9</v>
          </cell>
          <cell r="B11"/>
          <cell r="C11" t="str">
            <v>Caddo</v>
          </cell>
          <cell r="D11">
            <v>2</v>
          </cell>
          <cell r="E11">
            <v>10</v>
          </cell>
          <cell r="F11"/>
          <cell r="G11">
            <v>12</v>
          </cell>
        </row>
        <row r="12">
          <cell r="A12">
            <v>10</v>
          </cell>
          <cell r="B12"/>
          <cell r="C12" t="str">
            <v>Calcasieu</v>
          </cell>
          <cell r="D12">
            <v>15</v>
          </cell>
          <cell r="E12">
            <v>18</v>
          </cell>
          <cell r="F12"/>
          <cell r="G12">
            <v>33</v>
          </cell>
        </row>
        <row r="13">
          <cell r="A13">
            <v>11</v>
          </cell>
          <cell r="B13"/>
          <cell r="C13" t="str">
            <v>Caldwell</v>
          </cell>
          <cell r="D13"/>
          <cell r="E13"/>
          <cell r="F13"/>
          <cell r="G13">
            <v>0</v>
          </cell>
        </row>
        <row r="14">
          <cell r="A14">
            <v>12</v>
          </cell>
          <cell r="B14"/>
          <cell r="C14" t="str">
            <v>Cameron</v>
          </cell>
          <cell r="D14"/>
          <cell r="E14"/>
          <cell r="F14"/>
          <cell r="G14">
            <v>0</v>
          </cell>
        </row>
        <row r="15">
          <cell r="A15">
            <v>13</v>
          </cell>
          <cell r="B15"/>
          <cell r="C15" t="str">
            <v>Catahoula</v>
          </cell>
          <cell r="D15"/>
          <cell r="E15"/>
          <cell r="F15"/>
          <cell r="G15">
            <v>0</v>
          </cell>
        </row>
        <row r="16">
          <cell r="A16">
            <v>14</v>
          </cell>
          <cell r="B16"/>
          <cell r="C16" t="str">
            <v>Claiborne</v>
          </cell>
          <cell r="D16"/>
          <cell r="E16"/>
          <cell r="F16"/>
          <cell r="G16">
            <v>0</v>
          </cell>
        </row>
        <row r="17">
          <cell r="A17">
            <v>15</v>
          </cell>
          <cell r="B17"/>
          <cell r="C17" t="str">
            <v>Concordia</v>
          </cell>
          <cell r="D17"/>
          <cell r="E17">
            <v>2</v>
          </cell>
          <cell r="F17"/>
          <cell r="G17">
            <v>2</v>
          </cell>
        </row>
        <row r="18">
          <cell r="A18">
            <v>16</v>
          </cell>
          <cell r="B18"/>
          <cell r="C18" t="str">
            <v>DeSoto</v>
          </cell>
          <cell r="D18"/>
          <cell r="E18"/>
          <cell r="F18"/>
          <cell r="G18">
            <v>0</v>
          </cell>
        </row>
        <row r="19">
          <cell r="A19">
            <v>17</v>
          </cell>
          <cell r="B19"/>
          <cell r="C19" t="str">
            <v>East Baton Rouge</v>
          </cell>
          <cell r="D19">
            <v>9</v>
          </cell>
          <cell r="E19">
            <v>11</v>
          </cell>
          <cell r="F19"/>
          <cell r="G19">
            <v>20</v>
          </cell>
        </row>
        <row r="20">
          <cell r="A20">
            <v>18</v>
          </cell>
          <cell r="B20"/>
          <cell r="C20" t="str">
            <v>East Carroll</v>
          </cell>
          <cell r="D20"/>
          <cell r="E20">
            <v>2</v>
          </cell>
          <cell r="F20"/>
          <cell r="G20">
            <v>2</v>
          </cell>
        </row>
        <row r="21">
          <cell r="A21">
            <v>19</v>
          </cell>
          <cell r="B21"/>
          <cell r="C21" t="str">
            <v>East Feliciana</v>
          </cell>
          <cell r="D21"/>
          <cell r="E21"/>
          <cell r="F21"/>
          <cell r="G21">
            <v>0</v>
          </cell>
        </row>
        <row r="22">
          <cell r="A22">
            <v>20</v>
          </cell>
          <cell r="B22"/>
          <cell r="C22" t="str">
            <v>Evangeline</v>
          </cell>
          <cell r="D22">
            <v>5</v>
          </cell>
          <cell r="E22"/>
          <cell r="F22"/>
          <cell r="G22">
            <v>5</v>
          </cell>
        </row>
        <row r="23">
          <cell r="A23">
            <v>21</v>
          </cell>
          <cell r="B23"/>
          <cell r="C23" t="str">
            <v>Franklin</v>
          </cell>
          <cell r="D23"/>
          <cell r="E23"/>
          <cell r="F23"/>
          <cell r="G23">
            <v>0</v>
          </cell>
        </row>
        <row r="24">
          <cell r="A24">
            <v>22</v>
          </cell>
          <cell r="B24"/>
          <cell r="C24" t="str">
            <v>Grant</v>
          </cell>
          <cell r="D24"/>
          <cell r="E24"/>
          <cell r="F24"/>
          <cell r="G24">
            <v>0</v>
          </cell>
        </row>
        <row r="25">
          <cell r="A25">
            <v>23</v>
          </cell>
          <cell r="B25"/>
          <cell r="C25" t="str">
            <v>Iberia</v>
          </cell>
          <cell r="D25">
            <v>15</v>
          </cell>
          <cell r="E25"/>
          <cell r="F25"/>
          <cell r="G25">
            <v>15</v>
          </cell>
        </row>
        <row r="26">
          <cell r="A26">
            <v>24</v>
          </cell>
          <cell r="B26"/>
          <cell r="C26" t="str">
            <v>Iberville</v>
          </cell>
          <cell r="D26"/>
          <cell r="E26"/>
          <cell r="F26"/>
          <cell r="G26">
            <v>0</v>
          </cell>
        </row>
        <row r="27">
          <cell r="A27">
            <v>25</v>
          </cell>
          <cell r="B27"/>
          <cell r="C27" t="str">
            <v>Jackson</v>
          </cell>
          <cell r="D27"/>
          <cell r="E27"/>
          <cell r="F27"/>
          <cell r="G27">
            <v>0</v>
          </cell>
        </row>
        <row r="28">
          <cell r="A28">
            <v>26</v>
          </cell>
          <cell r="B28"/>
          <cell r="C28" t="str">
            <v>Jefferson</v>
          </cell>
          <cell r="D28">
            <v>8</v>
          </cell>
          <cell r="E28">
            <v>14</v>
          </cell>
          <cell r="F28"/>
          <cell r="G28">
            <v>22</v>
          </cell>
        </row>
        <row r="29">
          <cell r="A29">
            <v>27</v>
          </cell>
          <cell r="B29"/>
          <cell r="C29" t="str">
            <v>Jefferson Davis</v>
          </cell>
          <cell r="D29"/>
          <cell r="E29"/>
          <cell r="F29"/>
          <cell r="G29">
            <v>0</v>
          </cell>
        </row>
        <row r="30">
          <cell r="A30">
            <v>28</v>
          </cell>
          <cell r="B30"/>
          <cell r="C30" t="str">
            <v>Lafayette</v>
          </cell>
          <cell r="D30">
            <v>29</v>
          </cell>
          <cell r="E30">
            <v>11</v>
          </cell>
          <cell r="F30">
            <v>2</v>
          </cell>
          <cell r="G30">
            <v>42</v>
          </cell>
        </row>
        <row r="31">
          <cell r="A31">
            <v>29</v>
          </cell>
          <cell r="B31"/>
          <cell r="C31" t="str">
            <v>Lafourche</v>
          </cell>
          <cell r="D31">
            <v>13</v>
          </cell>
          <cell r="E31"/>
          <cell r="F31"/>
          <cell r="G31">
            <v>13</v>
          </cell>
        </row>
        <row r="32">
          <cell r="A32">
            <v>30</v>
          </cell>
          <cell r="B32"/>
          <cell r="C32" t="str">
            <v>LaSalle</v>
          </cell>
          <cell r="D32"/>
          <cell r="E32"/>
          <cell r="F32"/>
          <cell r="G32">
            <v>0</v>
          </cell>
        </row>
        <row r="33">
          <cell r="A33">
            <v>31</v>
          </cell>
          <cell r="B33"/>
          <cell r="C33" t="str">
            <v>Lincoln</v>
          </cell>
          <cell r="D33">
            <v>2</v>
          </cell>
          <cell r="E33"/>
          <cell r="F33"/>
          <cell r="G33">
            <v>2</v>
          </cell>
        </row>
        <row r="34">
          <cell r="A34">
            <v>32</v>
          </cell>
          <cell r="B34"/>
          <cell r="C34" t="str">
            <v>Livingston</v>
          </cell>
          <cell r="D34"/>
          <cell r="E34"/>
          <cell r="F34"/>
          <cell r="G34">
            <v>0</v>
          </cell>
        </row>
        <row r="35">
          <cell r="A35">
            <v>33</v>
          </cell>
          <cell r="B35"/>
          <cell r="C35" t="str">
            <v>Madison</v>
          </cell>
          <cell r="D35"/>
          <cell r="E35"/>
          <cell r="F35"/>
          <cell r="G35">
            <v>0</v>
          </cell>
        </row>
        <row r="36">
          <cell r="A36">
            <v>34</v>
          </cell>
          <cell r="B36"/>
          <cell r="C36" t="str">
            <v>Morehouse</v>
          </cell>
          <cell r="D36"/>
          <cell r="E36"/>
          <cell r="F36"/>
          <cell r="G36">
            <v>0</v>
          </cell>
        </row>
        <row r="37">
          <cell r="A37">
            <v>35</v>
          </cell>
          <cell r="B37"/>
          <cell r="C37" t="str">
            <v>Natchitoches</v>
          </cell>
          <cell r="D37"/>
          <cell r="E37"/>
          <cell r="F37"/>
          <cell r="G37">
            <v>0</v>
          </cell>
        </row>
        <row r="38">
          <cell r="A38">
            <v>36</v>
          </cell>
          <cell r="B38"/>
          <cell r="C38" t="str">
            <v>Orleans (See OPSB Tab)</v>
          </cell>
          <cell r="D38">
            <v>21</v>
          </cell>
          <cell r="E38">
            <v>4</v>
          </cell>
          <cell r="F38">
            <v>0</v>
          </cell>
          <cell r="G38">
            <v>25</v>
          </cell>
        </row>
        <row r="39">
          <cell r="A39">
            <v>37</v>
          </cell>
          <cell r="B39"/>
          <cell r="C39" t="str">
            <v>Ouachita</v>
          </cell>
          <cell r="D39"/>
          <cell r="E39"/>
          <cell r="F39"/>
          <cell r="G39">
            <v>0</v>
          </cell>
        </row>
        <row r="40">
          <cell r="A40">
            <v>38</v>
          </cell>
          <cell r="B40"/>
          <cell r="C40" t="str">
            <v>Plaquemines</v>
          </cell>
          <cell r="D40"/>
          <cell r="E40"/>
          <cell r="F40"/>
          <cell r="G40">
            <v>0</v>
          </cell>
        </row>
        <row r="41">
          <cell r="A41">
            <v>39</v>
          </cell>
          <cell r="B41"/>
          <cell r="C41" t="str">
            <v>Pointe Coupee</v>
          </cell>
          <cell r="D41">
            <v>3</v>
          </cell>
          <cell r="E41"/>
          <cell r="F41"/>
          <cell r="G41">
            <v>3</v>
          </cell>
        </row>
        <row r="42">
          <cell r="A42">
            <v>40</v>
          </cell>
          <cell r="B42"/>
          <cell r="C42" t="str">
            <v>Rapides</v>
          </cell>
          <cell r="D42"/>
          <cell r="E42"/>
          <cell r="F42"/>
          <cell r="G42">
            <v>0</v>
          </cell>
        </row>
        <row r="43">
          <cell r="A43">
            <v>41</v>
          </cell>
          <cell r="B43"/>
          <cell r="C43" t="str">
            <v>Red River</v>
          </cell>
          <cell r="D43"/>
          <cell r="E43"/>
          <cell r="F43"/>
          <cell r="G43">
            <v>0</v>
          </cell>
        </row>
        <row r="44">
          <cell r="A44">
            <v>42</v>
          </cell>
          <cell r="B44"/>
          <cell r="C44" t="str">
            <v>Richland</v>
          </cell>
          <cell r="D44"/>
          <cell r="E44"/>
          <cell r="F44"/>
          <cell r="G44">
            <v>0</v>
          </cell>
        </row>
        <row r="45">
          <cell r="A45">
            <v>43</v>
          </cell>
          <cell r="B45"/>
          <cell r="C45" t="str">
            <v>Sabine</v>
          </cell>
          <cell r="D45"/>
          <cell r="E45"/>
          <cell r="F45"/>
          <cell r="G45">
            <v>0</v>
          </cell>
        </row>
        <row r="46">
          <cell r="A46">
            <v>44</v>
          </cell>
          <cell r="B46"/>
          <cell r="C46" t="str">
            <v>St. Bernard</v>
          </cell>
          <cell r="D46"/>
          <cell r="E46"/>
          <cell r="F46"/>
          <cell r="G46">
            <v>0</v>
          </cell>
        </row>
        <row r="47">
          <cell r="A47">
            <v>45</v>
          </cell>
          <cell r="B47"/>
          <cell r="C47" t="str">
            <v>St. Charles</v>
          </cell>
          <cell r="D47"/>
          <cell r="E47"/>
          <cell r="F47"/>
          <cell r="G47">
            <v>0</v>
          </cell>
        </row>
        <row r="48">
          <cell r="A48">
            <v>46</v>
          </cell>
          <cell r="B48"/>
          <cell r="C48" t="str">
            <v>St. Helena</v>
          </cell>
          <cell r="D48"/>
          <cell r="E48"/>
          <cell r="F48"/>
          <cell r="G48">
            <v>0</v>
          </cell>
        </row>
        <row r="49">
          <cell r="A49">
            <v>47</v>
          </cell>
          <cell r="B49"/>
          <cell r="C49" t="str">
            <v>St. James</v>
          </cell>
          <cell r="D49"/>
          <cell r="E49"/>
          <cell r="F49"/>
          <cell r="G49">
            <v>0</v>
          </cell>
        </row>
        <row r="50">
          <cell r="A50">
            <v>48</v>
          </cell>
          <cell r="B50"/>
          <cell r="C50" t="str">
            <v>St. John the Baptist</v>
          </cell>
          <cell r="D50"/>
          <cell r="E50"/>
          <cell r="F50"/>
          <cell r="G50">
            <v>0</v>
          </cell>
        </row>
        <row r="51">
          <cell r="A51">
            <v>49</v>
          </cell>
          <cell r="B51"/>
          <cell r="C51" t="str">
            <v>St. Landry</v>
          </cell>
          <cell r="D51"/>
          <cell r="E51"/>
          <cell r="F51"/>
          <cell r="G51">
            <v>0</v>
          </cell>
        </row>
        <row r="52">
          <cell r="A52">
            <v>50</v>
          </cell>
          <cell r="B52"/>
          <cell r="C52" t="str">
            <v>St. Martin</v>
          </cell>
          <cell r="D52">
            <v>9</v>
          </cell>
          <cell r="E52"/>
          <cell r="F52"/>
          <cell r="G52">
            <v>9</v>
          </cell>
        </row>
        <row r="53">
          <cell r="A53">
            <v>51</v>
          </cell>
          <cell r="B53"/>
          <cell r="C53" t="str">
            <v>St. Mary</v>
          </cell>
          <cell r="D53"/>
          <cell r="E53"/>
          <cell r="F53"/>
          <cell r="G53">
            <v>0</v>
          </cell>
        </row>
        <row r="54">
          <cell r="A54">
            <v>52</v>
          </cell>
          <cell r="B54"/>
          <cell r="C54" t="str">
            <v>St. Tammany</v>
          </cell>
          <cell r="D54"/>
          <cell r="E54"/>
          <cell r="F54"/>
          <cell r="G54">
            <v>0</v>
          </cell>
        </row>
        <row r="55">
          <cell r="A55">
            <v>53</v>
          </cell>
          <cell r="B55"/>
          <cell r="C55" t="str">
            <v>Tangipahoa</v>
          </cell>
          <cell r="D55"/>
          <cell r="E55"/>
          <cell r="F55"/>
          <cell r="G55">
            <v>0</v>
          </cell>
        </row>
        <row r="56">
          <cell r="A56">
            <v>54</v>
          </cell>
          <cell r="B56"/>
          <cell r="C56" t="str">
            <v>Tensas</v>
          </cell>
          <cell r="D56"/>
          <cell r="E56"/>
          <cell r="F56"/>
          <cell r="G56">
            <v>0</v>
          </cell>
        </row>
        <row r="57">
          <cell r="A57">
            <v>55</v>
          </cell>
          <cell r="B57"/>
          <cell r="C57" t="str">
            <v>Terrebonne</v>
          </cell>
          <cell r="D57"/>
          <cell r="E57"/>
          <cell r="F57"/>
          <cell r="G57">
            <v>0</v>
          </cell>
        </row>
        <row r="58">
          <cell r="A58">
            <v>56</v>
          </cell>
          <cell r="B58"/>
          <cell r="C58" t="str">
            <v>Union</v>
          </cell>
          <cell r="D58"/>
          <cell r="E58"/>
          <cell r="F58"/>
          <cell r="G58">
            <v>0</v>
          </cell>
        </row>
        <row r="59">
          <cell r="A59">
            <v>57</v>
          </cell>
          <cell r="B59"/>
          <cell r="C59" t="str">
            <v>Vermilion</v>
          </cell>
          <cell r="D59"/>
          <cell r="E59"/>
          <cell r="F59"/>
          <cell r="G59">
            <v>0</v>
          </cell>
        </row>
        <row r="60">
          <cell r="A60">
            <v>58</v>
          </cell>
          <cell r="B60"/>
          <cell r="C60" t="str">
            <v>Vernon</v>
          </cell>
          <cell r="D60"/>
          <cell r="E60"/>
          <cell r="F60"/>
          <cell r="G60">
            <v>0</v>
          </cell>
        </row>
        <row r="61">
          <cell r="A61">
            <v>59</v>
          </cell>
          <cell r="B61"/>
          <cell r="C61" t="str">
            <v>Washington</v>
          </cell>
          <cell r="D61"/>
          <cell r="E61"/>
          <cell r="F61"/>
          <cell r="G61">
            <v>0</v>
          </cell>
        </row>
        <row r="62">
          <cell r="A62">
            <v>60</v>
          </cell>
          <cell r="B62"/>
          <cell r="C62" t="str">
            <v>Webster</v>
          </cell>
          <cell r="D62"/>
          <cell r="E62"/>
          <cell r="F62"/>
          <cell r="G62">
            <v>0</v>
          </cell>
        </row>
        <row r="63">
          <cell r="A63">
            <v>61</v>
          </cell>
          <cell r="B63"/>
          <cell r="C63" t="str">
            <v>West Baton Rouge</v>
          </cell>
          <cell r="D63"/>
          <cell r="E63"/>
          <cell r="F63"/>
          <cell r="G63">
            <v>0</v>
          </cell>
        </row>
        <row r="64">
          <cell r="A64">
            <v>62</v>
          </cell>
          <cell r="B64"/>
          <cell r="C64" t="str">
            <v>West Carroll</v>
          </cell>
          <cell r="D64"/>
          <cell r="E64"/>
          <cell r="F64"/>
          <cell r="G64">
            <v>0</v>
          </cell>
        </row>
        <row r="65">
          <cell r="A65">
            <v>63</v>
          </cell>
          <cell r="B65"/>
          <cell r="C65" t="str">
            <v>West Feliciana</v>
          </cell>
          <cell r="D65"/>
          <cell r="E65"/>
          <cell r="F65"/>
          <cell r="G65">
            <v>0</v>
          </cell>
        </row>
        <row r="66">
          <cell r="A66">
            <v>64</v>
          </cell>
          <cell r="B66"/>
          <cell r="C66" t="str">
            <v>Winn</v>
          </cell>
          <cell r="D66"/>
          <cell r="E66"/>
          <cell r="F66"/>
          <cell r="G66">
            <v>0</v>
          </cell>
        </row>
        <row r="67">
          <cell r="A67">
            <v>65</v>
          </cell>
          <cell r="B67"/>
          <cell r="C67" t="str">
            <v>City of Monroe</v>
          </cell>
          <cell r="D67"/>
          <cell r="E67"/>
          <cell r="F67"/>
          <cell r="G67">
            <v>0</v>
          </cell>
        </row>
        <row r="68">
          <cell r="A68">
            <v>66</v>
          </cell>
          <cell r="B68"/>
          <cell r="C68" t="str">
            <v>City of Bogalusa</v>
          </cell>
          <cell r="D68"/>
          <cell r="E68"/>
          <cell r="F68"/>
          <cell r="G68">
            <v>0</v>
          </cell>
        </row>
        <row r="69">
          <cell r="A69">
            <v>67</v>
          </cell>
          <cell r="B69"/>
          <cell r="C69" t="str">
            <v>Zachary Community</v>
          </cell>
          <cell r="D69"/>
          <cell r="E69"/>
          <cell r="F69"/>
          <cell r="G69">
            <v>0</v>
          </cell>
        </row>
        <row r="70">
          <cell r="A70">
            <v>68</v>
          </cell>
          <cell r="B70"/>
          <cell r="C70" t="str">
            <v>City of Baker</v>
          </cell>
          <cell r="D70"/>
          <cell r="E70"/>
          <cell r="F70"/>
          <cell r="G70">
            <v>0</v>
          </cell>
        </row>
        <row r="71">
          <cell r="A71">
            <v>69</v>
          </cell>
          <cell r="B71"/>
          <cell r="C71" t="str">
            <v>Central Community</v>
          </cell>
          <cell r="D71"/>
          <cell r="E71"/>
          <cell r="F71"/>
          <cell r="G71">
            <v>0</v>
          </cell>
        </row>
        <row r="72">
          <cell r="A72"/>
          <cell r="B72"/>
          <cell r="C72" t="str">
            <v>Totals</v>
          </cell>
          <cell r="D72">
            <v>133</v>
          </cell>
          <cell r="E72">
            <v>75</v>
          </cell>
          <cell r="F72">
            <v>2</v>
          </cell>
          <cell r="G72">
            <v>210</v>
          </cell>
        </row>
        <row r="73">
          <cell r="A73"/>
          <cell r="B73"/>
          <cell r="C73"/>
          <cell r="D73"/>
          <cell r="E73"/>
          <cell r="F73"/>
          <cell r="G73"/>
        </row>
        <row r="74">
          <cell r="A74">
            <v>318001</v>
          </cell>
          <cell r="B74">
            <v>318001</v>
          </cell>
          <cell r="C74" t="str">
            <v>LSU Lab School</v>
          </cell>
          <cell r="D74"/>
          <cell r="E74"/>
          <cell r="F74"/>
          <cell r="G74">
            <v>0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  <cell r="D75"/>
          <cell r="E75"/>
          <cell r="F75"/>
          <cell r="G75">
            <v>0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  <cell r="D76"/>
          <cell r="E76"/>
          <cell r="F76"/>
          <cell r="G76">
            <v>0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  <cell r="D77"/>
          <cell r="E77"/>
          <cell r="F77"/>
          <cell r="G77">
            <v>0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  <cell r="D78"/>
          <cell r="E78"/>
          <cell r="F78"/>
          <cell r="G78">
            <v>0</v>
          </cell>
        </row>
        <row r="79">
          <cell r="A79"/>
          <cell r="B79"/>
          <cell r="C79" t="str">
            <v>Total Lab &amp; State Approved Schools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/>
          <cell r="B80"/>
          <cell r="C80"/>
          <cell r="D80"/>
          <cell r="E80"/>
          <cell r="F80"/>
          <cell r="G80"/>
        </row>
        <row r="81">
          <cell r="A81">
            <v>321001</v>
          </cell>
          <cell r="B81">
            <v>321001</v>
          </cell>
          <cell r="C81" t="str">
            <v>New Vision Learning</v>
          </cell>
          <cell r="D81"/>
          <cell r="E81"/>
          <cell r="F81"/>
          <cell r="G81">
            <v>0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  <cell r="D82"/>
          <cell r="E82"/>
          <cell r="F82"/>
          <cell r="G82">
            <v>0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  <cell r="E83">
            <v>9</v>
          </cell>
          <cell r="F83"/>
          <cell r="G83">
            <v>20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  <cell r="D84"/>
          <cell r="E84"/>
          <cell r="F84"/>
          <cell r="G84">
            <v>0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  <cell r="D85"/>
          <cell r="E85"/>
          <cell r="F85"/>
          <cell r="G85">
            <v>0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  <cell r="D86"/>
          <cell r="E86"/>
          <cell r="F86"/>
          <cell r="G86">
            <v>0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  <cell r="D87"/>
          <cell r="E87"/>
          <cell r="F87"/>
          <cell r="G87">
            <v>0</v>
          </cell>
        </row>
        <row r="88">
          <cell r="A88"/>
          <cell r="B88"/>
          <cell r="C88" t="str">
            <v>Total Legacy Type 2 Charter Schools</v>
          </cell>
          <cell r="D88">
            <v>11</v>
          </cell>
          <cell r="E88">
            <v>9</v>
          </cell>
          <cell r="F88">
            <v>0</v>
          </cell>
          <cell r="G88">
            <v>20</v>
          </cell>
        </row>
        <row r="89">
          <cell r="A89"/>
          <cell r="B89"/>
          <cell r="C89"/>
          <cell r="D89"/>
          <cell r="E89"/>
          <cell r="F89"/>
          <cell r="G89"/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  <cell r="D90"/>
          <cell r="E90"/>
          <cell r="F90"/>
          <cell r="G90">
            <v>0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  <cell r="D91"/>
          <cell r="E91"/>
          <cell r="F91"/>
          <cell r="G91">
            <v>0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  <cell r="D92"/>
          <cell r="E92"/>
          <cell r="F92"/>
          <cell r="G92">
            <v>0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  <cell r="D93"/>
          <cell r="E93"/>
          <cell r="F93"/>
          <cell r="G93">
            <v>0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  <cell r="D94"/>
          <cell r="E94"/>
          <cell r="F94"/>
          <cell r="G94">
            <v>0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35</v>
          </cell>
          <cell r="E95">
            <v>1</v>
          </cell>
          <cell r="F95"/>
          <cell r="G95">
            <v>36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  <cell r="D96"/>
          <cell r="E96"/>
          <cell r="F96"/>
          <cell r="G96">
            <v>0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  <cell r="D97"/>
          <cell r="E97"/>
          <cell r="F97"/>
          <cell r="G97">
            <v>0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  <cell r="D98"/>
          <cell r="E98"/>
          <cell r="F98"/>
          <cell r="G98">
            <v>0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  <cell r="D99"/>
          <cell r="E99"/>
          <cell r="F99"/>
          <cell r="G99">
            <v>0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  <cell r="D100"/>
          <cell r="E100"/>
          <cell r="F100"/>
          <cell r="G100">
            <v>0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  <cell r="D101"/>
          <cell r="E101"/>
          <cell r="F101"/>
          <cell r="G101">
            <v>0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  <cell r="D102"/>
          <cell r="E102"/>
          <cell r="F102"/>
          <cell r="G102">
            <v>0</v>
          </cell>
        </row>
        <row r="103">
          <cell r="A103" t="str">
            <v>W34001</v>
          </cell>
          <cell r="B103" t="str">
            <v>W34001</v>
          </cell>
          <cell r="C103" t="str">
            <v>Laurel Oaks Charter School</v>
          </cell>
          <cell r="D103"/>
          <cell r="E103"/>
          <cell r="F103"/>
          <cell r="G103">
            <v>0</v>
          </cell>
        </row>
        <row r="104">
          <cell r="A104" t="str">
            <v>W35001</v>
          </cell>
          <cell r="B104" t="str">
            <v>W35001</v>
          </cell>
          <cell r="C104" t="str">
            <v>Apex Collegiate Academy</v>
          </cell>
          <cell r="D104"/>
          <cell r="E104">
            <v>1</v>
          </cell>
          <cell r="F104"/>
          <cell r="G104">
            <v>1</v>
          </cell>
        </row>
        <row r="105">
          <cell r="A105" t="str">
            <v>W36001</v>
          </cell>
          <cell r="B105" t="str">
            <v>W36001</v>
          </cell>
          <cell r="C105" t="str">
            <v>Smothers Academy</v>
          </cell>
          <cell r="D105"/>
          <cell r="E105"/>
          <cell r="F105"/>
          <cell r="G105">
            <v>0</v>
          </cell>
        </row>
        <row r="106">
          <cell r="A106" t="str">
            <v>W37001</v>
          </cell>
          <cell r="B106" t="str">
            <v>W37001</v>
          </cell>
          <cell r="C106" t="str">
            <v>Greater Grace Charter Academy</v>
          </cell>
          <cell r="D106"/>
          <cell r="E106"/>
          <cell r="F106"/>
          <cell r="G106">
            <v>0</v>
          </cell>
        </row>
        <row r="107">
          <cell r="A107" t="str">
            <v>W3B001</v>
          </cell>
          <cell r="B107" t="str">
            <v>3A3002</v>
          </cell>
          <cell r="C107" t="str">
            <v>Iberville Charter Academy</v>
          </cell>
          <cell r="D107"/>
          <cell r="E107"/>
          <cell r="F107"/>
          <cell r="G107">
            <v>0</v>
          </cell>
        </row>
        <row r="108">
          <cell r="A108" t="str">
            <v>W4A001</v>
          </cell>
          <cell r="B108" t="str">
            <v>3A4001</v>
          </cell>
          <cell r="C108" t="str">
            <v xml:space="preserve">Delta Charter School </v>
          </cell>
          <cell r="D108"/>
          <cell r="E108"/>
          <cell r="F108"/>
          <cell r="G108">
            <v>0</v>
          </cell>
        </row>
        <row r="109">
          <cell r="A109" t="str">
            <v>W4B001</v>
          </cell>
          <cell r="B109">
            <v>328002</v>
          </cell>
          <cell r="C109" t="str">
            <v>Lake Charles College Prep</v>
          </cell>
          <cell r="D109"/>
          <cell r="E109"/>
          <cell r="F109"/>
          <cell r="G109">
            <v>0</v>
          </cell>
        </row>
        <row r="110">
          <cell r="A110" t="str">
            <v>W5B001</v>
          </cell>
          <cell r="B110" t="str">
            <v>3B5001</v>
          </cell>
          <cell r="C110" t="str">
            <v>Northeast Claiborne Charter</v>
          </cell>
          <cell r="D110"/>
          <cell r="E110"/>
          <cell r="F110"/>
          <cell r="G110">
            <v>0</v>
          </cell>
        </row>
        <row r="111">
          <cell r="A111" t="str">
            <v>W6B001</v>
          </cell>
          <cell r="B111" t="str">
            <v>3B6001</v>
          </cell>
          <cell r="C111" t="str">
            <v>Acadiana Renaissance</v>
          </cell>
          <cell r="D111"/>
          <cell r="E111"/>
          <cell r="F111"/>
          <cell r="G111">
            <v>0</v>
          </cell>
        </row>
        <row r="112">
          <cell r="A112" t="str">
            <v>W7A001</v>
          </cell>
          <cell r="B112" t="str">
            <v>3A7001</v>
          </cell>
          <cell r="C112" t="str">
            <v xml:space="preserve">Louisiana Key Academy </v>
          </cell>
          <cell r="D112"/>
          <cell r="E112"/>
          <cell r="F112"/>
          <cell r="G112">
            <v>0</v>
          </cell>
        </row>
        <row r="113">
          <cell r="A113" t="str">
            <v>W7B001</v>
          </cell>
          <cell r="B113" t="str">
            <v>3B6002</v>
          </cell>
          <cell r="C113" t="str">
            <v>Lafayette Renaissance</v>
          </cell>
          <cell r="D113"/>
          <cell r="E113"/>
          <cell r="F113"/>
          <cell r="G113">
            <v>0</v>
          </cell>
        </row>
        <row r="114">
          <cell r="A114" t="str">
            <v>W8A001</v>
          </cell>
          <cell r="B114" t="str">
            <v>3A8001</v>
          </cell>
          <cell r="C114" t="str">
            <v>Impact Charter</v>
          </cell>
          <cell r="D114"/>
          <cell r="E114"/>
          <cell r="F114"/>
          <cell r="G114">
            <v>0</v>
          </cell>
        </row>
        <row r="115">
          <cell r="A115" t="str">
            <v>W9A001</v>
          </cell>
          <cell r="B115" t="str">
            <v>3A9001</v>
          </cell>
          <cell r="C115" t="str">
            <v>Vision Academy</v>
          </cell>
          <cell r="D115"/>
          <cell r="E115"/>
          <cell r="F115"/>
          <cell r="G115">
            <v>0</v>
          </cell>
        </row>
        <row r="116">
          <cell r="A116" t="str">
            <v>WAG001</v>
          </cell>
          <cell r="B116">
            <v>343002</v>
          </cell>
          <cell r="C116" t="str">
            <v>Louisiana Virtual Charter Academy</v>
          </cell>
          <cell r="D116"/>
          <cell r="E116"/>
          <cell r="F116"/>
          <cell r="G116">
            <v>0</v>
          </cell>
        </row>
        <row r="117">
          <cell r="A117" t="str">
            <v>WAK001</v>
          </cell>
          <cell r="B117">
            <v>328001</v>
          </cell>
          <cell r="C117" t="str">
            <v xml:space="preserve">Southwest LA Charter School </v>
          </cell>
          <cell r="D117"/>
          <cell r="E117"/>
          <cell r="F117"/>
          <cell r="G117">
            <v>0</v>
          </cell>
        </row>
        <row r="118">
          <cell r="A118" t="str">
            <v>WAL001</v>
          </cell>
          <cell r="B118">
            <v>349001</v>
          </cell>
          <cell r="C118" t="str">
            <v xml:space="preserve">J. S. Clark Leadership Academy </v>
          </cell>
          <cell r="D118"/>
          <cell r="E118"/>
          <cell r="F118"/>
          <cell r="G118">
            <v>0</v>
          </cell>
        </row>
        <row r="119">
          <cell r="A119" t="str">
            <v>WAQ001</v>
          </cell>
          <cell r="B119" t="str">
            <v>3AQ001</v>
          </cell>
          <cell r="C119" t="str">
            <v>Baton Rouge University Prep</v>
          </cell>
          <cell r="D119"/>
          <cell r="E119"/>
          <cell r="F119"/>
          <cell r="G119">
            <v>0</v>
          </cell>
        </row>
        <row r="120">
          <cell r="A120" t="str">
            <v>WAR001</v>
          </cell>
          <cell r="B120" t="str">
            <v>WAR001</v>
          </cell>
          <cell r="C120" t="str">
            <v>Tangi Academy</v>
          </cell>
          <cell r="D120"/>
          <cell r="E120"/>
          <cell r="F120"/>
          <cell r="G120">
            <v>0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/>
          <cell r="E121"/>
          <cell r="F121"/>
          <cell r="G121">
            <v>0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 (First Year)</v>
          </cell>
          <cell r="D122"/>
          <cell r="E122"/>
          <cell r="F122"/>
          <cell r="G122">
            <v>0</v>
          </cell>
        </row>
        <row r="123">
          <cell r="A123" t="str">
            <v>WBR001</v>
          </cell>
          <cell r="B123" t="str">
            <v>WBR001</v>
          </cell>
          <cell r="C123" t="str">
            <v>Athlos Academy (First Year)</v>
          </cell>
          <cell r="D123"/>
          <cell r="E123"/>
          <cell r="F123"/>
          <cell r="G123">
            <v>0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/>
          <cell r="E124"/>
          <cell r="F124"/>
          <cell r="G124">
            <v>0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/>
          <cell r="E125"/>
          <cell r="F125"/>
          <cell r="G125">
            <v>0</v>
          </cell>
        </row>
        <row r="126">
          <cell r="A126"/>
          <cell r="B126"/>
          <cell r="C126" t="str">
            <v>Total New Type 2 Charter Schools</v>
          </cell>
          <cell r="D126">
            <v>35</v>
          </cell>
          <cell r="E126">
            <v>2</v>
          </cell>
          <cell r="F126">
            <v>0</v>
          </cell>
          <cell r="G126">
            <v>37</v>
          </cell>
        </row>
        <row r="127">
          <cell r="A127"/>
          <cell r="B127"/>
          <cell r="C127"/>
          <cell r="D127"/>
          <cell r="E127"/>
          <cell r="F127"/>
          <cell r="G127"/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D128"/>
          <cell r="E128"/>
          <cell r="F128"/>
          <cell r="G128">
            <v>0</v>
          </cell>
        </row>
        <row r="129">
          <cell r="A129" t="str">
            <v>W8B001</v>
          </cell>
          <cell r="B129" t="str">
            <v>3AP002</v>
          </cell>
          <cell r="C129" t="str">
            <v>Celerity Crestworth Charter School</v>
          </cell>
          <cell r="D129"/>
          <cell r="E129"/>
          <cell r="F129"/>
          <cell r="G129">
            <v>0</v>
          </cell>
        </row>
        <row r="130">
          <cell r="A130" t="str">
            <v>W9B001</v>
          </cell>
          <cell r="B130" t="str">
            <v>3B9001</v>
          </cell>
          <cell r="C130" t="str">
            <v>Capitol High School</v>
          </cell>
          <cell r="D130"/>
          <cell r="E130"/>
          <cell r="F130"/>
          <cell r="G130">
            <v>0</v>
          </cell>
        </row>
        <row r="131">
          <cell r="A131" t="str">
            <v>WAO001</v>
          </cell>
          <cell r="B131" t="str">
            <v>3AP003</v>
          </cell>
          <cell r="C131" t="str">
            <v>Celerity Dalton Charter School</v>
          </cell>
          <cell r="D131"/>
          <cell r="E131"/>
          <cell r="F131"/>
          <cell r="G131">
            <v>0</v>
          </cell>
        </row>
        <row r="132">
          <cell r="A132" t="str">
            <v>WAP001</v>
          </cell>
          <cell r="B132" t="str">
            <v>3AP001</v>
          </cell>
          <cell r="C132" t="str">
            <v>Celerity Lanier Charter School</v>
          </cell>
          <cell r="D132"/>
          <cell r="E132"/>
          <cell r="F132"/>
          <cell r="G132">
            <v>0</v>
          </cell>
        </row>
        <row r="133">
          <cell r="A133" t="str">
            <v>WAV001</v>
          </cell>
          <cell r="B133" t="str">
            <v>WAV001</v>
          </cell>
          <cell r="C133" t="str">
            <v>Democracy Prep</v>
          </cell>
          <cell r="D133"/>
          <cell r="E133"/>
          <cell r="F133"/>
          <cell r="G133">
            <v>0</v>
          </cell>
        </row>
        <row r="134">
          <cell r="A134" t="str">
            <v>WAX001</v>
          </cell>
          <cell r="B134" t="str">
            <v>WAX001</v>
          </cell>
          <cell r="C134" t="str">
            <v>Baton Rouge College Prep</v>
          </cell>
          <cell r="D134"/>
          <cell r="E134"/>
          <cell r="F134"/>
          <cell r="G134">
            <v>0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/>
          <cell r="E135"/>
          <cell r="F135"/>
          <cell r="G135">
            <v>0</v>
          </cell>
        </row>
        <row r="136">
          <cell r="A136"/>
          <cell r="B136"/>
          <cell r="C136" t="str">
            <v>Total Type 5 Charters - LA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/>
          <cell r="B137"/>
          <cell r="C137"/>
          <cell r="D137"/>
          <cell r="E137"/>
          <cell r="F137"/>
          <cell r="G137"/>
        </row>
        <row r="138">
          <cell r="A138"/>
          <cell r="B138"/>
          <cell r="C138" t="str">
            <v>Statewide Total</v>
          </cell>
          <cell r="D138">
            <v>179</v>
          </cell>
          <cell r="E138">
            <v>86</v>
          </cell>
          <cell r="F138">
            <v>2</v>
          </cell>
          <cell r="G138">
            <v>267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ipends"/>
      <sheetName val="Stipends_OPSB"/>
    </sheetNames>
    <sheetDataSet>
      <sheetData sheetId="0">
        <row r="3">
          <cell r="A3">
            <v>1</v>
          </cell>
          <cell r="C3" t="str">
            <v>Acadia</v>
          </cell>
        </row>
        <row r="4">
          <cell r="A4">
            <v>2</v>
          </cell>
          <cell r="C4" t="str">
            <v>Allen</v>
          </cell>
        </row>
        <row r="5">
          <cell r="A5">
            <v>3</v>
          </cell>
          <cell r="C5" t="str">
            <v>Ascension</v>
          </cell>
        </row>
        <row r="6">
          <cell r="A6">
            <v>4</v>
          </cell>
          <cell r="C6" t="str">
            <v>Assumption</v>
          </cell>
          <cell r="D6">
            <v>2</v>
          </cell>
        </row>
        <row r="7">
          <cell r="A7">
            <v>5</v>
          </cell>
          <cell r="C7" t="str">
            <v>Avoyelles</v>
          </cell>
        </row>
        <row r="8">
          <cell r="A8">
            <v>6</v>
          </cell>
          <cell r="C8" t="str">
            <v>Beauregard</v>
          </cell>
        </row>
        <row r="9">
          <cell r="A9">
            <v>7</v>
          </cell>
          <cell r="C9" t="str">
            <v>Bienville</v>
          </cell>
        </row>
        <row r="10">
          <cell r="A10">
            <v>8</v>
          </cell>
          <cell r="C10" t="str">
            <v>Bossier</v>
          </cell>
        </row>
        <row r="11">
          <cell r="A11">
            <v>9</v>
          </cell>
          <cell r="C11" t="str">
            <v>Caddo</v>
          </cell>
          <cell r="D11">
            <v>5</v>
          </cell>
        </row>
        <row r="12">
          <cell r="A12">
            <v>10</v>
          </cell>
          <cell r="C12" t="str">
            <v>Calcasieu</v>
          </cell>
          <cell r="D12">
            <v>15</v>
          </cell>
        </row>
        <row r="13">
          <cell r="A13">
            <v>11</v>
          </cell>
          <cell r="C13" t="str">
            <v>Caldwell</v>
          </cell>
        </row>
        <row r="14">
          <cell r="A14">
            <v>12</v>
          </cell>
          <cell r="C14" t="str">
            <v>Cameron</v>
          </cell>
        </row>
        <row r="15">
          <cell r="A15">
            <v>13</v>
          </cell>
          <cell r="C15" t="str">
            <v>Catahoula</v>
          </cell>
        </row>
        <row r="16">
          <cell r="A16">
            <v>14</v>
          </cell>
          <cell r="C16" t="str">
            <v>Claiborne</v>
          </cell>
        </row>
        <row r="17">
          <cell r="A17">
            <v>15</v>
          </cell>
          <cell r="C17" t="str">
            <v>Concordia</v>
          </cell>
        </row>
        <row r="18">
          <cell r="A18">
            <v>16</v>
          </cell>
          <cell r="C18" t="str">
            <v>DeSoto</v>
          </cell>
        </row>
        <row r="19">
          <cell r="A19">
            <v>17</v>
          </cell>
          <cell r="C19" t="str">
            <v>East Baton Rouge</v>
          </cell>
          <cell r="D19">
            <v>7</v>
          </cell>
        </row>
        <row r="20">
          <cell r="A20">
            <v>18</v>
          </cell>
          <cell r="C20" t="str">
            <v>East Carroll</v>
          </cell>
        </row>
        <row r="21">
          <cell r="A21">
            <v>19</v>
          </cell>
          <cell r="C21" t="str">
            <v>East Feliciana</v>
          </cell>
        </row>
        <row r="22">
          <cell r="A22">
            <v>20</v>
          </cell>
          <cell r="C22" t="str">
            <v>Evangeline</v>
          </cell>
          <cell r="D22">
            <v>2</v>
          </cell>
        </row>
        <row r="23">
          <cell r="A23">
            <v>21</v>
          </cell>
          <cell r="C23" t="str">
            <v>Franklin</v>
          </cell>
        </row>
        <row r="24">
          <cell r="A24">
            <v>22</v>
          </cell>
          <cell r="C24" t="str">
            <v>Grant</v>
          </cell>
        </row>
        <row r="25">
          <cell r="A25">
            <v>23</v>
          </cell>
          <cell r="C25" t="str">
            <v>Iberia</v>
          </cell>
          <cell r="D25">
            <v>3</v>
          </cell>
        </row>
        <row r="26">
          <cell r="A26">
            <v>24</v>
          </cell>
          <cell r="C26" t="str">
            <v>Iberville</v>
          </cell>
        </row>
        <row r="27">
          <cell r="A27">
            <v>25</v>
          </cell>
          <cell r="C27" t="str">
            <v>Jackson</v>
          </cell>
        </row>
        <row r="28">
          <cell r="A28">
            <v>26</v>
          </cell>
          <cell r="C28" t="str">
            <v>Jefferson</v>
          </cell>
          <cell r="D28">
            <v>7</v>
          </cell>
        </row>
        <row r="29">
          <cell r="A29">
            <v>27</v>
          </cell>
          <cell r="C29" t="str">
            <v>Jefferson Davis</v>
          </cell>
        </row>
        <row r="30">
          <cell r="A30">
            <v>28</v>
          </cell>
          <cell r="C30" t="str">
            <v>Lafayette</v>
          </cell>
          <cell r="D30">
            <v>12</v>
          </cell>
        </row>
        <row r="31">
          <cell r="A31">
            <v>29</v>
          </cell>
          <cell r="C31" t="str">
            <v>Lafourche</v>
          </cell>
          <cell r="D31">
            <v>5</v>
          </cell>
        </row>
        <row r="32">
          <cell r="A32">
            <v>30</v>
          </cell>
          <cell r="C32" t="str">
            <v>LaSalle</v>
          </cell>
        </row>
        <row r="33">
          <cell r="A33">
            <v>31</v>
          </cell>
          <cell r="C33" t="str">
            <v>Lincoln</v>
          </cell>
          <cell r="D33">
            <v>3</v>
          </cell>
        </row>
        <row r="34">
          <cell r="A34">
            <v>32</v>
          </cell>
          <cell r="C34" t="str">
            <v>Livingston</v>
          </cell>
        </row>
        <row r="35">
          <cell r="A35">
            <v>33</v>
          </cell>
          <cell r="C35" t="str">
            <v>Madison</v>
          </cell>
        </row>
        <row r="36">
          <cell r="A36">
            <v>34</v>
          </cell>
          <cell r="C36" t="str">
            <v>Morehouse</v>
          </cell>
        </row>
        <row r="37">
          <cell r="A37">
            <v>35</v>
          </cell>
          <cell r="C37" t="str">
            <v>Natchitoches</v>
          </cell>
        </row>
        <row r="38">
          <cell r="A38">
            <v>36</v>
          </cell>
          <cell r="C38" t="str">
            <v>Orleans (See OPSB Tab)</v>
          </cell>
          <cell r="D38">
            <v>8</v>
          </cell>
        </row>
        <row r="39">
          <cell r="A39">
            <v>37</v>
          </cell>
          <cell r="C39" t="str">
            <v>Ouachita</v>
          </cell>
        </row>
        <row r="40">
          <cell r="A40">
            <v>38</v>
          </cell>
          <cell r="C40" t="str">
            <v>Plaquemines</v>
          </cell>
        </row>
        <row r="41">
          <cell r="A41">
            <v>39</v>
          </cell>
          <cell r="C41" t="str">
            <v>Pointe Coupee</v>
          </cell>
          <cell r="D41">
            <v>2</v>
          </cell>
        </row>
        <row r="42">
          <cell r="A42">
            <v>40</v>
          </cell>
          <cell r="C42" t="str">
            <v>Rapides</v>
          </cell>
        </row>
        <row r="43">
          <cell r="A43">
            <v>41</v>
          </cell>
          <cell r="C43" t="str">
            <v>Red River</v>
          </cell>
        </row>
        <row r="44">
          <cell r="A44">
            <v>42</v>
          </cell>
          <cell r="C44" t="str">
            <v>Richland</v>
          </cell>
        </row>
        <row r="45">
          <cell r="A45">
            <v>43</v>
          </cell>
          <cell r="C45" t="str">
            <v>Sabine</v>
          </cell>
        </row>
        <row r="46">
          <cell r="A46">
            <v>44</v>
          </cell>
          <cell r="C46" t="str">
            <v>St. Bernard</v>
          </cell>
        </row>
        <row r="47">
          <cell r="A47">
            <v>45</v>
          </cell>
          <cell r="C47" t="str">
            <v>St. Charles</v>
          </cell>
        </row>
        <row r="48">
          <cell r="A48">
            <v>46</v>
          </cell>
          <cell r="C48" t="str">
            <v>St. Helena</v>
          </cell>
        </row>
        <row r="49">
          <cell r="A49">
            <v>47</v>
          </cell>
          <cell r="C49" t="str">
            <v>St. James</v>
          </cell>
        </row>
        <row r="50">
          <cell r="A50">
            <v>48</v>
          </cell>
          <cell r="C50" t="str">
            <v>St. John the Baptist</v>
          </cell>
        </row>
        <row r="51">
          <cell r="A51">
            <v>49</v>
          </cell>
          <cell r="C51" t="str">
            <v>St. Landry</v>
          </cell>
        </row>
        <row r="52">
          <cell r="A52">
            <v>50</v>
          </cell>
          <cell r="C52" t="str">
            <v>St. Martin</v>
          </cell>
          <cell r="D52">
            <v>1</v>
          </cell>
        </row>
        <row r="53">
          <cell r="A53">
            <v>51</v>
          </cell>
          <cell r="C53" t="str">
            <v>St. Mary</v>
          </cell>
        </row>
        <row r="54">
          <cell r="A54">
            <v>52</v>
          </cell>
          <cell r="C54" t="str">
            <v>St. Tammany</v>
          </cell>
        </row>
        <row r="55">
          <cell r="A55">
            <v>53</v>
          </cell>
          <cell r="C55" t="str">
            <v>Tangipahoa</v>
          </cell>
        </row>
        <row r="56">
          <cell r="A56">
            <v>54</v>
          </cell>
          <cell r="C56" t="str">
            <v>Tensas</v>
          </cell>
        </row>
        <row r="57">
          <cell r="A57">
            <v>55</v>
          </cell>
          <cell r="C57" t="str">
            <v>Terrebonne</v>
          </cell>
        </row>
        <row r="58">
          <cell r="A58">
            <v>56</v>
          </cell>
          <cell r="C58" t="str">
            <v>Union</v>
          </cell>
        </row>
        <row r="59">
          <cell r="A59">
            <v>57</v>
          </cell>
          <cell r="C59" t="str">
            <v>Vermilion</v>
          </cell>
          <cell r="D59">
            <v>1</v>
          </cell>
        </row>
        <row r="60">
          <cell r="A60">
            <v>58</v>
          </cell>
          <cell r="C60" t="str">
            <v>Vernon</v>
          </cell>
        </row>
        <row r="61">
          <cell r="A61">
            <v>59</v>
          </cell>
          <cell r="C61" t="str">
            <v>Washington</v>
          </cell>
        </row>
        <row r="62">
          <cell r="A62">
            <v>60</v>
          </cell>
          <cell r="C62" t="str">
            <v>Webster</v>
          </cell>
        </row>
        <row r="63">
          <cell r="A63">
            <v>61</v>
          </cell>
          <cell r="C63" t="str">
            <v>West Baton Rouge</v>
          </cell>
        </row>
        <row r="64">
          <cell r="A64">
            <v>62</v>
          </cell>
          <cell r="C64" t="str">
            <v>West Carroll</v>
          </cell>
        </row>
        <row r="65">
          <cell r="A65">
            <v>63</v>
          </cell>
          <cell r="C65" t="str">
            <v>West Feliciana</v>
          </cell>
        </row>
        <row r="66">
          <cell r="A66">
            <v>64</v>
          </cell>
          <cell r="C66" t="str">
            <v>Winn</v>
          </cell>
        </row>
        <row r="67">
          <cell r="A67">
            <v>65</v>
          </cell>
          <cell r="C67" t="str">
            <v>City of Monroe</v>
          </cell>
        </row>
        <row r="68">
          <cell r="A68">
            <v>66</v>
          </cell>
          <cell r="C68" t="str">
            <v>City of Bogalusa</v>
          </cell>
        </row>
        <row r="69">
          <cell r="A69">
            <v>67</v>
          </cell>
          <cell r="C69" t="str">
            <v>Zachary Community</v>
          </cell>
        </row>
        <row r="70">
          <cell r="A70">
            <v>68</v>
          </cell>
          <cell r="C70" t="str">
            <v>City of Baker</v>
          </cell>
        </row>
        <row r="71">
          <cell r="A71">
            <v>69</v>
          </cell>
          <cell r="C71" t="str">
            <v>Central Community</v>
          </cell>
        </row>
        <row r="72">
          <cell r="C72" t="str">
            <v>Totals</v>
          </cell>
          <cell r="D72">
            <v>73</v>
          </cell>
        </row>
        <row r="74">
          <cell r="A74">
            <v>318001</v>
          </cell>
          <cell r="B74">
            <v>318001</v>
          </cell>
          <cell r="C74" t="str">
            <v>LSU Lab School</v>
          </cell>
        </row>
        <row r="75">
          <cell r="A75">
            <v>319001</v>
          </cell>
          <cell r="B75">
            <v>319001</v>
          </cell>
          <cell r="C75" t="str">
            <v>Southern Lab School</v>
          </cell>
        </row>
        <row r="76">
          <cell r="A76">
            <v>302006</v>
          </cell>
          <cell r="B76">
            <v>302006</v>
          </cell>
          <cell r="C76" t="str">
            <v>LA School for Math, Science and the Arts</v>
          </cell>
        </row>
        <row r="77">
          <cell r="A77">
            <v>334001</v>
          </cell>
          <cell r="B77">
            <v>334001</v>
          </cell>
          <cell r="C77" t="str">
            <v>New Orleans Center for Creative Arts</v>
          </cell>
        </row>
        <row r="78">
          <cell r="A78" t="str">
            <v>3C1001</v>
          </cell>
          <cell r="B78">
            <v>17137</v>
          </cell>
          <cell r="C78" t="str">
            <v>Thrive</v>
          </cell>
        </row>
        <row r="79">
          <cell r="C79" t="str">
            <v>Total Lab &amp; State Approved Schools</v>
          </cell>
          <cell r="D79">
            <v>0</v>
          </cell>
        </row>
        <row r="81">
          <cell r="A81">
            <v>321001</v>
          </cell>
          <cell r="B81">
            <v>321001</v>
          </cell>
          <cell r="C81" t="str">
            <v>New Vision Learning</v>
          </cell>
        </row>
        <row r="82">
          <cell r="A82">
            <v>329001</v>
          </cell>
          <cell r="B82">
            <v>329001</v>
          </cell>
          <cell r="C82" t="str">
            <v>Glencoe Charter School</v>
          </cell>
        </row>
        <row r="83">
          <cell r="A83">
            <v>331001</v>
          </cell>
          <cell r="B83">
            <v>331001</v>
          </cell>
          <cell r="C83" t="str">
            <v>International School of LA</v>
          </cell>
          <cell r="D83">
            <v>11</v>
          </cell>
        </row>
        <row r="84">
          <cell r="A84">
            <v>333001</v>
          </cell>
          <cell r="B84">
            <v>333001</v>
          </cell>
          <cell r="C84" t="str">
            <v>Avoyelles Public Charter School</v>
          </cell>
        </row>
        <row r="85">
          <cell r="A85">
            <v>336001</v>
          </cell>
          <cell r="B85">
            <v>336001</v>
          </cell>
          <cell r="C85" t="str">
            <v>Delhi Charter School</v>
          </cell>
        </row>
        <row r="86">
          <cell r="A86">
            <v>337001</v>
          </cell>
          <cell r="B86">
            <v>337001</v>
          </cell>
          <cell r="C86" t="str">
            <v>Belle Chasse Academy</v>
          </cell>
        </row>
        <row r="87">
          <cell r="A87">
            <v>340001</v>
          </cell>
          <cell r="B87">
            <v>340001</v>
          </cell>
          <cell r="C87" t="str">
            <v>The MAX Charter School</v>
          </cell>
        </row>
        <row r="88">
          <cell r="C88" t="str">
            <v>Total Legacy Type 2 Charter Schools</v>
          </cell>
          <cell r="D88">
            <v>11</v>
          </cell>
        </row>
        <row r="90">
          <cell r="A90">
            <v>341001</v>
          </cell>
          <cell r="B90">
            <v>341001</v>
          </cell>
          <cell r="C90" t="str">
            <v xml:space="preserve">D'Arbonne Woods </v>
          </cell>
        </row>
        <row r="91">
          <cell r="A91">
            <v>343001</v>
          </cell>
          <cell r="B91">
            <v>343001</v>
          </cell>
          <cell r="C91" t="str">
            <v>Madison Prep</v>
          </cell>
        </row>
        <row r="92">
          <cell r="A92">
            <v>344001</v>
          </cell>
          <cell r="B92">
            <v>344001</v>
          </cell>
          <cell r="C92" t="str">
            <v xml:space="preserve">Int'l High School of N. O. </v>
          </cell>
        </row>
        <row r="93">
          <cell r="A93">
            <v>345001</v>
          </cell>
          <cell r="B93">
            <v>345001</v>
          </cell>
          <cell r="C93" t="str">
            <v>University View Academy</v>
          </cell>
        </row>
        <row r="94">
          <cell r="A94">
            <v>346001</v>
          </cell>
          <cell r="B94">
            <v>346001</v>
          </cell>
          <cell r="C94" t="str">
            <v xml:space="preserve">Lake Charles Charter Academy </v>
          </cell>
        </row>
        <row r="95">
          <cell r="A95">
            <v>347001</v>
          </cell>
          <cell r="B95">
            <v>347001</v>
          </cell>
          <cell r="C95" t="str">
            <v xml:space="preserve">Lycee Francois de la Nouvelle Orleans </v>
          </cell>
          <cell r="D95">
            <v>15</v>
          </cell>
        </row>
        <row r="96">
          <cell r="A96">
            <v>348001</v>
          </cell>
          <cell r="B96">
            <v>348001</v>
          </cell>
          <cell r="C96" t="str">
            <v xml:space="preserve">New Orleans Military/Maritime Acdmy </v>
          </cell>
        </row>
        <row r="97">
          <cell r="A97" t="str">
            <v>W18001</v>
          </cell>
          <cell r="B97" t="str">
            <v>W18001</v>
          </cell>
          <cell r="C97" t="str">
            <v>Noble Minds</v>
          </cell>
        </row>
        <row r="98">
          <cell r="A98" t="str">
            <v>W1A001</v>
          </cell>
          <cell r="B98" t="str">
            <v>3A1001</v>
          </cell>
          <cell r="C98" t="str">
            <v>JCFA - East</v>
          </cell>
        </row>
        <row r="99">
          <cell r="A99" t="str">
            <v>W1B001</v>
          </cell>
          <cell r="B99" t="str">
            <v>3B1001</v>
          </cell>
          <cell r="C99" t="str">
            <v>Advantage Charter Academy</v>
          </cell>
        </row>
        <row r="100">
          <cell r="A100" t="str">
            <v>W1D001</v>
          </cell>
          <cell r="B100" t="str">
            <v>W1D001</v>
          </cell>
          <cell r="C100" t="str">
            <v>JCFA - Lafayette</v>
          </cell>
        </row>
        <row r="101">
          <cell r="A101" t="str">
            <v>W2B001</v>
          </cell>
          <cell r="B101" t="str">
            <v>3B1002</v>
          </cell>
          <cell r="C101" t="str">
            <v>Willow Charter Academy</v>
          </cell>
        </row>
        <row r="102">
          <cell r="A102" t="str">
            <v>W33001</v>
          </cell>
          <cell r="B102" t="str">
            <v>W33001</v>
          </cell>
          <cell r="C102" t="str">
            <v>Lincoln Prep School</v>
          </cell>
        </row>
        <row r="103">
          <cell r="A103" t="str">
            <v>W37001</v>
          </cell>
          <cell r="B103" t="str">
            <v>W37001</v>
          </cell>
          <cell r="C103" t="str">
            <v>Greater Grace Charter Academy</v>
          </cell>
        </row>
        <row r="104">
          <cell r="A104" t="str">
            <v>W3B001</v>
          </cell>
          <cell r="B104" t="str">
            <v>3A3002</v>
          </cell>
          <cell r="C104" t="str">
            <v>Iberville Charter Academy</v>
          </cell>
        </row>
        <row r="105">
          <cell r="A105" t="str">
            <v>W4A001</v>
          </cell>
          <cell r="B105" t="str">
            <v>3A4001</v>
          </cell>
          <cell r="C105" t="str">
            <v xml:space="preserve">Delta Charter School </v>
          </cell>
        </row>
        <row r="106">
          <cell r="A106" t="str">
            <v>W4B001</v>
          </cell>
          <cell r="B106">
            <v>328002</v>
          </cell>
          <cell r="C106" t="str">
            <v>Lake Charles College Prep</v>
          </cell>
        </row>
        <row r="107">
          <cell r="A107" t="str">
            <v>W5B001</v>
          </cell>
          <cell r="B107" t="str">
            <v>3B5001</v>
          </cell>
          <cell r="C107" t="str">
            <v>Northeast Claiborne Charter</v>
          </cell>
        </row>
        <row r="108">
          <cell r="A108" t="str">
            <v>W6B001</v>
          </cell>
          <cell r="B108" t="str">
            <v>3B6001</v>
          </cell>
          <cell r="C108" t="str">
            <v>Acadiana Renaissance</v>
          </cell>
        </row>
        <row r="109">
          <cell r="A109" t="str">
            <v>W7A001</v>
          </cell>
          <cell r="B109" t="str">
            <v>3A7001</v>
          </cell>
          <cell r="C109" t="str">
            <v xml:space="preserve">Louisiana Key Academy </v>
          </cell>
        </row>
        <row r="110">
          <cell r="A110" t="str">
            <v>W7B001</v>
          </cell>
          <cell r="B110" t="str">
            <v>3B6002</v>
          </cell>
          <cell r="C110" t="str">
            <v>Lafayette Renaissance</v>
          </cell>
        </row>
        <row r="111">
          <cell r="A111" t="str">
            <v>W8A001</v>
          </cell>
          <cell r="B111" t="str">
            <v>3A8001</v>
          </cell>
          <cell r="C111" t="str">
            <v>Impact Charter</v>
          </cell>
        </row>
        <row r="112">
          <cell r="A112" t="str">
            <v>WAG001</v>
          </cell>
          <cell r="B112">
            <v>343002</v>
          </cell>
          <cell r="C112" t="str">
            <v>Louisiana Virtual Charter Academy</v>
          </cell>
        </row>
        <row r="113">
          <cell r="A113" t="str">
            <v>WAK001</v>
          </cell>
          <cell r="B113">
            <v>328001</v>
          </cell>
          <cell r="C113" t="str">
            <v xml:space="preserve">Southwest LA Charter School </v>
          </cell>
        </row>
        <row r="114">
          <cell r="A114" t="str">
            <v>WAL001</v>
          </cell>
          <cell r="B114">
            <v>349001</v>
          </cell>
          <cell r="C114" t="str">
            <v xml:space="preserve">J. S. Clark Leadership Academy </v>
          </cell>
        </row>
        <row r="115">
          <cell r="A115" t="str">
            <v>WAQ001</v>
          </cell>
          <cell r="B115" t="str">
            <v>3AQ001</v>
          </cell>
          <cell r="C115" t="str">
            <v>Baton Rouge University Prep</v>
          </cell>
        </row>
        <row r="116">
          <cell r="A116" t="str">
            <v>WAU001</v>
          </cell>
          <cell r="B116" t="str">
            <v>WAU001</v>
          </cell>
          <cell r="C116" t="str">
            <v>GEO Prep Academy</v>
          </cell>
        </row>
        <row r="117">
          <cell r="A117" t="str">
            <v>WBQ001</v>
          </cell>
          <cell r="B117" t="str">
            <v>WBQ001</v>
          </cell>
          <cell r="C117" t="str">
            <v>New Harmony High School</v>
          </cell>
        </row>
        <row r="118">
          <cell r="A118" t="str">
            <v>WBR001</v>
          </cell>
          <cell r="B118" t="str">
            <v>WBR001</v>
          </cell>
          <cell r="C118" t="str">
            <v>Athlos Academy</v>
          </cell>
        </row>
        <row r="119">
          <cell r="A119" t="str">
            <v>WBX001</v>
          </cell>
          <cell r="B119" t="str">
            <v>WBX001</v>
          </cell>
          <cell r="C119" t="str">
            <v xml:space="preserve">GEO Next Generation HS </v>
          </cell>
        </row>
        <row r="120">
          <cell r="A120" t="str">
            <v>WBY001</v>
          </cell>
          <cell r="B120" t="str">
            <v>WBY001</v>
          </cell>
          <cell r="C120" t="str">
            <v>Red River Charter Academy</v>
          </cell>
        </row>
        <row r="121">
          <cell r="A121" t="str">
            <v>WJ5001</v>
          </cell>
          <cell r="B121" t="str">
            <v>WJ5001</v>
          </cell>
          <cell r="C121" t="str">
            <v>Collegiate Academy (EBR)</v>
          </cell>
        </row>
        <row r="122">
          <cell r="A122" t="str">
            <v>WZ8001</v>
          </cell>
          <cell r="B122" t="str">
            <v>W3A001</v>
          </cell>
          <cell r="C122" t="str">
            <v>GEO Prep Mid-City of Greater B. R.</v>
          </cell>
        </row>
        <row r="123">
          <cell r="C123" t="str">
            <v>Total New Type 2 Charter Schools</v>
          </cell>
          <cell r="D123">
            <v>15</v>
          </cell>
        </row>
        <row r="125">
          <cell r="A125">
            <v>396211</v>
          </cell>
          <cell r="B125" t="str">
            <v>WX1001</v>
          </cell>
          <cell r="C125" t="str">
            <v>Linwood Public Charter (RSD Operated)</v>
          </cell>
        </row>
        <row r="126">
          <cell r="A126" t="str">
            <v>WA7001</v>
          </cell>
          <cell r="B126" t="str">
            <v>W9B001</v>
          </cell>
          <cell r="C126" t="str">
            <v>Capitol High School (RSD Operated)</v>
          </cell>
        </row>
        <row r="127">
          <cell r="A127" t="str">
            <v>WAO001</v>
          </cell>
          <cell r="B127" t="str">
            <v>3AP003</v>
          </cell>
          <cell r="C127" t="str">
            <v>Celerity Dalton Charter School</v>
          </cell>
        </row>
        <row r="128">
          <cell r="A128" t="str">
            <v>WAP001</v>
          </cell>
          <cell r="B128" t="str">
            <v>3AP001</v>
          </cell>
          <cell r="C128" t="str">
            <v>Celerity Lanier Charter School</v>
          </cell>
        </row>
        <row r="129">
          <cell r="A129" t="str">
            <v>WAV001</v>
          </cell>
          <cell r="B129" t="str">
            <v>WAV001</v>
          </cell>
          <cell r="C129" t="str">
            <v>Democracy Prep</v>
          </cell>
        </row>
        <row r="130">
          <cell r="A130" t="str">
            <v>WB2001</v>
          </cell>
          <cell r="B130">
            <v>389002</v>
          </cell>
          <cell r="C130" t="str">
            <v>Kenilworth Science and Tech</v>
          </cell>
        </row>
        <row r="131">
          <cell r="A131" t="str">
            <v>WYA001</v>
          </cell>
          <cell r="B131" t="str">
            <v>3AP004</v>
          </cell>
          <cell r="C131" t="str">
            <v>Celerity Glen Oaks</v>
          </cell>
        </row>
      </sheetData>
      <sheetData sheetId="1">
        <row r="15">
          <cell r="A15">
            <v>36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_Level 4"/>
    </sheetNames>
    <sheetDataSet>
      <sheetData sheetId="0">
        <row r="7">
          <cell r="A7">
            <v>1</v>
          </cell>
          <cell r="B7">
            <v>1</v>
          </cell>
          <cell r="C7" t="str">
            <v>Acadia</v>
          </cell>
          <cell r="D7">
            <v>1212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315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3555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222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827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423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265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898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2150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2365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287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49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98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268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404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719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2541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137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95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725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72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461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1895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404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334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4740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527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3594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2684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202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332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4900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284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522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632</v>
          </cell>
        </row>
        <row r="42">
          <cell r="A42">
            <v>36</v>
          </cell>
          <cell r="B42">
            <v>36</v>
          </cell>
          <cell r="C42" t="str">
            <v>Orleans (R36 Total)</v>
          </cell>
          <cell r="D42">
            <v>5108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1521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281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575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2777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180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353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583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226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1047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102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698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546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2935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827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1139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2791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1653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34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1230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315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830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530.5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952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687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567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216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404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785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714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163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170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72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850</v>
          </cell>
        </row>
        <row r="76">
          <cell r="C76" t="str">
            <v>Total City/Parish</v>
          </cell>
          <cell r="D76">
            <v>70999.5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22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15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36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89</v>
          </cell>
        </row>
        <row r="84">
          <cell r="C84" t="str">
            <v>Total Lab &amp; State Approved Schools</v>
          </cell>
          <cell r="D84">
            <v>162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182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16</v>
          </cell>
        </row>
        <row r="93">
          <cell r="C93" t="str">
            <v>Total Legacy Type 2 Charter Schools</v>
          </cell>
          <cell r="D93">
            <v>198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231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330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242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85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112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55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9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178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14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16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36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148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41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</row>
        <row r="124">
          <cell r="A124" t="str">
            <v>WBX001</v>
          </cell>
          <cell r="B124" t="str">
            <v>WBX001</v>
          </cell>
          <cell r="C124" t="str">
            <v xml:space="preserve">GEO Next Generation HS </v>
          </cell>
          <cell r="D124">
            <v>13</v>
          </cell>
        </row>
        <row r="125">
          <cell r="A125" t="str">
            <v>WBY001</v>
          </cell>
          <cell r="B125" t="str">
            <v>WBY001</v>
          </cell>
          <cell r="C125" t="str">
            <v>Red River Charter Academy</v>
          </cell>
        </row>
        <row r="126">
          <cell r="A126" t="str">
            <v>WJ5001</v>
          </cell>
          <cell r="B126" t="str">
            <v>WJ5001</v>
          </cell>
          <cell r="C126" t="str">
            <v>Collegiate Academy (EBR)</v>
          </cell>
          <cell r="D126">
            <v>229</v>
          </cell>
        </row>
        <row r="127">
          <cell r="A127" t="str">
            <v>WZ8001</v>
          </cell>
          <cell r="B127" t="str">
            <v>W3A001</v>
          </cell>
          <cell r="C127" t="str">
            <v>GEO Prep Mid-City of Greater B. R.</v>
          </cell>
        </row>
        <row r="128">
          <cell r="C128" t="str">
            <v>Total New Type 2 Charter Schools</v>
          </cell>
          <cell r="D128">
            <v>1739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16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284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</row>
        <row r="137">
          <cell r="C137" t="str">
            <v>Total RSD/Type 5 Charters</v>
          </cell>
          <cell r="D137">
            <v>300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Student Detail"/>
      <sheetName val="LEA Totals"/>
      <sheetName val="FY2017-18 Revenue"/>
      <sheetName val="Rnd2 Simulation"/>
    </sheetNames>
    <sheetDataSet>
      <sheetData sheetId="0">
        <row r="6">
          <cell r="A6">
            <v>4</v>
          </cell>
          <cell r="B6">
            <v>4</v>
          </cell>
          <cell r="C6">
            <v>4</v>
          </cell>
          <cell r="D6" t="str">
            <v>Assumption Parish</v>
          </cell>
          <cell r="E6">
            <v>37595031</v>
          </cell>
          <cell r="F6">
            <v>1117843</v>
          </cell>
          <cell r="G6">
            <v>23</v>
          </cell>
          <cell r="H6">
            <v>2.9733796469006767E-2</v>
          </cell>
          <cell r="I6">
            <v>1</v>
          </cell>
          <cell r="J6">
            <v>0.63495100000000004</v>
          </cell>
          <cell r="K6">
            <v>709776</v>
          </cell>
          <cell r="L6">
            <v>709776</v>
          </cell>
          <cell r="M6">
            <v>577055</v>
          </cell>
          <cell r="N6">
            <v>132721</v>
          </cell>
          <cell r="O6">
            <v>0</v>
          </cell>
          <cell r="P6">
            <v>7.990162019577797E-2</v>
          </cell>
        </row>
        <row r="7">
          <cell r="A7">
            <v>20</v>
          </cell>
          <cell r="B7">
            <v>20</v>
          </cell>
          <cell r="C7">
            <v>20</v>
          </cell>
          <cell r="D7" t="str">
            <v>Evangeline Parish</v>
          </cell>
          <cell r="E7">
            <v>52082628</v>
          </cell>
          <cell r="F7">
            <v>723852</v>
          </cell>
          <cell r="G7">
            <v>25</v>
          </cell>
          <cell r="H7">
            <v>1.3898146614260708E-2</v>
          </cell>
          <cell r="I7">
            <v>2</v>
          </cell>
          <cell r="J7">
            <v>0.63495100000000004</v>
          </cell>
          <cell r="K7">
            <v>459611</v>
          </cell>
          <cell r="L7">
            <v>459611</v>
          </cell>
          <cell r="M7">
            <v>373668</v>
          </cell>
          <cell r="N7">
            <v>85943</v>
          </cell>
          <cell r="O7">
            <v>0</v>
          </cell>
          <cell r="P7">
            <v>5.1739793342972587E-2</v>
          </cell>
        </row>
        <row r="8">
          <cell r="A8">
            <v>44</v>
          </cell>
          <cell r="B8">
            <v>44</v>
          </cell>
          <cell r="C8">
            <v>44</v>
          </cell>
          <cell r="D8" t="str">
            <v>St. Bernard Parish</v>
          </cell>
          <cell r="E8">
            <v>75797535</v>
          </cell>
          <cell r="F8">
            <v>613000</v>
          </cell>
          <cell r="G8">
            <v>20</v>
          </cell>
          <cell r="H8">
            <v>8.0873342385078886E-3</v>
          </cell>
          <cell r="I8">
            <v>3</v>
          </cell>
          <cell r="J8">
            <v>0.63495100000000004</v>
          </cell>
          <cell r="K8">
            <v>389225</v>
          </cell>
          <cell r="L8">
            <v>184000</v>
          </cell>
          <cell r="M8">
            <v>184000</v>
          </cell>
          <cell r="N8">
            <v>0</v>
          </cell>
          <cell r="O8">
            <v>205225</v>
          </cell>
          <cell r="P8">
            <v>4.3816229515652373E-2</v>
          </cell>
        </row>
        <row r="9">
          <cell r="A9">
            <v>16</v>
          </cell>
          <cell r="B9">
            <v>16</v>
          </cell>
          <cell r="C9">
            <v>16</v>
          </cell>
          <cell r="D9" t="str">
            <v>DeSoto Parish</v>
          </cell>
          <cell r="E9">
            <v>91265468</v>
          </cell>
          <cell r="F9">
            <v>691012</v>
          </cell>
          <cell r="G9">
            <v>25</v>
          </cell>
          <cell r="H9">
            <v>7.5714507923193911E-3</v>
          </cell>
          <cell r="I9">
            <v>4</v>
          </cell>
          <cell r="J9">
            <v>0.63495100000000004</v>
          </cell>
          <cell r="K9">
            <v>438759</v>
          </cell>
          <cell r="L9">
            <v>438759</v>
          </cell>
          <cell r="M9">
            <v>356715</v>
          </cell>
          <cell r="N9">
            <v>82044</v>
          </cell>
          <cell r="O9">
            <v>0</v>
          </cell>
          <cell r="P9">
            <v>4.9392420954610113E-2</v>
          </cell>
        </row>
        <row r="10">
          <cell r="A10">
            <v>55</v>
          </cell>
          <cell r="B10">
            <v>55</v>
          </cell>
          <cell r="C10">
            <v>55</v>
          </cell>
          <cell r="D10" t="str">
            <v>Terrebonne Parish</v>
          </cell>
          <cell r="E10">
            <v>164961286</v>
          </cell>
          <cell r="F10">
            <v>1207590</v>
          </cell>
          <cell r="G10">
            <v>33</v>
          </cell>
          <cell r="H10">
            <v>7.3204448709256542E-3</v>
          </cell>
          <cell r="I10">
            <v>5</v>
          </cell>
          <cell r="J10">
            <v>0.63495100000000004</v>
          </cell>
          <cell r="K10">
            <v>766760</v>
          </cell>
          <cell r="L10">
            <v>766760</v>
          </cell>
          <cell r="M10">
            <v>623382</v>
          </cell>
          <cell r="N10">
            <v>143378</v>
          </cell>
          <cell r="O10">
            <v>0</v>
          </cell>
          <cell r="P10">
            <v>8.6316480553462943E-2</v>
          </cell>
        </row>
        <row r="11">
          <cell r="A11">
            <v>52</v>
          </cell>
          <cell r="B11">
            <v>52</v>
          </cell>
          <cell r="C11">
            <v>52</v>
          </cell>
          <cell r="D11" t="str">
            <v>St. Tammany Parish</v>
          </cell>
          <cell r="E11">
            <v>464154592.05000001</v>
          </cell>
          <cell r="F11">
            <v>2762909</v>
          </cell>
          <cell r="G11">
            <v>57</v>
          </cell>
          <cell r="H11">
            <v>5.9525620285199544E-3</v>
          </cell>
          <cell r="I11">
            <v>6</v>
          </cell>
          <cell r="J11">
            <v>0.63495100000000004</v>
          </cell>
          <cell r="K11">
            <v>1754312</v>
          </cell>
          <cell r="L11">
            <v>1754312</v>
          </cell>
          <cell r="M11">
            <v>1426270</v>
          </cell>
          <cell r="N11">
            <v>328042</v>
          </cell>
          <cell r="O11">
            <v>0</v>
          </cell>
          <cell r="P11">
            <v>0.19748818095976145</v>
          </cell>
        </row>
        <row r="12">
          <cell r="A12">
            <v>19</v>
          </cell>
          <cell r="B12">
            <v>19</v>
          </cell>
          <cell r="C12">
            <v>19</v>
          </cell>
          <cell r="D12" t="str">
            <v>East Feliciana Parish</v>
          </cell>
          <cell r="E12">
            <v>19227942</v>
          </cell>
          <cell r="F12">
            <v>110195</v>
          </cell>
          <cell r="G12">
            <v>3</v>
          </cell>
          <cell r="H12">
            <v>5.7309825461300022E-3</v>
          </cell>
          <cell r="I12">
            <v>7</v>
          </cell>
          <cell r="J12">
            <v>0.63495100000000004</v>
          </cell>
          <cell r="K12">
            <v>69968</v>
          </cell>
          <cell r="L12">
            <v>69968</v>
          </cell>
          <cell r="M12">
            <v>56885</v>
          </cell>
          <cell r="N12">
            <v>13083</v>
          </cell>
          <cell r="O12">
            <v>0</v>
          </cell>
          <cell r="P12">
            <v>7.8765083094641027E-3</v>
          </cell>
        </row>
        <row r="13">
          <cell r="A13">
            <v>10</v>
          </cell>
          <cell r="B13">
            <v>10</v>
          </cell>
          <cell r="C13">
            <v>10</v>
          </cell>
          <cell r="D13" t="str">
            <v>Calcasieu Parish</v>
          </cell>
          <cell r="E13">
            <v>409803307.64999998</v>
          </cell>
          <cell r="F13">
            <v>2239980</v>
          </cell>
          <cell r="G13">
            <v>37</v>
          </cell>
          <cell r="H13">
            <v>5.4659880927879091E-3</v>
          </cell>
          <cell r="I13">
            <v>8</v>
          </cell>
          <cell r="J13">
            <v>0.63495100000000004</v>
          </cell>
          <cell r="K13">
            <v>1422278</v>
          </cell>
          <cell r="L13">
            <v>1422278</v>
          </cell>
          <cell r="M13">
            <v>1156324</v>
          </cell>
          <cell r="N13">
            <v>265954</v>
          </cell>
          <cell r="O13">
            <v>0</v>
          </cell>
          <cell r="P13">
            <v>0.16011011441470366</v>
          </cell>
        </row>
        <row r="14">
          <cell r="A14">
            <v>57</v>
          </cell>
          <cell r="B14">
            <v>57</v>
          </cell>
          <cell r="C14">
            <v>57</v>
          </cell>
          <cell r="D14" t="str">
            <v>Vermilion Parish</v>
          </cell>
          <cell r="E14">
            <v>83239242</v>
          </cell>
          <cell r="F14">
            <v>438991</v>
          </cell>
          <cell r="G14">
            <v>17</v>
          </cell>
          <cell r="H14">
            <v>5.2738466791900866E-3</v>
          </cell>
          <cell r="I14">
            <v>9</v>
          </cell>
          <cell r="J14">
            <v>0.63495100000000004</v>
          </cell>
          <cell r="K14">
            <v>278738</v>
          </cell>
          <cell r="L14">
            <v>278738</v>
          </cell>
          <cell r="M14">
            <v>226616</v>
          </cell>
          <cell r="N14">
            <v>52122</v>
          </cell>
          <cell r="O14">
            <v>0</v>
          </cell>
          <cell r="P14">
            <v>3.137837544539511E-2</v>
          </cell>
        </row>
        <row r="15">
          <cell r="A15">
            <v>43</v>
          </cell>
          <cell r="B15">
            <v>43</v>
          </cell>
          <cell r="C15">
            <v>43</v>
          </cell>
          <cell r="D15" t="str">
            <v>Sabine Parish</v>
          </cell>
          <cell r="E15">
            <v>45261220</v>
          </cell>
          <cell r="F15">
            <v>200796</v>
          </cell>
          <cell r="G15">
            <v>11</v>
          </cell>
          <cell r="H15">
            <v>4.4363806366686537E-3</v>
          </cell>
          <cell r="I15">
            <v>10</v>
          </cell>
          <cell r="J15">
            <v>0.63495100000000004</v>
          </cell>
          <cell r="K15">
            <v>127496</v>
          </cell>
          <cell r="L15">
            <v>127496</v>
          </cell>
          <cell r="M15">
            <v>103655</v>
          </cell>
          <cell r="N15">
            <v>23841</v>
          </cell>
          <cell r="O15">
            <v>0</v>
          </cell>
          <cell r="P15">
            <v>1.4352608384167551E-2</v>
          </cell>
        </row>
        <row r="16">
          <cell r="A16">
            <v>23</v>
          </cell>
          <cell r="B16">
            <v>23</v>
          </cell>
          <cell r="C16">
            <v>23</v>
          </cell>
          <cell r="D16" t="str">
            <v>Iberia Parish</v>
          </cell>
          <cell r="E16">
            <v>126696788</v>
          </cell>
          <cell r="F16">
            <v>477812</v>
          </cell>
          <cell r="G16">
            <v>14</v>
          </cell>
          <cell r="H16">
            <v>3.7713031841028204E-3</v>
          </cell>
          <cell r="I16">
            <v>11</v>
          </cell>
          <cell r="J16">
            <v>0.63495100000000004</v>
          </cell>
          <cell r="K16">
            <v>303387</v>
          </cell>
          <cell r="L16">
            <v>303387</v>
          </cell>
          <cell r="M16">
            <v>246656</v>
          </cell>
          <cell r="N16">
            <v>56731</v>
          </cell>
          <cell r="O16">
            <v>0</v>
          </cell>
          <cell r="P16">
            <v>3.4153187549785413E-2</v>
          </cell>
        </row>
        <row r="17">
          <cell r="A17">
            <v>38</v>
          </cell>
          <cell r="B17">
            <v>38</v>
          </cell>
          <cell r="C17">
            <v>38</v>
          </cell>
          <cell r="D17" t="str">
            <v>Plaquemines Parish</v>
          </cell>
          <cell r="E17">
            <v>57063388</v>
          </cell>
          <cell r="F17">
            <v>162692</v>
          </cell>
          <cell r="G17">
            <v>2</v>
          </cell>
          <cell r="H17">
            <v>2.8510750185390325E-3</v>
          </cell>
          <cell r="I17">
            <v>12</v>
          </cell>
          <cell r="J17">
            <v>0.63495100000000004</v>
          </cell>
          <cell r="K17">
            <v>103301</v>
          </cell>
          <cell r="L17">
            <v>103301</v>
          </cell>
          <cell r="M17">
            <v>83985</v>
          </cell>
          <cell r="N17">
            <v>19316</v>
          </cell>
          <cell r="O17">
            <v>0</v>
          </cell>
          <cell r="P17">
            <v>1.162890442596546E-2</v>
          </cell>
        </row>
        <row r="18">
          <cell r="A18">
            <v>5</v>
          </cell>
          <cell r="B18">
            <v>5</v>
          </cell>
          <cell r="C18">
            <v>5</v>
          </cell>
          <cell r="D18" t="str">
            <v>Avoyelles Parish</v>
          </cell>
          <cell r="E18">
            <v>45284555</v>
          </cell>
          <cell r="F18">
            <v>101496</v>
          </cell>
          <cell r="G18">
            <v>3</v>
          </cell>
          <cell r="H18">
            <v>2.241293968771472E-3</v>
          </cell>
          <cell r="I18">
            <v>13</v>
          </cell>
          <cell r="J18">
            <v>0.63495100000000004</v>
          </cell>
          <cell r="K18">
            <v>64445</v>
          </cell>
          <cell r="L18">
            <v>64445</v>
          </cell>
          <cell r="M18">
            <v>52394</v>
          </cell>
          <cell r="N18">
            <v>12051</v>
          </cell>
          <cell r="O18">
            <v>0</v>
          </cell>
          <cell r="P18">
            <v>7.2547675795136936E-3</v>
          </cell>
        </row>
        <row r="19">
          <cell r="A19">
            <v>24</v>
          </cell>
          <cell r="B19">
            <v>24</v>
          </cell>
          <cell r="C19">
            <v>24</v>
          </cell>
          <cell r="D19" t="str">
            <v>Iberville Parish</v>
          </cell>
          <cell r="E19">
            <v>73307797</v>
          </cell>
          <cell r="F19">
            <v>161943</v>
          </cell>
          <cell r="G19">
            <v>9</v>
          </cell>
          <cell r="H19">
            <v>2.2090828892320962E-3</v>
          </cell>
          <cell r="I19">
            <v>14</v>
          </cell>
          <cell r="J19">
            <v>0.63495100000000004</v>
          </cell>
          <cell r="K19">
            <v>102826</v>
          </cell>
          <cell r="L19">
            <v>68261</v>
          </cell>
          <cell r="M19">
            <v>68261</v>
          </cell>
          <cell r="N19">
            <v>0</v>
          </cell>
          <cell r="O19">
            <v>34565</v>
          </cell>
          <cell r="P19">
            <v>1.1575432246583521E-2</v>
          </cell>
        </row>
        <row r="20">
          <cell r="A20">
            <v>3</v>
          </cell>
          <cell r="B20">
            <v>3</v>
          </cell>
          <cell r="C20">
            <v>3</v>
          </cell>
          <cell r="D20" t="str">
            <v>Ascension Parish</v>
          </cell>
          <cell r="E20">
            <v>255349320</v>
          </cell>
          <cell r="F20">
            <v>548246</v>
          </cell>
          <cell r="G20">
            <v>28</v>
          </cell>
          <cell r="H20">
            <v>2.1470431172481682E-3</v>
          </cell>
          <cell r="I20">
            <v>15</v>
          </cell>
          <cell r="J20">
            <v>0.63495100000000004</v>
          </cell>
          <cell r="K20">
            <v>348109</v>
          </cell>
          <cell r="L20">
            <v>348109</v>
          </cell>
          <cell r="M20">
            <v>283015</v>
          </cell>
          <cell r="N20">
            <v>65094</v>
          </cell>
          <cell r="O20">
            <v>0</v>
          </cell>
          <cell r="P20">
            <v>3.9187677668351809E-2</v>
          </cell>
        </row>
        <row r="21">
          <cell r="A21">
            <v>47</v>
          </cell>
          <cell r="B21">
            <v>47</v>
          </cell>
          <cell r="C21">
            <v>47</v>
          </cell>
          <cell r="D21" t="str">
            <v>St. James Parish</v>
          </cell>
          <cell r="E21">
            <v>58856358</v>
          </cell>
          <cell r="F21">
            <v>118115</v>
          </cell>
          <cell r="G21">
            <v>6</v>
          </cell>
          <cell r="H21">
            <v>2.0068350134746699E-3</v>
          </cell>
          <cell r="I21">
            <v>16</v>
          </cell>
          <cell r="J21">
            <v>0.63495100000000004</v>
          </cell>
          <cell r="K21">
            <v>74997</v>
          </cell>
          <cell r="L21">
            <v>74997</v>
          </cell>
          <cell r="M21">
            <v>60973</v>
          </cell>
          <cell r="N21">
            <v>14024</v>
          </cell>
          <cell r="O21">
            <v>0</v>
          </cell>
          <cell r="P21">
            <v>8.4426379728572958E-3</v>
          </cell>
        </row>
        <row r="22">
          <cell r="A22">
            <v>61</v>
          </cell>
          <cell r="B22">
            <v>61</v>
          </cell>
          <cell r="C22">
            <v>61</v>
          </cell>
          <cell r="D22" t="str">
            <v>West Baton Rouge Parish</v>
          </cell>
          <cell r="E22">
            <v>52647502</v>
          </cell>
          <cell r="F22">
            <v>81090</v>
          </cell>
          <cell r="G22">
            <v>4</v>
          </cell>
          <cell r="H22">
            <v>1.5402440176553866E-3</v>
          </cell>
          <cell r="I22">
            <v>17</v>
          </cell>
          <cell r="J22">
            <v>0.63495100000000004</v>
          </cell>
          <cell r="K22">
            <v>51488</v>
          </cell>
          <cell r="L22">
            <v>51488</v>
          </cell>
          <cell r="M22">
            <v>41860</v>
          </cell>
          <cell r="N22">
            <v>9628</v>
          </cell>
          <cell r="O22">
            <v>0</v>
          </cell>
          <cell r="P22">
            <v>5.7961590989836454E-3</v>
          </cell>
        </row>
        <row r="23">
          <cell r="A23">
            <v>7</v>
          </cell>
          <cell r="B23">
            <v>7</v>
          </cell>
          <cell r="C23">
            <v>7</v>
          </cell>
          <cell r="D23" t="str">
            <v>Bienville Parish</v>
          </cell>
          <cell r="E23">
            <v>35071660</v>
          </cell>
          <cell r="F23">
            <v>46331</v>
          </cell>
          <cell r="G23">
            <v>2</v>
          </cell>
          <cell r="H23">
            <v>1.3210381259398615E-3</v>
          </cell>
          <cell r="I23">
            <v>18</v>
          </cell>
          <cell r="J23">
            <v>0.63495100000000004</v>
          </cell>
          <cell r="K23">
            <v>29418</v>
          </cell>
          <cell r="L23">
            <v>29418</v>
          </cell>
          <cell r="M23">
            <v>23917</v>
          </cell>
          <cell r="N23">
            <v>5501</v>
          </cell>
          <cell r="O23">
            <v>0</v>
          </cell>
          <cell r="P23">
            <v>3.3116727853849614E-3</v>
          </cell>
        </row>
        <row r="24">
          <cell r="A24">
            <v>40</v>
          </cell>
          <cell r="B24">
            <v>40</v>
          </cell>
          <cell r="C24">
            <v>40</v>
          </cell>
          <cell r="D24" t="str">
            <v>Rapides Parish</v>
          </cell>
          <cell r="E24">
            <v>234533243</v>
          </cell>
          <cell r="F24">
            <v>293749</v>
          </cell>
          <cell r="G24">
            <v>14</v>
          </cell>
          <cell r="H24">
            <v>1.252483427264083E-3</v>
          </cell>
          <cell r="I24">
            <v>19</v>
          </cell>
          <cell r="J24">
            <v>0.63495100000000004</v>
          </cell>
          <cell r="K24">
            <v>186516</v>
          </cell>
          <cell r="L24">
            <v>186516</v>
          </cell>
          <cell r="M24">
            <v>151639</v>
          </cell>
          <cell r="N24">
            <v>34877</v>
          </cell>
          <cell r="O24">
            <v>0</v>
          </cell>
          <cell r="P24">
            <v>2.0996667388634899E-2</v>
          </cell>
        </row>
        <row r="25">
          <cell r="A25">
            <v>32</v>
          </cell>
          <cell r="B25">
            <v>32</v>
          </cell>
          <cell r="C25">
            <v>32</v>
          </cell>
          <cell r="D25" t="str">
            <v>Livingston Parish</v>
          </cell>
          <cell r="E25">
            <v>242026104</v>
          </cell>
          <cell r="F25">
            <v>287340</v>
          </cell>
          <cell r="G25">
            <v>5</v>
          </cell>
          <cell r="H25">
            <v>1.1872273083402608E-3</v>
          </cell>
          <cell r="I25">
            <v>20</v>
          </cell>
          <cell r="J25">
            <v>0.63495100000000004</v>
          </cell>
          <cell r="K25">
            <v>182447</v>
          </cell>
          <cell r="L25">
            <v>182447</v>
          </cell>
          <cell r="M25">
            <v>148331</v>
          </cell>
          <cell r="N25">
            <v>34116</v>
          </cell>
          <cell r="O25">
            <v>0</v>
          </cell>
          <cell r="P25">
            <v>2.0538607814097835E-2</v>
          </cell>
        </row>
        <row r="26">
          <cell r="A26">
            <v>49</v>
          </cell>
          <cell r="B26">
            <v>49</v>
          </cell>
          <cell r="C26">
            <v>49</v>
          </cell>
          <cell r="D26" t="str">
            <v>St. Landry Parish</v>
          </cell>
          <cell r="E26">
            <v>116685254.8</v>
          </cell>
          <cell r="F26">
            <v>129858</v>
          </cell>
          <cell r="G26">
            <v>5</v>
          </cell>
          <cell r="H26">
            <v>1.1128912579620987E-3</v>
          </cell>
          <cell r="I26">
            <v>21</v>
          </cell>
          <cell r="J26">
            <v>0.63495100000000004</v>
          </cell>
          <cell r="K26">
            <v>82453</v>
          </cell>
          <cell r="L26">
            <v>82453</v>
          </cell>
          <cell r="M26">
            <v>67035</v>
          </cell>
          <cell r="N26">
            <v>15418</v>
          </cell>
          <cell r="O26">
            <v>0</v>
          </cell>
          <cell r="P26">
            <v>9.2819823296398877E-3</v>
          </cell>
        </row>
        <row r="27">
          <cell r="A27">
            <v>26</v>
          </cell>
          <cell r="B27">
            <v>26</v>
          </cell>
          <cell r="C27">
            <v>26</v>
          </cell>
          <cell r="D27" t="str">
            <v>Jefferson Parish</v>
          </cell>
          <cell r="E27">
            <v>517535449.19999999</v>
          </cell>
          <cell r="F27">
            <v>565861</v>
          </cell>
          <cell r="G27">
            <v>23</v>
          </cell>
          <cell r="H27">
            <v>1.0933763105014373E-3</v>
          </cell>
          <cell r="I27">
            <v>22</v>
          </cell>
          <cell r="J27">
            <v>0.63495100000000004</v>
          </cell>
          <cell r="K27">
            <v>359294</v>
          </cell>
          <cell r="L27">
            <v>359294</v>
          </cell>
          <cell r="M27">
            <v>292109</v>
          </cell>
          <cell r="N27">
            <v>67185</v>
          </cell>
          <cell r="O27">
            <v>0</v>
          </cell>
          <cell r="P27">
            <v>4.0446806776534922E-2</v>
          </cell>
        </row>
        <row r="28">
          <cell r="A28">
            <v>58</v>
          </cell>
          <cell r="B28">
            <v>58</v>
          </cell>
          <cell r="C28">
            <v>58</v>
          </cell>
          <cell r="D28" t="str">
            <v>Vernon Parish</v>
          </cell>
          <cell r="E28">
            <v>78883627</v>
          </cell>
          <cell r="F28">
            <v>72360</v>
          </cell>
          <cell r="G28">
            <v>2</v>
          </cell>
          <cell r="H28">
            <v>9.1730062057111036E-4</v>
          </cell>
          <cell r="I28">
            <v>23</v>
          </cell>
          <cell r="J28">
            <v>0.63495100000000004</v>
          </cell>
          <cell r="K28">
            <v>45945</v>
          </cell>
          <cell r="L28">
            <v>45945</v>
          </cell>
          <cell r="M28">
            <v>37354</v>
          </cell>
          <cell r="N28">
            <v>8591</v>
          </cell>
          <cell r="O28">
            <v>0</v>
          </cell>
          <cell r="P28">
            <v>5.1721669088487339E-3</v>
          </cell>
        </row>
        <row r="29">
          <cell r="A29">
            <v>65</v>
          </cell>
          <cell r="B29">
            <v>65</v>
          </cell>
          <cell r="C29">
            <v>65</v>
          </cell>
          <cell r="D29" t="str">
            <v>City of Monroe School District</v>
          </cell>
          <cell r="E29">
            <v>92514500.5</v>
          </cell>
          <cell r="F29">
            <v>82989</v>
          </cell>
          <cell r="G29">
            <v>4</v>
          </cell>
          <cell r="H29">
            <v>8.9703775680008131E-4</v>
          </cell>
          <cell r="I29">
            <v>24</v>
          </cell>
          <cell r="J29">
            <v>0.63495100000000004</v>
          </cell>
          <cell r="K29">
            <v>52694</v>
          </cell>
          <cell r="L29">
            <v>52694</v>
          </cell>
          <cell r="M29">
            <v>42841</v>
          </cell>
          <cell r="N29">
            <v>9853</v>
          </cell>
          <cell r="O29">
            <v>0</v>
          </cell>
          <cell r="P29">
            <v>5.9319221481091561E-3</v>
          </cell>
        </row>
        <row r="30">
          <cell r="A30">
            <v>45</v>
          </cell>
          <cell r="B30">
            <v>45</v>
          </cell>
          <cell r="C30">
            <v>45</v>
          </cell>
          <cell r="D30" t="str">
            <v>St. Charles Parish</v>
          </cell>
          <cell r="E30">
            <v>161088264.30000001</v>
          </cell>
          <cell r="F30">
            <v>143319</v>
          </cell>
          <cell r="G30">
            <v>1</v>
          </cell>
          <cell r="H30">
            <v>8.8969237220839549E-4</v>
          </cell>
          <cell r="I30">
            <v>25</v>
          </cell>
          <cell r="J30">
            <v>0.63495100000000004</v>
          </cell>
          <cell r="K30">
            <v>91001</v>
          </cell>
          <cell r="L30">
            <v>91001</v>
          </cell>
          <cell r="M30">
            <v>73985</v>
          </cell>
          <cell r="N30">
            <v>17016</v>
          </cell>
          <cell r="O30">
            <v>0</v>
          </cell>
          <cell r="P30">
            <v>1.0244256412496324E-2</v>
          </cell>
        </row>
        <row r="31">
          <cell r="A31">
            <v>36</v>
          </cell>
          <cell r="B31">
            <v>36</v>
          </cell>
          <cell r="C31">
            <v>36</v>
          </cell>
          <cell r="D31" t="str">
            <v>Orleans Parish</v>
          </cell>
          <cell r="E31">
            <v>191491136.0961943</v>
          </cell>
          <cell r="F31">
            <v>166203</v>
          </cell>
          <cell r="G31">
            <v>6</v>
          </cell>
          <cell r="H31">
            <v>8.6794095741595596E-4</v>
          </cell>
          <cell r="I31">
            <v>26</v>
          </cell>
          <cell r="J31">
            <v>0.63495100000000004</v>
          </cell>
          <cell r="K31">
            <v>105531</v>
          </cell>
          <cell r="L31">
            <v>105531</v>
          </cell>
          <cell r="M31">
            <v>85798</v>
          </cell>
          <cell r="N31">
            <v>19733</v>
          </cell>
          <cell r="O31">
            <v>0</v>
          </cell>
          <cell r="P31">
            <v>1.1879942236537506E-2</v>
          </cell>
        </row>
        <row r="32">
          <cell r="A32">
            <v>17</v>
          </cell>
          <cell r="B32">
            <v>17</v>
          </cell>
          <cell r="C32">
            <v>17</v>
          </cell>
          <cell r="D32" t="str">
            <v>East Baton Rouge Parish</v>
          </cell>
          <cell r="E32">
            <v>489736544.10000002</v>
          </cell>
          <cell r="F32">
            <v>352024</v>
          </cell>
          <cell r="G32">
            <v>10</v>
          </cell>
          <cell r="H32">
            <v>7.1880280171234207E-4</v>
          </cell>
          <cell r="I32">
            <v>27</v>
          </cell>
          <cell r="J32">
            <v>0.63495100000000004</v>
          </cell>
          <cell r="K32">
            <v>223518</v>
          </cell>
          <cell r="L32">
            <v>223518</v>
          </cell>
          <cell r="M32">
            <v>181722</v>
          </cell>
          <cell r="N32">
            <v>41796</v>
          </cell>
          <cell r="O32">
            <v>0</v>
          </cell>
          <cell r="P32">
            <v>2.5162093875983269E-2</v>
          </cell>
        </row>
        <row r="33">
          <cell r="A33">
            <v>39</v>
          </cell>
          <cell r="B33">
            <v>39</v>
          </cell>
          <cell r="C33">
            <v>39</v>
          </cell>
          <cell r="D33" t="str">
            <v>Pointe Coupee Parish</v>
          </cell>
          <cell r="E33">
            <v>27421408</v>
          </cell>
          <cell r="F33">
            <v>18212</v>
          </cell>
          <cell r="G33">
            <v>1</v>
          </cell>
          <cell r="H33">
            <v>6.6415262119290158E-4</v>
          </cell>
          <cell r="I33">
            <v>28</v>
          </cell>
          <cell r="J33">
            <v>0.63495100000000004</v>
          </cell>
          <cell r="K33">
            <v>11564</v>
          </cell>
          <cell r="L33">
            <v>11564</v>
          </cell>
          <cell r="M33">
            <v>9402</v>
          </cell>
          <cell r="N33">
            <v>2162</v>
          </cell>
          <cell r="O33">
            <v>0</v>
          </cell>
          <cell r="P33">
            <v>1.3017942786794376E-3</v>
          </cell>
        </row>
        <row r="34">
          <cell r="A34">
            <v>51</v>
          </cell>
          <cell r="B34">
            <v>51</v>
          </cell>
          <cell r="C34">
            <v>51</v>
          </cell>
          <cell r="D34" t="str">
            <v>St. Mary Parish</v>
          </cell>
          <cell r="E34">
            <v>86278490</v>
          </cell>
          <cell r="F34">
            <v>24966</v>
          </cell>
          <cell r="G34">
            <v>1</v>
          </cell>
          <cell r="H34">
            <v>2.8936528675919108E-4</v>
          </cell>
          <cell r="I34">
            <v>29</v>
          </cell>
          <cell r="J34">
            <v>0.63495100000000004</v>
          </cell>
          <cell r="K34">
            <v>15852</v>
          </cell>
          <cell r="L34">
            <v>15852</v>
          </cell>
          <cell r="M34">
            <v>12888</v>
          </cell>
          <cell r="N34">
            <v>2964</v>
          </cell>
          <cell r="O34">
            <v>0</v>
          </cell>
          <cell r="P34">
            <v>1.7845073422368078E-3</v>
          </cell>
        </row>
        <row r="35">
          <cell r="A35">
            <v>37</v>
          </cell>
          <cell r="B35">
            <v>37</v>
          </cell>
          <cell r="C35">
            <v>37</v>
          </cell>
          <cell r="D35" t="str">
            <v>Ouachita Parish</v>
          </cell>
          <cell r="E35">
            <v>200337620.5</v>
          </cell>
          <cell r="F35">
            <v>49476</v>
          </cell>
          <cell r="G35">
            <v>2</v>
          </cell>
          <cell r="H35">
            <v>2.4696310097184167E-4</v>
          </cell>
          <cell r="I35">
            <v>30</v>
          </cell>
          <cell r="J35">
            <v>0.63495100000000004</v>
          </cell>
          <cell r="K35">
            <v>31415</v>
          </cell>
          <cell r="L35">
            <v>31415</v>
          </cell>
          <cell r="M35">
            <v>25541</v>
          </cell>
          <cell r="N35">
            <v>5874</v>
          </cell>
          <cell r="O35">
            <v>0</v>
          </cell>
          <cell r="P35">
            <v>3.5364810848075518E-3</v>
          </cell>
        </row>
        <row r="36">
          <cell r="D36" t="str">
            <v>Total City/Parish</v>
          </cell>
          <cell r="E36">
            <v>4586197261.1961937</v>
          </cell>
          <cell r="F36">
            <v>13990250</v>
          </cell>
          <cell r="G36">
            <v>393</v>
          </cell>
          <cell r="H36">
            <v>3.0505120480471869E-3</v>
          </cell>
          <cell r="K36">
            <v>8883124</v>
          </cell>
          <cell r="L36">
            <v>8643334</v>
          </cell>
          <cell r="M36">
            <v>7074276</v>
          </cell>
          <cell r="N36">
            <v>1569058</v>
          </cell>
          <cell r="O36">
            <v>239790</v>
          </cell>
          <cell r="P36">
            <v>1</v>
          </cell>
        </row>
        <row r="38">
          <cell r="A38" t="str">
            <v>W32001</v>
          </cell>
          <cell r="B38" t="str">
            <v>W32001</v>
          </cell>
          <cell r="C38" t="str">
            <v>W32</v>
          </cell>
          <cell r="D38" t="str">
            <v>Joseph A. Craig Charter School</v>
          </cell>
          <cell r="E38">
            <v>2727497</v>
          </cell>
          <cell r="F38">
            <v>295156</v>
          </cell>
          <cell r="G38">
            <v>11</v>
          </cell>
          <cell r="H38">
            <v>0.10821496778914881</v>
          </cell>
          <cell r="I38">
            <v>1</v>
          </cell>
          <cell r="J38">
            <v>0.75</v>
          </cell>
          <cell r="K38">
            <v>221367</v>
          </cell>
          <cell r="L38">
            <v>149179</v>
          </cell>
          <cell r="M38">
            <v>129864</v>
          </cell>
          <cell r="N38">
            <v>19315</v>
          </cell>
          <cell r="O38">
            <v>72188</v>
          </cell>
          <cell r="P38">
            <v>3.7667461419978912E-2</v>
          </cell>
        </row>
        <row r="39">
          <cell r="A39" t="str">
            <v>WJ5001</v>
          </cell>
          <cell r="B39" t="str">
            <v>WJ5001</v>
          </cell>
          <cell r="C39" t="str">
            <v>WJ5</v>
          </cell>
          <cell r="D39" t="str">
            <v>Collegiate Baton Rouge</v>
          </cell>
          <cell r="E39">
            <v>1848730</v>
          </cell>
          <cell r="F39">
            <v>163900</v>
          </cell>
          <cell r="G39">
            <v>4</v>
          </cell>
          <cell r="H39">
            <v>8.8655455366657115E-2</v>
          </cell>
          <cell r="I39">
            <v>2</v>
          </cell>
          <cell r="J39">
            <v>0.64377775081224808</v>
          </cell>
          <cell r="K39">
            <v>105515</v>
          </cell>
          <cell r="L39">
            <v>105515</v>
          </cell>
          <cell r="M39">
            <v>91853</v>
          </cell>
          <cell r="N39">
            <v>13662</v>
          </cell>
          <cell r="O39">
            <v>0</v>
          </cell>
          <cell r="P39">
            <v>1.7954266858786878E-2</v>
          </cell>
        </row>
        <row r="40">
          <cell r="A40" t="str">
            <v>WAA001</v>
          </cell>
          <cell r="B40" t="str">
            <v>WAA001</v>
          </cell>
          <cell r="C40" t="str">
            <v>WAA</v>
          </cell>
          <cell r="D40" t="str">
            <v>Morris Jeff Community School</v>
          </cell>
          <cell r="E40">
            <v>10199865</v>
          </cell>
          <cell r="F40">
            <v>771599</v>
          </cell>
          <cell r="G40">
            <v>25</v>
          </cell>
          <cell r="H40">
            <v>7.5647962007340294E-2</v>
          </cell>
          <cell r="I40">
            <v>3</v>
          </cell>
          <cell r="J40">
            <v>0.64377775081224808</v>
          </cell>
          <cell r="K40">
            <v>496738</v>
          </cell>
          <cell r="L40">
            <v>496738</v>
          </cell>
          <cell r="M40">
            <v>432422</v>
          </cell>
          <cell r="N40">
            <v>64316</v>
          </cell>
          <cell r="O40">
            <v>0</v>
          </cell>
          <cell r="P40">
            <v>8.4524158753732426E-2</v>
          </cell>
        </row>
        <row r="41">
          <cell r="A41" t="str">
            <v>WBJ001</v>
          </cell>
          <cell r="B41" t="str">
            <v>WBJ001</v>
          </cell>
          <cell r="C41" t="str">
            <v>WBJ</v>
          </cell>
          <cell r="D41" t="str">
            <v>ENCORE Academy</v>
          </cell>
          <cell r="E41">
            <v>5767504</v>
          </cell>
          <cell r="F41">
            <v>401102</v>
          </cell>
          <cell r="G41">
            <v>11</v>
          </cell>
          <cell r="H41">
            <v>6.9545161997286872E-2</v>
          </cell>
          <cell r="I41">
            <v>4</v>
          </cell>
          <cell r="J41">
            <v>0.64377775081224808</v>
          </cell>
          <cell r="K41">
            <v>258221</v>
          </cell>
          <cell r="L41">
            <v>258221</v>
          </cell>
          <cell r="M41">
            <v>224787</v>
          </cell>
          <cell r="N41">
            <v>33434</v>
          </cell>
          <cell r="O41">
            <v>0</v>
          </cell>
          <cell r="P41">
            <v>4.3938480240182029E-2</v>
          </cell>
        </row>
        <row r="42">
          <cell r="A42" t="str">
            <v>WE3001</v>
          </cell>
          <cell r="B42" t="str">
            <v>WE3001</v>
          </cell>
          <cell r="C42" t="str">
            <v>WE3</v>
          </cell>
          <cell r="D42" t="str">
            <v>Lawrence D. Crocker College Prep</v>
          </cell>
          <cell r="E42">
            <v>6147574</v>
          </cell>
          <cell r="F42">
            <v>394087</v>
          </cell>
          <cell r="G42">
            <v>8</v>
          </cell>
          <cell r="H42">
            <v>6.4104474382902912E-2</v>
          </cell>
          <cell r="I42">
            <v>5</v>
          </cell>
          <cell r="J42">
            <v>0.64377775081224808</v>
          </cell>
          <cell r="K42">
            <v>253704</v>
          </cell>
          <cell r="L42">
            <v>253704</v>
          </cell>
          <cell r="M42">
            <v>220855</v>
          </cell>
          <cell r="N42">
            <v>32849</v>
          </cell>
          <cell r="O42">
            <v>0</v>
          </cell>
          <cell r="P42">
            <v>4.3169874606848943E-2</v>
          </cell>
        </row>
        <row r="43">
          <cell r="A43" t="str">
            <v>WI1001</v>
          </cell>
          <cell r="B43" t="str">
            <v>WI1001</v>
          </cell>
          <cell r="C43" t="str">
            <v>WI1</v>
          </cell>
          <cell r="D43" t="str">
            <v>Akili Academy of New Orleans</v>
          </cell>
          <cell r="E43">
            <v>6856356</v>
          </cell>
          <cell r="F43">
            <v>424081</v>
          </cell>
          <cell r="G43">
            <v>11</v>
          </cell>
          <cell r="H43">
            <v>6.1852243378260986E-2</v>
          </cell>
          <cell r="I43">
            <v>6</v>
          </cell>
          <cell r="J43">
            <v>0.64377775081224808</v>
          </cell>
          <cell r="K43">
            <v>273014</v>
          </cell>
          <cell r="L43">
            <v>273014</v>
          </cell>
          <cell r="M43">
            <v>237665</v>
          </cell>
          <cell r="N43">
            <v>35349</v>
          </cell>
          <cell r="O43">
            <v>0</v>
          </cell>
          <cell r="P43">
            <v>4.6455633911622433E-2</v>
          </cell>
        </row>
        <row r="44">
          <cell r="A44" t="str">
            <v>WU1001</v>
          </cell>
          <cell r="B44" t="str">
            <v>WU1001</v>
          </cell>
          <cell r="C44" t="str">
            <v>WU1</v>
          </cell>
          <cell r="D44" t="str">
            <v>Success Preparatory Academy</v>
          </cell>
          <cell r="E44">
            <v>4992055</v>
          </cell>
          <cell r="F44">
            <v>284751</v>
          </cell>
          <cell r="G44">
            <v>7</v>
          </cell>
          <cell r="H44">
            <v>5.704083789140945E-2</v>
          </cell>
          <cell r="I44">
            <v>7</v>
          </cell>
          <cell r="J44">
            <v>0.64377775081224808</v>
          </cell>
          <cell r="K44">
            <v>183316</v>
          </cell>
          <cell r="L44">
            <v>183316</v>
          </cell>
          <cell r="M44">
            <v>159581</v>
          </cell>
          <cell r="N44">
            <v>23735</v>
          </cell>
          <cell r="O44">
            <v>0</v>
          </cell>
          <cell r="P44">
            <v>3.1192762957734689E-2</v>
          </cell>
        </row>
        <row r="45">
          <cell r="A45" t="str">
            <v>WZ2001</v>
          </cell>
          <cell r="B45" t="str">
            <v>WZ2001</v>
          </cell>
          <cell r="C45" t="str">
            <v>WZ2</v>
          </cell>
          <cell r="D45" t="str">
            <v>ReNEW SciTech Academy at Laurel</v>
          </cell>
          <cell r="E45">
            <v>9524471</v>
          </cell>
          <cell r="F45">
            <v>533879</v>
          </cell>
          <cell r="G45">
            <v>22</v>
          </cell>
          <cell r="H45">
            <v>5.6053401810977219E-2</v>
          </cell>
          <cell r="I45">
            <v>8</v>
          </cell>
          <cell r="J45">
            <v>0.64377775081224808</v>
          </cell>
          <cell r="K45">
            <v>343699</v>
          </cell>
          <cell r="L45">
            <v>343699</v>
          </cell>
          <cell r="M45">
            <v>299198</v>
          </cell>
          <cell r="N45">
            <v>44501</v>
          </cell>
          <cell r="O45">
            <v>0</v>
          </cell>
          <cell r="P45">
            <v>5.848328261477697E-2</v>
          </cell>
        </row>
        <row r="46">
          <cell r="A46" t="str">
            <v>WL1001</v>
          </cell>
          <cell r="B46" t="str">
            <v>WL1001</v>
          </cell>
          <cell r="C46" t="str">
            <v>WL1</v>
          </cell>
          <cell r="D46" t="str">
            <v>KIPP Central City</v>
          </cell>
          <cell r="E46">
            <v>8942688</v>
          </cell>
          <cell r="F46">
            <v>410608</v>
          </cell>
          <cell r="G46">
            <v>6</v>
          </cell>
          <cell r="H46">
            <v>4.5915501021616768E-2</v>
          </cell>
          <cell r="I46">
            <v>9</v>
          </cell>
          <cell r="J46">
            <v>0.64377775081224808</v>
          </cell>
          <cell r="K46">
            <v>264340</v>
          </cell>
          <cell r="L46">
            <v>264340</v>
          </cell>
          <cell r="M46">
            <v>230114</v>
          </cell>
          <cell r="N46">
            <v>34226</v>
          </cell>
          <cell r="O46">
            <v>0</v>
          </cell>
          <cell r="P46">
            <v>4.4979679680156599E-2</v>
          </cell>
        </row>
        <row r="47">
          <cell r="A47" t="str">
            <v>W18001</v>
          </cell>
          <cell r="B47" t="str">
            <v>W18001</v>
          </cell>
          <cell r="C47" t="str">
            <v>W18</v>
          </cell>
          <cell r="D47" t="str">
            <v>Noble Minds</v>
          </cell>
          <cell r="E47">
            <v>1114030</v>
          </cell>
          <cell r="F47">
            <v>50446</v>
          </cell>
          <cell r="G47">
            <v>3</v>
          </cell>
          <cell r="H47">
            <v>4.5282443022180728E-2</v>
          </cell>
          <cell r="I47">
            <v>10</v>
          </cell>
          <cell r="J47">
            <v>0.64377775081224808</v>
          </cell>
          <cell r="K47">
            <v>32476</v>
          </cell>
          <cell r="L47">
            <v>32476</v>
          </cell>
          <cell r="M47">
            <v>28271</v>
          </cell>
          <cell r="N47">
            <v>4205</v>
          </cell>
          <cell r="O47">
            <v>0</v>
          </cell>
          <cell r="P47">
            <v>5.5260652087946041E-3</v>
          </cell>
        </row>
        <row r="48">
          <cell r="A48" t="str">
            <v>WBL001</v>
          </cell>
          <cell r="B48" t="str">
            <v>WBL001</v>
          </cell>
          <cell r="C48" t="str">
            <v>WBL</v>
          </cell>
          <cell r="D48" t="str">
            <v>Wilson Charter School</v>
          </cell>
          <cell r="E48">
            <v>5876559</v>
          </cell>
          <cell r="F48">
            <v>266006</v>
          </cell>
          <cell r="G48">
            <v>6</v>
          </cell>
          <cell r="H48">
            <v>4.5265605263216109E-2</v>
          </cell>
          <cell r="I48">
            <v>11</v>
          </cell>
          <cell r="J48">
            <v>0.64377775081224808</v>
          </cell>
          <cell r="K48">
            <v>171249</v>
          </cell>
          <cell r="L48">
            <v>171249</v>
          </cell>
          <cell r="M48">
            <v>149076</v>
          </cell>
          <cell r="N48">
            <v>22173</v>
          </cell>
          <cell r="O48">
            <v>0</v>
          </cell>
          <cell r="P48">
            <v>2.9139461169505703E-2</v>
          </cell>
        </row>
        <row r="49">
          <cell r="A49" t="str">
            <v>WE2001</v>
          </cell>
          <cell r="B49" t="str">
            <v>WE2001</v>
          </cell>
          <cell r="C49" t="str">
            <v>WE2</v>
          </cell>
          <cell r="D49" t="str">
            <v>Walter L. Cohen College Prep</v>
          </cell>
          <cell r="E49">
            <v>5325571</v>
          </cell>
          <cell r="F49">
            <v>224342</v>
          </cell>
          <cell r="G49">
            <v>5</v>
          </cell>
          <cell r="H49">
            <v>4.2125435939169717E-2</v>
          </cell>
          <cell r="I49">
            <v>12</v>
          </cell>
          <cell r="J49">
            <v>0.64377775081224808</v>
          </cell>
          <cell r="K49">
            <v>144426</v>
          </cell>
          <cell r="L49">
            <v>144426</v>
          </cell>
          <cell r="M49">
            <v>125726</v>
          </cell>
          <cell r="N49">
            <v>18700</v>
          </cell>
          <cell r="O49">
            <v>0</v>
          </cell>
          <cell r="P49">
            <v>2.4575301571787458E-2</v>
          </cell>
        </row>
        <row r="50">
          <cell r="A50" t="str">
            <v>W95001</v>
          </cell>
          <cell r="B50" t="str">
            <v>W95001</v>
          </cell>
          <cell r="C50" t="str">
            <v>W95</v>
          </cell>
          <cell r="D50" t="str">
            <v>Langston Hughes Charter Academy</v>
          </cell>
          <cell r="E50">
            <v>7838109</v>
          </cell>
          <cell r="F50">
            <v>322642</v>
          </cell>
          <cell r="G50">
            <v>5</v>
          </cell>
          <cell r="H50">
            <v>4.1163244859187334E-2</v>
          </cell>
          <cell r="I50">
            <v>13</v>
          </cell>
          <cell r="J50">
            <v>0.64377775081224808</v>
          </cell>
          <cell r="K50">
            <v>207710</v>
          </cell>
          <cell r="L50">
            <v>185213</v>
          </cell>
          <cell r="M50">
            <v>161232</v>
          </cell>
          <cell r="N50">
            <v>23981</v>
          </cell>
          <cell r="O50">
            <v>22497</v>
          </cell>
          <cell r="P50">
            <v>3.5343607726281784E-2</v>
          </cell>
        </row>
        <row r="51">
          <cell r="A51" t="str">
            <v>W92001</v>
          </cell>
          <cell r="B51" t="str">
            <v>W92001</v>
          </cell>
          <cell r="C51" t="str">
            <v>W92</v>
          </cell>
          <cell r="D51" t="str">
            <v>Arthur Ashe Charter School</v>
          </cell>
          <cell r="E51">
            <v>8011436</v>
          </cell>
          <cell r="F51">
            <v>292007</v>
          </cell>
          <cell r="G51">
            <v>6</v>
          </cell>
          <cell r="H51">
            <v>3.6448771481167673E-2</v>
          </cell>
          <cell r="I51">
            <v>14</v>
          </cell>
          <cell r="J51">
            <v>0.64377775081224808</v>
          </cell>
          <cell r="K51">
            <v>187988</v>
          </cell>
          <cell r="L51">
            <v>187988</v>
          </cell>
          <cell r="M51">
            <v>163648</v>
          </cell>
          <cell r="N51">
            <v>24340</v>
          </cell>
          <cell r="O51">
            <v>0</v>
          </cell>
          <cell r="P51">
            <v>3.1987743147890137E-2</v>
          </cell>
        </row>
        <row r="52">
          <cell r="A52" t="str">
            <v>WZ5001</v>
          </cell>
          <cell r="B52" t="str">
            <v>WZ5001</v>
          </cell>
          <cell r="C52" t="str">
            <v>WZ5</v>
          </cell>
          <cell r="D52" t="str">
            <v>ReNEW Accelerated High School</v>
          </cell>
          <cell r="E52">
            <v>3761480</v>
          </cell>
          <cell r="F52">
            <v>135189</v>
          </cell>
          <cell r="G52">
            <v>7</v>
          </cell>
          <cell r="H52">
            <v>3.5940374533428333E-2</v>
          </cell>
          <cell r="I52">
            <v>15</v>
          </cell>
          <cell r="J52">
            <v>0.64377775081224808</v>
          </cell>
          <cell r="K52">
            <v>87032</v>
          </cell>
          <cell r="L52">
            <v>87032</v>
          </cell>
          <cell r="M52">
            <v>75763</v>
          </cell>
          <cell r="N52">
            <v>11269</v>
          </cell>
          <cell r="O52">
            <v>0</v>
          </cell>
          <cell r="P52">
            <v>1.4809228576543048E-2</v>
          </cell>
        </row>
        <row r="53">
          <cell r="A53" t="str">
            <v>W94001</v>
          </cell>
          <cell r="B53" t="str">
            <v>W94001</v>
          </cell>
          <cell r="C53" t="str">
            <v>W94</v>
          </cell>
          <cell r="D53" t="str">
            <v>Phillis Wheatley Community School</v>
          </cell>
          <cell r="E53">
            <v>8139955</v>
          </cell>
          <cell r="F53">
            <v>233569</v>
          </cell>
          <cell r="G53">
            <v>5</v>
          </cell>
          <cell r="H53">
            <v>2.8694138972512748E-2</v>
          </cell>
          <cell r="I53">
            <v>16</v>
          </cell>
          <cell r="J53">
            <v>0.64377775081224808</v>
          </cell>
          <cell r="K53">
            <v>150367</v>
          </cell>
          <cell r="L53">
            <v>150367</v>
          </cell>
          <cell r="M53">
            <v>130898</v>
          </cell>
          <cell r="N53">
            <v>19469</v>
          </cell>
          <cell r="O53">
            <v>0</v>
          </cell>
          <cell r="P53">
            <v>2.5586212811024089E-2</v>
          </cell>
        </row>
        <row r="54">
          <cell r="A54" t="str">
            <v>WJ4001</v>
          </cell>
          <cell r="B54" t="str">
            <v>WJ4001</v>
          </cell>
          <cell r="C54" t="str">
            <v>WJ4</v>
          </cell>
          <cell r="D54" t="str">
            <v>Livingston Collegiate Academy</v>
          </cell>
          <cell r="E54">
            <v>3870275</v>
          </cell>
          <cell r="F54">
            <v>107225</v>
          </cell>
          <cell r="G54">
            <v>2</v>
          </cell>
          <cell r="H54">
            <v>2.7704749662491684E-2</v>
          </cell>
          <cell r="I54">
            <v>17</v>
          </cell>
          <cell r="J54">
            <v>0.64377775081224808</v>
          </cell>
          <cell r="K54">
            <v>69029</v>
          </cell>
          <cell r="L54">
            <v>69029</v>
          </cell>
          <cell r="M54">
            <v>60091</v>
          </cell>
          <cell r="N54">
            <v>8938</v>
          </cell>
          <cell r="O54">
            <v>0</v>
          </cell>
          <cell r="P54">
            <v>1.1745866341232996E-2</v>
          </cell>
        </row>
        <row r="55">
          <cell r="A55" t="str">
            <v>WZ6001</v>
          </cell>
          <cell r="B55" t="str">
            <v>WZ6001</v>
          </cell>
          <cell r="C55" t="str">
            <v>WZ6</v>
          </cell>
          <cell r="D55" t="str">
            <v>ReNEW Schaumburg Elementary</v>
          </cell>
          <cell r="E55">
            <v>8115443</v>
          </cell>
          <cell r="F55">
            <v>224150</v>
          </cell>
          <cell r="G55">
            <v>9</v>
          </cell>
          <cell r="H55">
            <v>2.7620180438701868E-2</v>
          </cell>
          <cell r="I55">
            <v>18</v>
          </cell>
          <cell r="J55">
            <v>0.64377775081224808</v>
          </cell>
          <cell r="K55">
            <v>144303</v>
          </cell>
          <cell r="L55">
            <v>144303</v>
          </cell>
          <cell r="M55">
            <v>125619</v>
          </cell>
          <cell r="N55">
            <v>18684</v>
          </cell>
          <cell r="O55">
            <v>0</v>
          </cell>
          <cell r="P55">
            <v>2.4554372084760679E-2</v>
          </cell>
        </row>
        <row r="56">
          <cell r="A56" t="str">
            <v>WJ1001</v>
          </cell>
          <cell r="B56" t="str">
            <v>WJ1001</v>
          </cell>
          <cell r="C56" t="str">
            <v>WJ1</v>
          </cell>
          <cell r="D56" t="str">
            <v>Abramson Sci Academy</v>
          </cell>
          <cell r="E56">
            <v>7112250</v>
          </cell>
          <cell r="F56">
            <v>196418</v>
          </cell>
          <cell r="G56">
            <v>5</v>
          </cell>
          <cell r="H56">
            <v>2.7616858237547892E-2</v>
          </cell>
          <cell r="I56">
            <v>19</v>
          </cell>
          <cell r="J56">
            <v>0.64377775081224808</v>
          </cell>
          <cell r="K56">
            <v>126450</v>
          </cell>
          <cell r="L56">
            <v>126450</v>
          </cell>
          <cell r="M56">
            <v>110078</v>
          </cell>
          <cell r="N56">
            <v>16372</v>
          </cell>
          <cell r="O56">
            <v>0</v>
          </cell>
          <cell r="P56">
            <v>2.1516533614117431E-2</v>
          </cell>
        </row>
        <row r="57">
          <cell r="A57" t="str">
            <v>WBU001</v>
          </cell>
          <cell r="B57" t="str">
            <v>WBU001</v>
          </cell>
          <cell r="C57" t="str">
            <v>WBU</v>
          </cell>
          <cell r="D57" t="str">
            <v>Rosenwald Collegiate Academy</v>
          </cell>
          <cell r="E57">
            <v>2199188</v>
          </cell>
          <cell r="F57">
            <v>60260</v>
          </cell>
          <cell r="G57">
            <v>1</v>
          </cell>
          <cell r="H57">
            <v>2.7401022559235499E-2</v>
          </cell>
          <cell r="I57">
            <v>20</v>
          </cell>
          <cell r="J57">
            <v>0.64377775081224808</v>
          </cell>
          <cell r="K57">
            <v>38794</v>
          </cell>
          <cell r="L57">
            <v>38794</v>
          </cell>
          <cell r="M57">
            <v>33771</v>
          </cell>
          <cell r="N57">
            <v>5023</v>
          </cell>
          <cell r="O57">
            <v>0</v>
          </cell>
          <cell r="P57">
            <v>6.6011261765604717E-3</v>
          </cell>
        </row>
        <row r="58">
          <cell r="A58" t="str">
            <v>W62001</v>
          </cell>
          <cell r="B58" t="str">
            <v>W62001</v>
          </cell>
          <cell r="C58" t="str">
            <v>W62</v>
          </cell>
          <cell r="D58" t="str">
            <v>Lord Beaconsfield Landry-Oliver Perry Walker High</v>
          </cell>
          <cell r="E58">
            <v>11879033</v>
          </cell>
          <cell r="F58">
            <v>300582</v>
          </cell>
          <cell r="G58">
            <v>5</v>
          </cell>
          <cell r="H58">
            <v>2.5303574794345633E-2</v>
          </cell>
          <cell r="I58">
            <v>21</v>
          </cell>
          <cell r="J58">
            <v>0.64377775081224808</v>
          </cell>
          <cell r="K58">
            <v>193508</v>
          </cell>
          <cell r="L58">
            <v>193508</v>
          </cell>
          <cell r="M58">
            <v>168453</v>
          </cell>
          <cell r="N58">
            <v>25055</v>
          </cell>
          <cell r="O58">
            <v>0</v>
          </cell>
          <cell r="P58">
            <v>3.2927017687628596E-2</v>
          </cell>
        </row>
        <row r="59">
          <cell r="A59" t="str">
            <v>W84001</v>
          </cell>
          <cell r="B59" t="str">
            <v>W84001</v>
          </cell>
          <cell r="C59" t="str">
            <v>W84</v>
          </cell>
          <cell r="D59" t="str">
            <v>KIPP Renaissance</v>
          </cell>
          <cell r="E59">
            <v>5998677</v>
          </cell>
          <cell r="F59">
            <v>141430</v>
          </cell>
          <cell r="G59">
            <v>3</v>
          </cell>
          <cell r="H59">
            <v>2.3576865365479757E-2</v>
          </cell>
          <cell r="I59">
            <v>22</v>
          </cell>
          <cell r="J59">
            <v>0.64377775081224808</v>
          </cell>
          <cell r="K59">
            <v>91049</v>
          </cell>
          <cell r="L59">
            <v>91049</v>
          </cell>
          <cell r="M59">
            <v>79260</v>
          </cell>
          <cell r="N59">
            <v>11789</v>
          </cell>
          <cell r="O59">
            <v>0</v>
          </cell>
          <cell r="P59">
            <v>1.5492754994320112E-2</v>
          </cell>
        </row>
        <row r="60">
          <cell r="A60" t="str">
            <v>WV2001</v>
          </cell>
          <cell r="B60" t="str">
            <v>WV2001</v>
          </cell>
          <cell r="C60" t="str">
            <v>WV2</v>
          </cell>
          <cell r="D60" t="str">
            <v>Mildred Osborne Charter School</v>
          </cell>
          <cell r="E60">
            <v>4820044</v>
          </cell>
          <cell r="F60">
            <v>112995</v>
          </cell>
          <cell r="G60">
            <v>3</v>
          </cell>
          <cell r="H60">
            <v>2.3442732058047602E-2</v>
          </cell>
          <cell r="I60">
            <v>23</v>
          </cell>
          <cell r="J60">
            <v>0.64377775081224808</v>
          </cell>
          <cell r="K60">
            <v>72744</v>
          </cell>
          <cell r="L60">
            <v>72744</v>
          </cell>
          <cell r="M60">
            <v>63325</v>
          </cell>
          <cell r="N60">
            <v>9419</v>
          </cell>
          <cell r="O60">
            <v>0</v>
          </cell>
          <cell r="P60">
            <v>1.2378004912814223E-2</v>
          </cell>
        </row>
        <row r="61">
          <cell r="A61" t="str">
            <v>W87001</v>
          </cell>
          <cell r="B61" t="str">
            <v>W87001</v>
          </cell>
          <cell r="C61" t="str">
            <v>W87</v>
          </cell>
          <cell r="D61" t="str">
            <v>KIPP Booker T Washington</v>
          </cell>
          <cell r="E61">
            <v>2557450</v>
          </cell>
          <cell r="F61">
            <v>56542</v>
          </cell>
          <cell r="G61">
            <v>1</v>
          </cell>
          <cell r="H61">
            <v>2.2108741128858824E-2</v>
          </cell>
          <cell r="I61">
            <v>24</v>
          </cell>
          <cell r="J61">
            <v>0.64377775081224808</v>
          </cell>
          <cell r="K61">
            <v>36400</v>
          </cell>
          <cell r="L61">
            <v>36400</v>
          </cell>
          <cell r="M61">
            <v>31687</v>
          </cell>
          <cell r="N61">
            <v>4713</v>
          </cell>
          <cell r="O61">
            <v>0</v>
          </cell>
          <cell r="P61">
            <v>6.1937668924782483E-3</v>
          </cell>
        </row>
        <row r="62">
          <cell r="A62" t="str">
            <v>WV1001</v>
          </cell>
          <cell r="B62" t="str">
            <v>WV1001</v>
          </cell>
          <cell r="C62" t="str">
            <v>WV1</v>
          </cell>
          <cell r="D62" t="str">
            <v>Arise Academy</v>
          </cell>
          <cell r="E62">
            <v>5521741</v>
          </cell>
          <cell r="F62">
            <v>121442</v>
          </cell>
          <cell r="G62">
            <v>4</v>
          </cell>
          <cell r="H62">
            <v>2.1993425624273213E-2</v>
          </cell>
          <cell r="I62">
            <v>25</v>
          </cell>
          <cell r="J62">
            <v>0.64377775081224808</v>
          </cell>
          <cell r="K62">
            <v>78182</v>
          </cell>
          <cell r="L62">
            <v>78182</v>
          </cell>
          <cell r="M62">
            <v>68059</v>
          </cell>
          <cell r="N62">
            <v>10123</v>
          </cell>
          <cell r="O62">
            <v>0</v>
          </cell>
          <cell r="P62">
            <v>1.3303326461201496E-2</v>
          </cell>
        </row>
        <row r="63">
          <cell r="A63">
            <v>348001</v>
          </cell>
          <cell r="B63">
            <v>348001</v>
          </cell>
          <cell r="C63">
            <v>348</v>
          </cell>
          <cell r="D63" t="str">
            <v>New Orleans Military &amp; Maritime Academy</v>
          </cell>
          <cell r="E63">
            <v>8903357</v>
          </cell>
          <cell r="F63">
            <v>189908</v>
          </cell>
          <cell r="G63">
            <v>2</v>
          </cell>
          <cell r="H63">
            <v>2.132993206944302E-2</v>
          </cell>
          <cell r="I63">
            <v>26</v>
          </cell>
          <cell r="J63">
            <v>0.64377775081224808</v>
          </cell>
          <cell r="K63">
            <v>122259</v>
          </cell>
          <cell r="L63">
            <v>122259</v>
          </cell>
          <cell r="M63">
            <v>106429</v>
          </cell>
          <cell r="N63">
            <v>15830</v>
          </cell>
          <cell r="O63">
            <v>0</v>
          </cell>
          <cell r="P63">
            <v>2.0803399629326872E-2</v>
          </cell>
        </row>
        <row r="64">
          <cell r="A64">
            <v>347001</v>
          </cell>
          <cell r="B64">
            <v>347001</v>
          </cell>
          <cell r="C64">
            <v>347</v>
          </cell>
          <cell r="D64" t="str">
            <v>Lycee Francais de la Nouvelle-Orleans</v>
          </cell>
          <cell r="E64">
            <v>9843803</v>
          </cell>
          <cell r="F64">
            <v>208982</v>
          </cell>
          <cell r="G64">
            <v>7</v>
          </cell>
          <cell r="H64">
            <v>2.1229803156361419E-2</v>
          </cell>
          <cell r="I64">
            <v>27</v>
          </cell>
          <cell r="J64">
            <v>0.64377775081224808</v>
          </cell>
          <cell r="K64">
            <v>134538</v>
          </cell>
          <cell r="L64">
            <v>134538</v>
          </cell>
          <cell r="M64">
            <v>117118</v>
          </cell>
          <cell r="N64">
            <v>17420</v>
          </cell>
          <cell r="O64">
            <v>0</v>
          </cell>
          <cell r="P64">
            <v>2.2892775004951609E-2</v>
          </cell>
        </row>
        <row r="65">
          <cell r="A65" t="str">
            <v>WBC001</v>
          </cell>
          <cell r="B65" t="str">
            <v>WBC001</v>
          </cell>
          <cell r="C65" t="str">
            <v>WBC</v>
          </cell>
          <cell r="D65" t="str">
            <v>Alice M Harte Elementary Charter School</v>
          </cell>
          <cell r="E65">
            <v>7254921</v>
          </cell>
          <cell r="F65">
            <v>150327</v>
          </cell>
          <cell r="G65">
            <v>4</v>
          </cell>
          <cell r="H65">
            <v>2.0720694270826658E-2</v>
          </cell>
          <cell r="I65">
            <v>28</v>
          </cell>
          <cell r="J65">
            <v>0.64377775081224808</v>
          </cell>
          <cell r="K65">
            <v>96777</v>
          </cell>
          <cell r="L65">
            <v>96777</v>
          </cell>
          <cell r="M65">
            <v>84247</v>
          </cell>
          <cell r="N65">
            <v>12530</v>
          </cell>
          <cell r="O65">
            <v>0</v>
          </cell>
          <cell r="P65">
            <v>1.6467422487729876E-2</v>
          </cell>
        </row>
        <row r="66">
          <cell r="A66" t="str">
            <v>WAE001</v>
          </cell>
          <cell r="B66" t="str">
            <v>WAE001</v>
          </cell>
          <cell r="C66" t="str">
            <v>WAE</v>
          </cell>
          <cell r="D66" t="str">
            <v>Fannie C. Williams Charter School</v>
          </cell>
          <cell r="E66">
            <v>5439343</v>
          </cell>
          <cell r="F66">
            <v>112692</v>
          </cell>
          <cell r="G66">
            <v>6</v>
          </cell>
          <cell r="H66">
            <v>2.0717943325140556E-2</v>
          </cell>
          <cell r="I66">
            <v>29</v>
          </cell>
          <cell r="J66">
            <v>0.64377775081224808</v>
          </cell>
          <cell r="K66">
            <v>72549</v>
          </cell>
          <cell r="L66">
            <v>23282</v>
          </cell>
          <cell r="M66">
            <v>20268</v>
          </cell>
          <cell r="N66">
            <v>3014</v>
          </cell>
          <cell r="O66">
            <v>49267</v>
          </cell>
          <cell r="P66">
            <v>1.2344824018747376E-2</v>
          </cell>
        </row>
        <row r="67">
          <cell r="A67" t="str">
            <v>W5A001</v>
          </cell>
          <cell r="B67" t="str">
            <v>W5A001</v>
          </cell>
          <cell r="C67" t="str">
            <v>W5A</v>
          </cell>
          <cell r="D67" t="str">
            <v>Mary D. Coghill Charter School</v>
          </cell>
          <cell r="E67">
            <v>5879651</v>
          </cell>
          <cell r="F67">
            <v>114772</v>
          </cell>
          <cell r="G67">
            <v>5</v>
          </cell>
          <cell r="H67">
            <v>1.9520206216321345E-2</v>
          </cell>
          <cell r="I67">
            <v>30</v>
          </cell>
          <cell r="J67">
            <v>0.64377775081224808</v>
          </cell>
          <cell r="K67">
            <v>73888</v>
          </cell>
          <cell r="L67">
            <v>73888</v>
          </cell>
          <cell r="M67">
            <v>64321</v>
          </cell>
          <cell r="N67">
            <v>9567</v>
          </cell>
          <cell r="O67">
            <v>0</v>
          </cell>
          <cell r="P67">
            <v>1.2572666158006396E-2</v>
          </cell>
        </row>
        <row r="68">
          <cell r="A68" t="str">
            <v>WJ2001</v>
          </cell>
          <cell r="B68" t="str">
            <v>WJ2001</v>
          </cell>
          <cell r="C68" t="str">
            <v>WJ2</v>
          </cell>
          <cell r="D68" t="str">
            <v>G W Carver High School</v>
          </cell>
          <cell r="E68">
            <v>9406626</v>
          </cell>
          <cell r="F68">
            <v>180007</v>
          </cell>
          <cell r="G68">
            <v>8</v>
          </cell>
          <cell r="H68">
            <v>1.9136191871559474E-2</v>
          </cell>
          <cell r="I68">
            <v>31</v>
          </cell>
          <cell r="J68">
            <v>0.64377775081224808</v>
          </cell>
          <cell r="K68">
            <v>115885</v>
          </cell>
          <cell r="L68">
            <v>115885</v>
          </cell>
          <cell r="M68">
            <v>100881</v>
          </cell>
          <cell r="N68">
            <v>15004</v>
          </cell>
          <cell r="O68">
            <v>0</v>
          </cell>
          <cell r="P68">
            <v>1.9718809789418732E-2</v>
          </cell>
        </row>
        <row r="69">
          <cell r="A69" t="str">
            <v>WAM001</v>
          </cell>
          <cell r="B69" t="str">
            <v>WAM001</v>
          </cell>
          <cell r="C69" t="str">
            <v>WAM</v>
          </cell>
          <cell r="D69" t="str">
            <v>Paul Habans Charter School</v>
          </cell>
          <cell r="E69">
            <v>6664050</v>
          </cell>
          <cell r="F69">
            <v>119123</v>
          </cell>
          <cell r="G69">
            <v>5</v>
          </cell>
          <cell r="H69">
            <v>1.7875466120452276E-2</v>
          </cell>
          <cell r="I69">
            <v>32</v>
          </cell>
          <cell r="J69">
            <v>0.64377775081224808</v>
          </cell>
          <cell r="K69">
            <v>76689</v>
          </cell>
          <cell r="L69">
            <v>76689</v>
          </cell>
          <cell r="M69">
            <v>66760</v>
          </cell>
          <cell r="N69">
            <v>9929</v>
          </cell>
          <cell r="O69">
            <v>0</v>
          </cell>
          <cell r="P69">
            <v>1.304927992355122E-2</v>
          </cell>
        </row>
        <row r="70">
          <cell r="A70" t="str">
            <v>WZ3001</v>
          </cell>
          <cell r="B70" t="str">
            <v>WZ3001</v>
          </cell>
          <cell r="C70" t="str">
            <v>WZ3</v>
          </cell>
          <cell r="D70" t="str">
            <v>ReNEW Dolores T. Aaron Elementary</v>
          </cell>
          <cell r="E70">
            <v>8092602</v>
          </cell>
          <cell r="F70">
            <v>135449</v>
          </cell>
          <cell r="G70">
            <v>4</v>
          </cell>
          <cell r="H70">
            <v>1.6737385577592967E-2</v>
          </cell>
          <cell r="I70">
            <v>33</v>
          </cell>
          <cell r="J70">
            <v>0.64377775081224808</v>
          </cell>
          <cell r="K70">
            <v>87199</v>
          </cell>
          <cell r="L70">
            <v>87199</v>
          </cell>
          <cell r="M70">
            <v>75909</v>
          </cell>
          <cell r="N70">
            <v>11290</v>
          </cell>
          <cell r="O70">
            <v>0</v>
          </cell>
          <cell r="P70">
            <v>1.4837645034538759E-2</v>
          </cell>
        </row>
        <row r="71">
          <cell r="A71">
            <v>344001</v>
          </cell>
          <cell r="B71">
            <v>344001</v>
          </cell>
          <cell r="C71">
            <v>344</v>
          </cell>
          <cell r="D71" t="str">
            <v>International High School of New Orleans</v>
          </cell>
          <cell r="E71">
            <v>5757534</v>
          </cell>
          <cell r="F71">
            <v>81787</v>
          </cell>
          <cell r="G71">
            <v>2</v>
          </cell>
          <cell r="H71">
            <v>1.4205213551496178E-2</v>
          </cell>
          <cell r="I71">
            <v>34</v>
          </cell>
          <cell r="J71">
            <v>0.64377775081224808</v>
          </cell>
          <cell r="K71">
            <v>52653</v>
          </cell>
          <cell r="L71">
            <v>52653</v>
          </cell>
          <cell r="M71">
            <v>45836</v>
          </cell>
          <cell r="N71">
            <v>6817</v>
          </cell>
          <cell r="O71">
            <v>0</v>
          </cell>
          <cell r="P71">
            <v>8.9593518733422309E-3</v>
          </cell>
        </row>
        <row r="72">
          <cell r="A72" t="str">
            <v>W85001</v>
          </cell>
          <cell r="B72" t="str">
            <v>W85001</v>
          </cell>
          <cell r="C72" t="str">
            <v>W85</v>
          </cell>
          <cell r="D72" t="str">
            <v>KIPP Leadership</v>
          </cell>
          <cell r="E72">
            <v>9408022</v>
          </cell>
          <cell r="F72">
            <v>123995</v>
          </cell>
          <cell r="G72">
            <v>3</v>
          </cell>
          <cell r="H72">
            <v>1.3179709826358825E-2</v>
          </cell>
          <cell r="I72">
            <v>35</v>
          </cell>
          <cell r="J72">
            <v>0.64377775081224808</v>
          </cell>
          <cell r="K72">
            <v>79825</v>
          </cell>
          <cell r="L72">
            <v>79825</v>
          </cell>
          <cell r="M72">
            <v>69490</v>
          </cell>
          <cell r="N72">
            <v>10335</v>
          </cell>
          <cell r="O72">
            <v>0</v>
          </cell>
          <cell r="P72">
            <v>1.3582896763518577E-2</v>
          </cell>
        </row>
        <row r="73">
          <cell r="A73" t="str">
            <v>W13001</v>
          </cell>
          <cell r="B73" t="str">
            <v>W13001</v>
          </cell>
          <cell r="C73" t="str">
            <v>W13</v>
          </cell>
          <cell r="D73" t="str">
            <v>Lake Area New Tech Early College High School</v>
          </cell>
          <cell r="E73">
            <v>6921257</v>
          </cell>
          <cell r="F73">
            <v>85440</v>
          </cell>
          <cell r="G73">
            <v>2</v>
          </cell>
          <cell r="H73">
            <v>1.2344578448683526E-2</v>
          </cell>
          <cell r="I73">
            <v>36</v>
          </cell>
          <cell r="J73">
            <v>0.64377775081224808</v>
          </cell>
          <cell r="K73">
            <v>55004</v>
          </cell>
          <cell r="L73">
            <v>29060</v>
          </cell>
          <cell r="M73">
            <v>25297</v>
          </cell>
          <cell r="N73">
            <v>3763</v>
          </cell>
          <cell r="O73">
            <v>25944</v>
          </cell>
          <cell r="P73">
            <v>9.3593943448866367E-3</v>
          </cell>
        </row>
        <row r="74">
          <cell r="A74" t="str">
            <v>W82001</v>
          </cell>
          <cell r="B74" t="str">
            <v>W82001</v>
          </cell>
          <cell r="C74" t="str">
            <v>W82</v>
          </cell>
          <cell r="D74" t="str">
            <v>KIPP Believe</v>
          </cell>
          <cell r="E74">
            <v>7997210</v>
          </cell>
          <cell r="F74">
            <v>96791</v>
          </cell>
          <cell r="G74">
            <v>2</v>
          </cell>
          <cell r="H74">
            <v>1.2103095954714206E-2</v>
          </cell>
          <cell r="I74">
            <v>37</v>
          </cell>
          <cell r="J74">
            <v>0.64377775081224808</v>
          </cell>
          <cell r="K74">
            <v>62312</v>
          </cell>
          <cell r="L74">
            <v>62312</v>
          </cell>
          <cell r="M74">
            <v>54244</v>
          </cell>
          <cell r="N74">
            <v>8068</v>
          </cell>
          <cell r="O74">
            <v>0</v>
          </cell>
          <cell r="P74">
            <v>1.0602912159453423E-2</v>
          </cell>
        </row>
        <row r="75">
          <cell r="A75" t="str">
            <v>W31001</v>
          </cell>
          <cell r="B75" t="str">
            <v>W31001</v>
          </cell>
          <cell r="C75" t="str">
            <v>W31</v>
          </cell>
          <cell r="D75" t="str">
            <v>Dr. Martin Luther King Charter School for Sci/Tech</v>
          </cell>
          <cell r="E75">
            <v>9266045</v>
          </cell>
          <cell r="F75">
            <v>108505</v>
          </cell>
          <cell r="G75">
            <v>5</v>
          </cell>
          <cell r="H75">
            <v>1.1709958240004231E-2</v>
          </cell>
          <cell r="I75">
            <v>38</v>
          </cell>
          <cell r="J75">
            <v>0.64377775081224808</v>
          </cell>
          <cell r="K75">
            <v>69853</v>
          </cell>
          <cell r="L75">
            <v>45831</v>
          </cell>
          <cell r="M75">
            <v>39897</v>
          </cell>
          <cell r="N75">
            <v>5934</v>
          </cell>
          <cell r="O75">
            <v>24022</v>
          </cell>
          <cell r="P75">
            <v>1.1886076888469316E-2</v>
          </cell>
        </row>
        <row r="76">
          <cell r="A76" t="str">
            <v>WBD001</v>
          </cell>
          <cell r="B76" t="str">
            <v>WBD001</v>
          </cell>
          <cell r="C76" t="str">
            <v>WBD</v>
          </cell>
          <cell r="D76" t="str">
            <v>Edna Karr High School</v>
          </cell>
          <cell r="E76">
            <v>10990950</v>
          </cell>
          <cell r="F76">
            <v>124212</v>
          </cell>
          <cell r="G76">
            <v>3</v>
          </cell>
          <cell r="H76">
            <v>1.1301297885988017E-2</v>
          </cell>
          <cell r="I76">
            <v>39</v>
          </cell>
          <cell r="J76">
            <v>0.64377775081224808</v>
          </cell>
          <cell r="K76">
            <v>79965</v>
          </cell>
          <cell r="L76">
            <v>79965</v>
          </cell>
          <cell r="M76">
            <v>69611</v>
          </cell>
          <cell r="N76">
            <v>10354</v>
          </cell>
          <cell r="O76">
            <v>0</v>
          </cell>
          <cell r="P76">
            <v>1.3606718943874262E-2</v>
          </cell>
        </row>
        <row r="77">
          <cell r="A77" t="str">
            <v>WBS001</v>
          </cell>
          <cell r="B77" t="str">
            <v>WBS001</v>
          </cell>
          <cell r="C77" t="str">
            <v>WBS</v>
          </cell>
          <cell r="D77" t="str">
            <v>FirstLine Live Oak</v>
          </cell>
          <cell r="E77">
            <v>4427254</v>
          </cell>
          <cell r="F77">
            <v>46306</v>
          </cell>
          <cell r="G77">
            <v>1</v>
          </cell>
          <cell r="H77">
            <v>1.0459305022932951E-2</v>
          </cell>
          <cell r="I77">
            <v>40</v>
          </cell>
          <cell r="J77">
            <v>0.64377775081224808</v>
          </cell>
          <cell r="K77">
            <v>29811</v>
          </cell>
          <cell r="L77">
            <v>29811</v>
          </cell>
          <cell r="M77">
            <v>25951</v>
          </cell>
          <cell r="N77">
            <v>3860</v>
          </cell>
          <cell r="O77">
            <v>0</v>
          </cell>
          <cell r="P77">
            <v>5.0725929898810182E-3</v>
          </cell>
        </row>
        <row r="78">
          <cell r="A78" t="str">
            <v>WBV001</v>
          </cell>
          <cell r="B78" t="str">
            <v>WBV001</v>
          </cell>
          <cell r="C78" t="str">
            <v>WBV</v>
          </cell>
          <cell r="D78" t="str">
            <v>Dwight D. Eisenhower Charter School</v>
          </cell>
          <cell r="E78">
            <v>6445835</v>
          </cell>
          <cell r="F78">
            <v>60798</v>
          </cell>
          <cell r="G78">
            <v>2</v>
          </cell>
          <cell r="H78">
            <v>9.4321371862605852E-3</v>
          </cell>
          <cell r="I78">
            <v>41</v>
          </cell>
          <cell r="J78">
            <v>0.64377775081224808</v>
          </cell>
          <cell r="K78">
            <v>39140</v>
          </cell>
          <cell r="L78">
            <v>39140</v>
          </cell>
          <cell r="M78">
            <v>34072</v>
          </cell>
          <cell r="N78">
            <v>5068</v>
          </cell>
          <cell r="O78">
            <v>0</v>
          </cell>
          <cell r="P78">
            <v>6.6600009937252376E-3</v>
          </cell>
        </row>
        <row r="79">
          <cell r="A79" t="str">
            <v>WBR001</v>
          </cell>
          <cell r="B79" t="str">
            <v>WBR001</v>
          </cell>
          <cell r="C79" t="str">
            <v>WBR</v>
          </cell>
          <cell r="D79" t="str">
            <v>Athlos Academy of Jefferson Parish</v>
          </cell>
          <cell r="E79">
            <v>9742367</v>
          </cell>
          <cell r="F79">
            <v>91262</v>
          </cell>
          <cell r="G79">
            <v>3</v>
          </cell>
          <cell r="H79">
            <v>9.3675387100485945E-3</v>
          </cell>
          <cell r="I79">
            <v>42</v>
          </cell>
          <cell r="J79">
            <v>0.64377775081224808</v>
          </cell>
          <cell r="K79">
            <v>58752</v>
          </cell>
          <cell r="L79">
            <v>58752</v>
          </cell>
          <cell r="M79">
            <v>51145</v>
          </cell>
          <cell r="N79">
            <v>7607</v>
          </cell>
          <cell r="O79">
            <v>0</v>
          </cell>
          <cell r="P79">
            <v>9.9971481446945627E-3</v>
          </cell>
        </row>
        <row r="80">
          <cell r="A80" t="str">
            <v>W12001</v>
          </cell>
          <cell r="B80" t="str">
            <v>W12001</v>
          </cell>
          <cell r="C80" t="str">
            <v>W12</v>
          </cell>
          <cell r="D80" t="str">
            <v>Pierre A. Capdau Charter School at Avery Alexander</v>
          </cell>
          <cell r="E80">
            <v>7692850</v>
          </cell>
          <cell r="F80">
            <v>70172</v>
          </cell>
          <cell r="G80">
            <v>3</v>
          </cell>
          <cell r="H80">
            <v>9.1217169189572143E-3</v>
          </cell>
          <cell r="I80">
            <v>43</v>
          </cell>
          <cell r="J80">
            <v>0.64377775081224808</v>
          </cell>
          <cell r="K80">
            <v>45175</v>
          </cell>
          <cell r="L80">
            <v>20567</v>
          </cell>
          <cell r="M80">
            <v>17904</v>
          </cell>
          <cell r="N80">
            <v>2663</v>
          </cell>
          <cell r="O80">
            <v>24608</v>
          </cell>
          <cell r="P80">
            <v>7.686907125486398E-3</v>
          </cell>
        </row>
        <row r="81">
          <cell r="A81" t="str">
            <v>W21001</v>
          </cell>
          <cell r="B81" t="str">
            <v>W21001</v>
          </cell>
          <cell r="C81" t="str">
            <v>W21</v>
          </cell>
          <cell r="D81" t="str">
            <v>James M. Singleton Charter School</v>
          </cell>
          <cell r="E81">
            <v>4489865</v>
          </cell>
          <cell r="F81">
            <v>39032</v>
          </cell>
          <cell r="G81">
            <v>1</v>
          </cell>
          <cell r="H81">
            <v>8.6933571499365793E-3</v>
          </cell>
          <cell r="I81">
            <v>44</v>
          </cell>
          <cell r="J81">
            <v>0.64377775081224808</v>
          </cell>
          <cell r="K81">
            <v>25128</v>
          </cell>
          <cell r="L81">
            <v>25128</v>
          </cell>
          <cell r="M81">
            <v>21875</v>
          </cell>
          <cell r="N81">
            <v>3253</v>
          </cell>
          <cell r="O81">
            <v>0</v>
          </cell>
          <cell r="P81">
            <v>4.275741056983336E-3</v>
          </cell>
        </row>
        <row r="82">
          <cell r="A82" t="str">
            <v>WAF001</v>
          </cell>
          <cell r="B82" t="str">
            <v>WAF001</v>
          </cell>
          <cell r="C82" t="str">
            <v>WAF</v>
          </cell>
          <cell r="D82" t="str">
            <v>Harriet Tubman Charter School</v>
          </cell>
          <cell r="E82">
            <v>7462957</v>
          </cell>
          <cell r="F82">
            <v>64318</v>
          </cell>
          <cell r="G82">
            <v>3</v>
          </cell>
          <cell r="H82">
            <v>8.6182996900558313E-3</v>
          </cell>
          <cell r="I82">
            <v>45</v>
          </cell>
          <cell r="J82">
            <v>0.64377775081224808</v>
          </cell>
          <cell r="K82">
            <v>41406</v>
          </cell>
          <cell r="L82">
            <v>41406</v>
          </cell>
          <cell r="M82">
            <v>36045</v>
          </cell>
          <cell r="N82">
            <v>5361</v>
          </cell>
          <cell r="O82">
            <v>0</v>
          </cell>
          <cell r="P82">
            <v>7.0455799986251198E-3</v>
          </cell>
        </row>
        <row r="83">
          <cell r="A83" t="str">
            <v>W81001</v>
          </cell>
          <cell r="B83" t="str">
            <v>W81001</v>
          </cell>
          <cell r="C83" t="str">
            <v>W81</v>
          </cell>
          <cell r="D83" t="str">
            <v>KIPP Morial</v>
          </cell>
          <cell r="E83">
            <v>9094566</v>
          </cell>
          <cell r="F83">
            <v>75188</v>
          </cell>
          <cell r="G83">
            <v>2</v>
          </cell>
          <cell r="H83">
            <v>8.2673543740295029E-3</v>
          </cell>
          <cell r="I83">
            <v>46</v>
          </cell>
          <cell r="J83">
            <v>0.64377775081224808</v>
          </cell>
          <cell r="K83">
            <v>48404</v>
          </cell>
          <cell r="L83">
            <v>48404</v>
          </cell>
          <cell r="M83">
            <v>42137</v>
          </cell>
          <cell r="N83">
            <v>6267</v>
          </cell>
          <cell r="O83">
            <v>0</v>
          </cell>
          <cell r="P83">
            <v>8.2363486995471746E-3</v>
          </cell>
        </row>
        <row r="84">
          <cell r="A84" t="str">
            <v>WBG001</v>
          </cell>
          <cell r="B84" t="str">
            <v>WBG001</v>
          </cell>
          <cell r="C84" t="str">
            <v>WBG</v>
          </cell>
          <cell r="D84" t="str">
            <v>Robert Russa Moton Charter School</v>
          </cell>
          <cell r="E84">
            <v>3006488</v>
          </cell>
          <cell r="F84">
            <v>24712</v>
          </cell>
          <cell r="G84">
            <v>1</v>
          </cell>
          <cell r="H84">
            <v>8.2195571710247974E-3</v>
          </cell>
          <cell r="I84">
            <v>47</v>
          </cell>
          <cell r="J84">
            <v>0.64377775081224808</v>
          </cell>
          <cell r="K84">
            <v>15909</v>
          </cell>
          <cell r="L84">
            <v>15909</v>
          </cell>
          <cell r="M84">
            <v>13849</v>
          </cell>
          <cell r="N84">
            <v>2060</v>
          </cell>
          <cell r="O84">
            <v>0</v>
          </cell>
          <cell r="P84">
            <v>2.7070504805614412E-3</v>
          </cell>
        </row>
        <row r="85">
          <cell r="A85" t="str">
            <v>WBF001</v>
          </cell>
          <cell r="B85" t="str">
            <v>WBF001</v>
          </cell>
          <cell r="C85" t="str">
            <v>WBF</v>
          </cell>
          <cell r="D85" t="str">
            <v>Eleanor McMain Secondary School</v>
          </cell>
          <cell r="E85">
            <v>8015442</v>
          </cell>
          <cell r="F85">
            <v>50367</v>
          </cell>
          <cell r="G85">
            <v>1</v>
          </cell>
          <cell r="H85">
            <v>6.2837457996701863E-3</v>
          </cell>
          <cell r="I85">
            <v>48</v>
          </cell>
          <cell r="J85">
            <v>0.64377775081224808</v>
          </cell>
          <cell r="K85">
            <v>32425</v>
          </cell>
          <cell r="L85">
            <v>32425</v>
          </cell>
          <cell r="M85">
            <v>28227</v>
          </cell>
          <cell r="N85">
            <v>4198</v>
          </cell>
          <cell r="O85">
            <v>0</v>
          </cell>
          <cell r="P85">
            <v>5.51738712880789E-3</v>
          </cell>
        </row>
        <row r="86">
          <cell r="A86" t="str">
            <v>WBP001</v>
          </cell>
          <cell r="B86" t="str">
            <v>WBP001</v>
          </cell>
          <cell r="C86" t="str">
            <v>WBP</v>
          </cell>
          <cell r="D86" t="str">
            <v>McDonogh 42 Charter School</v>
          </cell>
          <cell r="E86">
            <v>4031776</v>
          </cell>
          <cell r="F86">
            <v>23720</v>
          </cell>
          <cell r="G86">
            <v>1</v>
          </cell>
          <cell r="H86">
            <v>5.8832633559007244E-3</v>
          </cell>
          <cell r="I86">
            <v>49</v>
          </cell>
          <cell r="J86">
            <v>0.64377775081224808</v>
          </cell>
          <cell r="K86">
            <v>15270</v>
          </cell>
          <cell r="L86">
            <v>15270</v>
          </cell>
          <cell r="M86">
            <v>13293</v>
          </cell>
          <cell r="N86">
            <v>1977</v>
          </cell>
          <cell r="O86">
            <v>0</v>
          </cell>
          <cell r="P86">
            <v>2.5983192430808475E-3</v>
          </cell>
        </row>
        <row r="87">
          <cell r="A87" t="str">
            <v>WBK001</v>
          </cell>
          <cell r="B87" t="str">
            <v>WBK001</v>
          </cell>
          <cell r="C87" t="str">
            <v>WBK</v>
          </cell>
          <cell r="D87" t="str">
            <v>Bricolage Academy</v>
          </cell>
          <cell r="E87">
            <v>5286564</v>
          </cell>
          <cell r="F87">
            <v>30996</v>
          </cell>
          <cell r="G87">
            <v>1</v>
          </cell>
          <cell r="H87">
            <v>5.8631655646276103E-3</v>
          </cell>
          <cell r="I87">
            <v>50</v>
          </cell>
          <cell r="J87">
            <v>0.64377775081224808</v>
          </cell>
          <cell r="K87">
            <v>19955</v>
          </cell>
          <cell r="L87">
            <v>19955</v>
          </cell>
          <cell r="M87">
            <v>17371</v>
          </cell>
          <cell r="N87">
            <v>2584</v>
          </cell>
          <cell r="O87">
            <v>0</v>
          </cell>
          <cell r="P87">
            <v>3.3955114928407542E-3</v>
          </cell>
        </row>
        <row r="88">
          <cell r="A88" t="str">
            <v>W52001</v>
          </cell>
          <cell r="B88" t="str">
            <v>W52001</v>
          </cell>
          <cell r="C88" t="str">
            <v>W52</v>
          </cell>
          <cell r="D88" t="str">
            <v>Esperanza Charter School</v>
          </cell>
          <cell r="E88">
            <v>5419803</v>
          </cell>
          <cell r="F88">
            <v>30164</v>
          </cell>
          <cell r="G88">
            <v>2</v>
          </cell>
          <cell r="H88">
            <v>5.5655159421846142E-3</v>
          </cell>
          <cell r="I88">
            <v>51</v>
          </cell>
          <cell r="J88">
            <v>0.64377775081224808</v>
          </cell>
          <cell r="K88">
            <v>19419</v>
          </cell>
          <cell r="L88">
            <v>19419</v>
          </cell>
          <cell r="M88">
            <v>16905</v>
          </cell>
          <cell r="N88">
            <v>2514</v>
          </cell>
          <cell r="O88">
            <v>0</v>
          </cell>
          <cell r="P88">
            <v>3.304306573764701E-3</v>
          </cell>
        </row>
        <row r="89">
          <cell r="A89" t="str">
            <v>W66001</v>
          </cell>
          <cell r="B89" t="str">
            <v>W66001</v>
          </cell>
          <cell r="C89" t="str">
            <v>W66</v>
          </cell>
          <cell r="D89" t="str">
            <v>Martin Behrman Charter Acad of Creative Arts &amp; Sci</v>
          </cell>
          <cell r="E89">
            <v>6388426</v>
          </cell>
          <cell r="F89">
            <v>35282</v>
          </cell>
          <cell r="G89">
            <v>1</v>
          </cell>
          <cell r="H89">
            <v>5.5228001388761489E-3</v>
          </cell>
          <cell r="I89">
            <v>52</v>
          </cell>
          <cell r="J89">
            <v>0.64377775081224808</v>
          </cell>
          <cell r="K89">
            <v>22714</v>
          </cell>
          <cell r="L89">
            <v>22714</v>
          </cell>
          <cell r="M89">
            <v>19773</v>
          </cell>
          <cell r="N89">
            <v>2941</v>
          </cell>
          <cell r="O89">
            <v>0</v>
          </cell>
          <cell r="P89">
            <v>3.864978604278872E-3</v>
          </cell>
        </row>
        <row r="90">
          <cell r="A90" t="str">
            <v>WBO001</v>
          </cell>
          <cell r="B90" t="str">
            <v>WBO001</v>
          </cell>
          <cell r="C90" t="str">
            <v>WBO</v>
          </cell>
          <cell r="D90" t="str">
            <v>Einstein Charter at Sherwood Forest</v>
          </cell>
          <cell r="E90">
            <v>4149849</v>
          </cell>
          <cell r="F90">
            <v>13016</v>
          </cell>
          <cell r="G90">
            <v>1</v>
          </cell>
          <cell r="H90">
            <v>3.1364996654095127E-3</v>
          </cell>
          <cell r="I90">
            <v>53</v>
          </cell>
          <cell r="J90">
            <v>0.64377775081224808</v>
          </cell>
          <cell r="K90">
            <v>8379</v>
          </cell>
          <cell r="L90">
            <v>8379</v>
          </cell>
          <cell r="M90">
            <v>7294</v>
          </cell>
          <cell r="N90">
            <v>1085</v>
          </cell>
          <cell r="O90">
            <v>0</v>
          </cell>
          <cell r="P90">
            <v>1.4257574942877814E-3</v>
          </cell>
        </row>
        <row r="91">
          <cell r="A91" t="str">
            <v>WBE001</v>
          </cell>
          <cell r="B91" t="str">
            <v>WBE001</v>
          </cell>
          <cell r="C91" t="str">
            <v>WBE</v>
          </cell>
          <cell r="D91" t="str">
            <v>Lusher Charter School</v>
          </cell>
          <cell r="E91">
            <v>18979655</v>
          </cell>
          <cell r="F91">
            <v>51521</v>
          </cell>
          <cell r="G91">
            <v>3</v>
          </cell>
          <cell r="H91">
            <v>2.7145382779613222E-3</v>
          </cell>
          <cell r="I91">
            <v>54</v>
          </cell>
          <cell r="J91">
            <v>0.64377775081224808</v>
          </cell>
          <cell r="K91">
            <v>33168</v>
          </cell>
          <cell r="L91">
            <v>33168</v>
          </cell>
          <cell r="M91">
            <v>28874</v>
          </cell>
          <cell r="N91">
            <v>4294</v>
          </cell>
          <cell r="O91">
            <v>0</v>
          </cell>
          <cell r="P91">
            <v>5.6438148431241361E-3</v>
          </cell>
        </row>
        <row r="92">
          <cell r="A92" t="str">
            <v>W51001</v>
          </cell>
          <cell r="B92" t="str">
            <v>W51001</v>
          </cell>
          <cell r="C92" t="str">
            <v>W51</v>
          </cell>
          <cell r="D92" t="str">
            <v>Lafayette Academy</v>
          </cell>
          <cell r="E92">
            <v>9257938</v>
          </cell>
          <cell r="F92">
            <v>16782</v>
          </cell>
          <cell r="G92">
            <v>1</v>
          </cell>
          <cell r="H92">
            <v>1.8127146671321412E-3</v>
          </cell>
          <cell r="I92">
            <v>55</v>
          </cell>
          <cell r="J92">
            <v>0.64377775081224808</v>
          </cell>
          <cell r="K92">
            <v>10804</v>
          </cell>
          <cell r="L92">
            <v>10804</v>
          </cell>
          <cell r="M92">
            <v>9405</v>
          </cell>
          <cell r="N92">
            <v>1399</v>
          </cell>
          <cell r="O92">
            <v>0</v>
          </cell>
          <cell r="P92">
            <v>1.8383916897344781E-3</v>
          </cell>
        </row>
        <row r="93">
          <cell r="D93" t="str">
            <v>Total Other Public Schools</v>
          </cell>
          <cell r="E93">
            <v>374864987</v>
          </cell>
          <cell r="F93">
            <v>9080034</v>
          </cell>
          <cell r="G93">
            <v>260</v>
          </cell>
          <cell r="H93">
            <v>2.4222144811833279E-2</v>
          </cell>
          <cell r="K93">
            <v>5876876</v>
          </cell>
          <cell r="L93">
            <v>5658350</v>
          </cell>
          <cell r="M93">
            <v>4925724</v>
          </cell>
          <cell r="N93">
            <v>732626</v>
          </cell>
          <cell r="O93">
            <v>218526</v>
          </cell>
          <cell r="P93">
            <v>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by School System_MER"/>
      <sheetName val="MFP by School System"/>
      <sheetName val="MFP by Site"/>
    </sheetNames>
    <sheetDataSet>
      <sheetData sheetId="0">
        <row r="5">
          <cell r="A5">
            <v>1</v>
          </cell>
          <cell r="B5" t="str">
            <v>Acadia Parish</v>
          </cell>
          <cell r="C5">
            <v>32</v>
          </cell>
          <cell r="D5">
            <v>9341</v>
          </cell>
          <cell r="E5"/>
          <cell r="F5">
            <v>716</v>
          </cell>
          <cell r="G5">
            <v>704</v>
          </cell>
          <cell r="H5">
            <v>679</v>
          </cell>
          <cell r="I5">
            <v>117</v>
          </cell>
          <cell r="J5">
            <v>622</v>
          </cell>
          <cell r="K5">
            <v>620</v>
          </cell>
          <cell r="L5">
            <v>556</v>
          </cell>
          <cell r="M5">
            <v>4014</v>
          </cell>
        </row>
        <row r="6">
          <cell r="A6">
            <v>2</v>
          </cell>
          <cell r="B6" t="str">
            <v>Allen Parish</v>
          </cell>
          <cell r="C6">
            <v>11</v>
          </cell>
          <cell r="D6">
            <v>3987</v>
          </cell>
          <cell r="E6"/>
          <cell r="F6">
            <v>315</v>
          </cell>
          <cell r="G6">
            <v>305</v>
          </cell>
          <cell r="H6">
            <v>278</v>
          </cell>
          <cell r="I6">
            <v>4</v>
          </cell>
          <cell r="J6">
            <v>291</v>
          </cell>
          <cell r="K6">
            <v>278</v>
          </cell>
          <cell r="L6">
            <v>237</v>
          </cell>
          <cell r="M6">
            <v>1708</v>
          </cell>
        </row>
        <row r="7">
          <cell r="A7">
            <v>3</v>
          </cell>
          <cell r="B7" t="str">
            <v>Ascension Parish</v>
          </cell>
          <cell r="C7">
            <v>28</v>
          </cell>
          <cell r="D7">
            <v>22206</v>
          </cell>
          <cell r="E7"/>
          <cell r="F7">
            <v>1691</v>
          </cell>
          <cell r="G7">
            <v>1701</v>
          </cell>
          <cell r="H7">
            <v>1689</v>
          </cell>
          <cell r="I7">
            <v>169</v>
          </cell>
          <cell r="J7">
            <v>1711</v>
          </cell>
          <cell r="K7">
            <v>1620</v>
          </cell>
          <cell r="L7">
            <v>1370</v>
          </cell>
          <cell r="M7">
            <v>9951</v>
          </cell>
        </row>
        <row r="8">
          <cell r="A8">
            <v>4</v>
          </cell>
          <cell r="B8" t="str">
            <v>Assumption Parish</v>
          </cell>
          <cell r="C8">
            <v>9</v>
          </cell>
          <cell r="D8">
            <v>3122</v>
          </cell>
          <cell r="E8"/>
          <cell r="F8">
            <v>252</v>
          </cell>
          <cell r="G8">
            <v>242</v>
          </cell>
          <cell r="H8">
            <v>194</v>
          </cell>
          <cell r="I8">
            <v>48</v>
          </cell>
          <cell r="J8">
            <v>230</v>
          </cell>
          <cell r="K8">
            <v>232</v>
          </cell>
          <cell r="L8">
            <v>237</v>
          </cell>
          <cell r="M8">
            <v>1435</v>
          </cell>
        </row>
        <row r="9">
          <cell r="A9">
            <v>5</v>
          </cell>
          <cell r="B9" t="str">
            <v>Avoyelles Parish</v>
          </cell>
          <cell r="C9">
            <v>11</v>
          </cell>
          <cell r="D9">
            <v>5065</v>
          </cell>
          <cell r="E9"/>
          <cell r="F9">
            <v>372</v>
          </cell>
          <cell r="G9">
            <v>419</v>
          </cell>
          <cell r="H9">
            <v>374</v>
          </cell>
          <cell r="I9">
            <v>137</v>
          </cell>
          <cell r="J9">
            <v>343</v>
          </cell>
          <cell r="K9">
            <v>331</v>
          </cell>
          <cell r="L9">
            <v>291</v>
          </cell>
          <cell r="M9">
            <v>2267</v>
          </cell>
        </row>
        <row r="10">
          <cell r="A10">
            <v>6</v>
          </cell>
          <cell r="B10" t="str">
            <v>Beauregard Parish</v>
          </cell>
          <cell r="C10">
            <v>12</v>
          </cell>
          <cell r="D10">
            <v>5763</v>
          </cell>
          <cell r="E10"/>
          <cell r="F10">
            <v>447</v>
          </cell>
          <cell r="G10">
            <v>431</v>
          </cell>
          <cell r="H10">
            <v>421</v>
          </cell>
          <cell r="I10">
            <v>9</v>
          </cell>
          <cell r="J10">
            <v>443</v>
          </cell>
          <cell r="K10">
            <v>373</v>
          </cell>
          <cell r="L10">
            <v>431</v>
          </cell>
          <cell r="M10">
            <v>2555</v>
          </cell>
        </row>
        <row r="11">
          <cell r="A11">
            <v>7</v>
          </cell>
          <cell r="B11" t="str">
            <v>Bienville Parish</v>
          </cell>
          <cell r="C11">
            <v>9</v>
          </cell>
          <cell r="D11">
            <v>2030</v>
          </cell>
          <cell r="E11"/>
          <cell r="F11">
            <v>172</v>
          </cell>
          <cell r="G11">
            <v>132</v>
          </cell>
          <cell r="H11">
            <v>172</v>
          </cell>
          <cell r="I11">
            <v>5</v>
          </cell>
          <cell r="J11">
            <v>143</v>
          </cell>
          <cell r="K11">
            <v>144</v>
          </cell>
          <cell r="L11">
            <v>144</v>
          </cell>
          <cell r="M11">
            <v>912</v>
          </cell>
        </row>
        <row r="12">
          <cell r="A12">
            <v>8</v>
          </cell>
          <cell r="B12" t="str">
            <v>Bossier Parish</v>
          </cell>
          <cell r="C12">
            <v>34</v>
          </cell>
          <cell r="D12">
            <v>22331</v>
          </cell>
          <cell r="E12"/>
          <cell r="F12">
            <v>1778</v>
          </cell>
          <cell r="G12">
            <v>1794</v>
          </cell>
          <cell r="H12">
            <v>1530</v>
          </cell>
          <cell r="I12">
            <v>202</v>
          </cell>
          <cell r="J12">
            <v>1659</v>
          </cell>
          <cell r="K12">
            <v>1523</v>
          </cell>
          <cell r="L12">
            <v>1323</v>
          </cell>
          <cell r="M12">
            <v>9809</v>
          </cell>
        </row>
        <row r="13">
          <cell r="A13">
            <v>9</v>
          </cell>
          <cell r="B13" t="str">
            <v>Caddo Parish</v>
          </cell>
          <cell r="C13">
            <v>64</v>
          </cell>
          <cell r="D13">
            <v>37402</v>
          </cell>
          <cell r="E13"/>
          <cell r="F13">
            <v>2787</v>
          </cell>
          <cell r="G13">
            <v>2763</v>
          </cell>
          <cell r="H13">
            <v>2514</v>
          </cell>
          <cell r="I13">
            <v>496</v>
          </cell>
          <cell r="J13">
            <v>2887</v>
          </cell>
          <cell r="K13">
            <v>2668</v>
          </cell>
          <cell r="L13">
            <v>2473</v>
          </cell>
          <cell r="M13">
            <v>16588</v>
          </cell>
        </row>
        <row r="14">
          <cell r="A14">
            <v>10</v>
          </cell>
          <cell r="B14" t="str">
            <v>Calcasieu Parish</v>
          </cell>
          <cell r="C14">
            <v>60</v>
          </cell>
          <cell r="D14">
            <v>30994</v>
          </cell>
          <cell r="E14"/>
          <cell r="F14">
            <v>2348</v>
          </cell>
          <cell r="G14">
            <v>2325</v>
          </cell>
          <cell r="H14">
            <v>2150</v>
          </cell>
          <cell r="I14">
            <v>412</v>
          </cell>
          <cell r="J14">
            <v>2290</v>
          </cell>
          <cell r="K14">
            <v>2040</v>
          </cell>
          <cell r="L14">
            <v>1961</v>
          </cell>
          <cell r="M14">
            <v>13526</v>
          </cell>
        </row>
        <row r="15">
          <cell r="A15">
            <v>11</v>
          </cell>
          <cell r="B15" t="str">
            <v>Caldwell Parish</v>
          </cell>
          <cell r="C15">
            <v>8</v>
          </cell>
          <cell r="D15">
            <v>1541</v>
          </cell>
          <cell r="E15"/>
          <cell r="F15">
            <v>139</v>
          </cell>
          <cell r="G15">
            <v>127</v>
          </cell>
          <cell r="H15">
            <v>115</v>
          </cell>
          <cell r="I15">
            <v>16</v>
          </cell>
          <cell r="J15">
            <v>100</v>
          </cell>
          <cell r="K15">
            <v>91</v>
          </cell>
          <cell r="L15">
            <v>92</v>
          </cell>
          <cell r="M15">
            <v>680</v>
          </cell>
        </row>
        <row r="16">
          <cell r="A16">
            <v>12</v>
          </cell>
          <cell r="B16" t="str">
            <v>Cameron Parish</v>
          </cell>
          <cell r="C16">
            <v>4</v>
          </cell>
          <cell r="D16">
            <v>1313</v>
          </cell>
          <cell r="E16"/>
          <cell r="F16">
            <v>102</v>
          </cell>
          <cell r="G16">
            <v>89</v>
          </cell>
          <cell r="H16">
            <v>78</v>
          </cell>
          <cell r="I16">
            <v>19</v>
          </cell>
          <cell r="J16">
            <v>93</v>
          </cell>
          <cell r="K16">
            <v>87</v>
          </cell>
          <cell r="L16">
            <v>113</v>
          </cell>
          <cell r="M16">
            <v>581</v>
          </cell>
        </row>
        <row r="17">
          <cell r="A17">
            <v>13</v>
          </cell>
          <cell r="B17" t="str">
            <v>Catahoula Parish</v>
          </cell>
          <cell r="C17">
            <v>6</v>
          </cell>
          <cell r="D17">
            <v>1165</v>
          </cell>
          <cell r="E17"/>
          <cell r="F17">
            <v>82</v>
          </cell>
          <cell r="G17">
            <v>110</v>
          </cell>
          <cell r="H17">
            <v>84</v>
          </cell>
          <cell r="I17">
            <v>0</v>
          </cell>
          <cell r="J17">
            <v>81</v>
          </cell>
          <cell r="K17">
            <v>86</v>
          </cell>
          <cell r="L17">
            <v>71</v>
          </cell>
          <cell r="M17">
            <v>514</v>
          </cell>
        </row>
        <row r="18">
          <cell r="A18">
            <v>14</v>
          </cell>
          <cell r="B18" t="str">
            <v>Claiborne Parish</v>
          </cell>
          <cell r="C18">
            <v>7</v>
          </cell>
          <cell r="D18">
            <v>1629</v>
          </cell>
          <cell r="E18"/>
          <cell r="F18">
            <v>127</v>
          </cell>
          <cell r="G18">
            <v>115</v>
          </cell>
          <cell r="H18">
            <v>108</v>
          </cell>
          <cell r="I18">
            <v>0</v>
          </cell>
          <cell r="J18">
            <v>98</v>
          </cell>
          <cell r="K18">
            <v>114</v>
          </cell>
          <cell r="L18">
            <v>112</v>
          </cell>
          <cell r="M18">
            <v>674</v>
          </cell>
        </row>
        <row r="19">
          <cell r="A19">
            <v>15</v>
          </cell>
          <cell r="B19" t="str">
            <v>Concordia Parish</v>
          </cell>
          <cell r="C19">
            <v>11</v>
          </cell>
          <cell r="D19">
            <v>3209</v>
          </cell>
          <cell r="E19"/>
          <cell r="F19">
            <v>246</v>
          </cell>
          <cell r="G19">
            <v>235</v>
          </cell>
          <cell r="H19">
            <v>263</v>
          </cell>
          <cell r="I19">
            <v>2</v>
          </cell>
          <cell r="J19">
            <v>244</v>
          </cell>
          <cell r="K19">
            <v>219</v>
          </cell>
          <cell r="L19">
            <v>200</v>
          </cell>
          <cell r="M19">
            <v>1409</v>
          </cell>
        </row>
        <row r="20">
          <cell r="A20">
            <v>16</v>
          </cell>
          <cell r="B20" t="str">
            <v>DeSoto Parish</v>
          </cell>
          <cell r="C20">
            <v>9</v>
          </cell>
          <cell r="D20">
            <v>4796</v>
          </cell>
          <cell r="E20"/>
          <cell r="F20">
            <v>406</v>
          </cell>
          <cell r="G20">
            <v>371</v>
          </cell>
          <cell r="H20">
            <v>388</v>
          </cell>
          <cell r="I20">
            <v>7</v>
          </cell>
          <cell r="J20">
            <v>338</v>
          </cell>
          <cell r="K20">
            <v>334</v>
          </cell>
          <cell r="L20">
            <v>311</v>
          </cell>
          <cell r="M20">
            <v>2155</v>
          </cell>
        </row>
        <row r="21">
          <cell r="A21">
            <v>17</v>
          </cell>
          <cell r="B21" t="str">
            <v>East Baton Rouge Parish</v>
          </cell>
          <cell r="C21">
            <v>86</v>
          </cell>
          <cell r="D21">
            <v>39187</v>
          </cell>
          <cell r="E21"/>
          <cell r="F21">
            <v>2712</v>
          </cell>
          <cell r="G21">
            <v>2563</v>
          </cell>
          <cell r="H21">
            <v>2841</v>
          </cell>
          <cell r="I21">
            <v>303</v>
          </cell>
          <cell r="J21">
            <v>2746</v>
          </cell>
          <cell r="K21">
            <v>2691</v>
          </cell>
          <cell r="L21">
            <v>2512</v>
          </cell>
          <cell r="M21">
            <v>16368</v>
          </cell>
        </row>
        <row r="22">
          <cell r="A22">
            <v>18</v>
          </cell>
          <cell r="B22" t="str">
            <v>East Carroll Parish</v>
          </cell>
          <cell r="C22">
            <v>3</v>
          </cell>
          <cell r="D22">
            <v>893</v>
          </cell>
          <cell r="E22"/>
          <cell r="F22">
            <v>58</v>
          </cell>
          <cell r="G22">
            <v>79</v>
          </cell>
          <cell r="H22">
            <v>76</v>
          </cell>
          <cell r="I22">
            <v>0</v>
          </cell>
          <cell r="J22">
            <v>53</v>
          </cell>
          <cell r="K22">
            <v>74</v>
          </cell>
          <cell r="L22">
            <v>61</v>
          </cell>
          <cell r="M22">
            <v>401</v>
          </cell>
        </row>
        <row r="23">
          <cell r="A23">
            <v>19</v>
          </cell>
          <cell r="B23" t="str">
            <v>East Feliciana Parish</v>
          </cell>
          <cell r="C23">
            <v>7</v>
          </cell>
          <cell r="D23">
            <v>1793</v>
          </cell>
          <cell r="E23"/>
          <cell r="F23">
            <v>147</v>
          </cell>
          <cell r="G23">
            <v>146</v>
          </cell>
          <cell r="H23">
            <v>109</v>
          </cell>
          <cell r="I23">
            <v>31</v>
          </cell>
          <cell r="J23">
            <v>136</v>
          </cell>
          <cell r="K23">
            <v>121</v>
          </cell>
          <cell r="L23">
            <v>124</v>
          </cell>
          <cell r="M23">
            <v>814</v>
          </cell>
        </row>
        <row r="24">
          <cell r="A24">
            <v>20</v>
          </cell>
          <cell r="B24" t="str">
            <v>Evangeline Parish</v>
          </cell>
          <cell r="C24">
            <v>12</v>
          </cell>
          <cell r="D24">
            <v>5572</v>
          </cell>
          <cell r="E24"/>
          <cell r="F24">
            <v>438</v>
          </cell>
          <cell r="G24">
            <v>442</v>
          </cell>
          <cell r="H24">
            <v>380</v>
          </cell>
          <cell r="I24">
            <v>69</v>
          </cell>
          <cell r="J24">
            <v>387</v>
          </cell>
          <cell r="K24">
            <v>308</v>
          </cell>
          <cell r="L24">
            <v>333</v>
          </cell>
          <cell r="M24">
            <v>2357</v>
          </cell>
        </row>
        <row r="25">
          <cell r="A25">
            <v>21</v>
          </cell>
          <cell r="B25" t="str">
            <v>Franklin Parish</v>
          </cell>
          <cell r="C25">
            <v>7</v>
          </cell>
          <cell r="D25">
            <v>2927</v>
          </cell>
          <cell r="E25"/>
          <cell r="F25">
            <v>226</v>
          </cell>
          <cell r="G25">
            <v>229</v>
          </cell>
          <cell r="H25">
            <v>214</v>
          </cell>
          <cell r="I25">
            <v>0</v>
          </cell>
          <cell r="J25">
            <v>175</v>
          </cell>
          <cell r="K25">
            <v>189</v>
          </cell>
          <cell r="L25">
            <v>172</v>
          </cell>
          <cell r="M25">
            <v>1205</v>
          </cell>
        </row>
        <row r="26">
          <cell r="A26">
            <v>22</v>
          </cell>
          <cell r="B26" t="str">
            <v>Grant Parish</v>
          </cell>
          <cell r="C26">
            <v>9</v>
          </cell>
          <cell r="D26">
            <v>2891</v>
          </cell>
          <cell r="E26"/>
          <cell r="F26">
            <v>235</v>
          </cell>
          <cell r="G26">
            <v>226</v>
          </cell>
          <cell r="H26">
            <v>224</v>
          </cell>
          <cell r="I26">
            <v>14</v>
          </cell>
          <cell r="J26">
            <v>224</v>
          </cell>
          <cell r="K26">
            <v>180</v>
          </cell>
          <cell r="L26">
            <v>162</v>
          </cell>
          <cell r="M26">
            <v>1265</v>
          </cell>
        </row>
        <row r="27">
          <cell r="A27">
            <v>23</v>
          </cell>
          <cell r="B27" t="str">
            <v>Iberia Parish</v>
          </cell>
          <cell r="C27">
            <v>26</v>
          </cell>
          <cell r="D27">
            <v>12103</v>
          </cell>
          <cell r="E27"/>
          <cell r="F27">
            <v>924</v>
          </cell>
          <cell r="G27">
            <v>882</v>
          </cell>
          <cell r="H27">
            <v>806</v>
          </cell>
          <cell r="I27">
            <v>153</v>
          </cell>
          <cell r="J27">
            <v>871</v>
          </cell>
          <cell r="K27">
            <v>794</v>
          </cell>
          <cell r="L27">
            <v>747</v>
          </cell>
          <cell r="M27">
            <v>5177</v>
          </cell>
        </row>
        <row r="28">
          <cell r="A28">
            <v>24</v>
          </cell>
          <cell r="B28" t="str">
            <v>Iberville Parish</v>
          </cell>
          <cell r="C28">
            <v>7</v>
          </cell>
          <cell r="D28">
            <v>4315</v>
          </cell>
          <cell r="E28"/>
          <cell r="F28">
            <v>332</v>
          </cell>
          <cell r="G28">
            <v>370</v>
          </cell>
          <cell r="H28">
            <v>281</v>
          </cell>
          <cell r="I28">
            <v>112</v>
          </cell>
          <cell r="J28">
            <v>286</v>
          </cell>
          <cell r="K28">
            <v>265</v>
          </cell>
          <cell r="L28">
            <v>329</v>
          </cell>
          <cell r="M28">
            <v>1975</v>
          </cell>
        </row>
        <row r="29">
          <cell r="A29">
            <v>25</v>
          </cell>
          <cell r="B29" t="str">
            <v>Jackson Parish</v>
          </cell>
          <cell r="C29">
            <v>5</v>
          </cell>
          <cell r="D29">
            <v>2213</v>
          </cell>
          <cell r="E29"/>
          <cell r="F29">
            <v>170</v>
          </cell>
          <cell r="G29">
            <v>174</v>
          </cell>
          <cell r="H29">
            <v>156</v>
          </cell>
          <cell r="I29">
            <v>0</v>
          </cell>
          <cell r="J29">
            <v>174</v>
          </cell>
          <cell r="K29">
            <v>158</v>
          </cell>
          <cell r="L29">
            <v>153</v>
          </cell>
          <cell r="M29">
            <v>985</v>
          </cell>
        </row>
        <row r="30">
          <cell r="A30">
            <v>26</v>
          </cell>
          <cell r="B30" t="str">
            <v>Jefferson Parish</v>
          </cell>
          <cell r="C30">
            <v>85</v>
          </cell>
          <cell r="D30">
            <v>46912</v>
          </cell>
          <cell r="E30"/>
          <cell r="F30">
            <v>3610</v>
          </cell>
          <cell r="G30">
            <v>3351</v>
          </cell>
          <cell r="H30">
            <v>2533</v>
          </cell>
          <cell r="I30">
            <v>1378</v>
          </cell>
          <cell r="J30">
            <v>3178</v>
          </cell>
          <cell r="K30">
            <v>3084</v>
          </cell>
          <cell r="L30">
            <v>2488</v>
          </cell>
          <cell r="M30">
            <v>19622</v>
          </cell>
        </row>
        <row r="31">
          <cell r="A31">
            <v>27</v>
          </cell>
          <cell r="B31" t="str">
            <v>Jefferson Davis Parish</v>
          </cell>
          <cell r="C31">
            <v>14</v>
          </cell>
          <cell r="D31">
            <v>5505</v>
          </cell>
          <cell r="E31"/>
          <cell r="F31">
            <v>397</v>
          </cell>
          <cell r="G31">
            <v>407</v>
          </cell>
          <cell r="H31">
            <v>428</v>
          </cell>
          <cell r="I31">
            <v>0</v>
          </cell>
          <cell r="J31">
            <v>449</v>
          </cell>
          <cell r="K31">
            <v>377</v>
          </cell>
          <cell r="L31">
            <v>415</v>
          </cell>
          <cell r="M31">
            <v>2473</v>
          </cell>
        </row>
        <row r="32">
          <cell r="A32">
            <v>28</v>
          </cell>
          <cell r="B32" t="str">
            <v>Lafayette Parish</v>
          </cell>
          <cell r="C32">
            <v>44</v>
          </cell>
          <cell r="D32">
            <v>30348</v>
          </cell>
          <cell r="E32"/>
          <cell r="F32">
            <v>2273</v>
          </cell>
          <cell r="G32">
            <v>2235</v>
          </cell>
          <cell r="H32">
            <v>2248</v>
          </cell>
          <cell r="I32">
            <v>499</v>
          </cell>
          <cell r="J32">
            <v>2335</v>
          </cell>
          <cell r="K32">
            <v>2160</v>
          </cell>
          <cell r="L32">
            <v>1847</v>
          </cell>
          <cell r="M32">
            <v>13597</v>
          </cell>
        </row>
        <row r="33">
          <cell r="A33">
            <v>29</v>
          </cell>
          <cell r="B33" t="str">
            <v>Lafourche Parish</v>
          </cell>
          <cell r="C33">
            <v>31</v>
          </cell>
          <cell r="D33">
            <v>13809</v>
          </cell>
          <cell r="E33"/>
          <cell r="F33">
            <v>1055</v>
          </cell>
          <cell r="G33">
            <v>1028</v>
          </cell>
          <cell r="H33">
            <v>1067</v>
          </cell>
          <cell r="I33">
            <v>101</v>
          </cell>
          <cell r="J33">
            <v>1015</v>
          </cell>
          <cell r="K33">
            <v>913</v>
          </cell>
          <cell r="L33">
            <v>807</v>
          </cell>
          <cell r="M33">
            <v>5986</v>
          </cell>
        </row>
        <row r="34">
          <cell r="A34">
            <v>30</v>
          </cell>
          <cell r="B34" t="str">
            <v>LaSalle Parish</v>
          </cell>
          <cell r="C34">
            <v>9</v>
          </cell>
          <cell r="D34">
            <v>2468</v>
          </cell>
          <cell r="E34"/>
          <cell r="F34">
            <v>201</v>
          </cell>
          <cell r="G34">
            <v>183</v>
          </cell>
          <cell r="H34">
            <v>195</v>
          </cell>
          <cell r="I34">
            <v>0</v>
          </cell>
          <cell r="J34">
            <v>190</v>
          </cell>
          <cell r="K34">
            <v>179</v>
          </cell>
          <cell r="L34">
            <v>170</v>
          </cell>
          <cell r="M34">
            <v>1118</v>
          </cell>
        </row>
        <row r="35">
          <cell r="A35">
            <v>31</v>
          </cell>
          <cell r="B35" t="str">
            <v>Lincoln Parish</v>
          </cell>
          <cell r="C35">
            <v>15</v>
          </cell>
          <cell r="D35">
            <v>5821</v>
          </cell>
          <cell r="E35"/>
          <cell r="F35">
            <v>465</v>
          </cell>
          <cell r="G35">
            <v>459</v>
          </cell>
          <cell r="H35">
            <v>344</v>
          </cell>
          <cell r="I35">
            <v>97</v>
          </cell>
          <cell r="J35">
            <v>423</v>
          </cell>
          <cell r="K35">
            <v>409</v>
          </cell>
          <cell r="L35">
            <v>391</v>
          </cell>
          <cell r="M35">
            <v>2588</v>
          </cell>
        </row>
        <row r="36">
          <cell r="A36">
            <v>32</v>
          </cell>
          <cell r="B36" t="str">
            <v>Livingston Parish</v>
          </cell>
          <cell r="C36">
            <v>44</v>
          </cell>
          <cell r="D36">
            <v>25149</v>
          </cell>
          <cell r="E36"/>
          <cell r="F36">
            <v>2016</v>
          </cell>
          <cell r="G36">
            <v>2006</v>
          </cell>
          <cell r="H36">
            <v>1834</v>
          </cell>
          <cell r="I36">
            <v>150</v>
          </cell>
          <cell r="J36">
            <v>1770</v>
          </cell>
          <cell r="K36">
            <v>1576</v>
          </cell>
          <cell r="L36">
            <v>1545</v>
          </cell>
          <cell r="M36">
            <v>10897</v>
          </cell>
        </row>
        <row r="37">
          <cell r="A37">
            <v>33</v>
          </cell>
          <cell r="B37" t="str">
            <v>Madison Parish</v>
          </cell>
          <cell r="C37">
            <v>6</v>
          </cell>
          <cell r="D37">
            <v>1165</v>
          </cell>
          <cell r="E37"/>
          <cell r="F37">
            <v>89</v>
          </cell>
          <cell r="G37">
            <v>101</v>
          </cell>
          <cell r="H37">
            <v>136</v>
          </cell>
          <cell r="I37">
            <v>0</v>
          </cell>
          <cell r="J37">
            <v>84</v>
          </cell>
          <cell r="K37">
            <v>88</v>
          </cell>
          <cell r="L37">
            <v>89</v>
          </cell>
          <cell r="M37">
            <v>587</v>
          </cell>
        </row>
        <row r="38">
          <cell r="A38">
            <v>34</v>
          </cell>
          <cell r="B38" t="str">
            <v>Morehouse Parish</v>
          </cell>
          <cell r="C38">
            <v>6</v>
          </cell>
          <cell r="D38">
            <v>3631</v>
          </cell>
          <cell r="E38"/>
          <cell r="F38">
            <v>279</v>
          </cell>
          <cell r="G38">
            <v>287</v>
          </cell>
          <cell r="H38">
            <v>285</v>
          </cell>
          <cell r="I38">
            <v>18</v>
          </cell>
          <cell r="J38">
            <v>260</v>
          </cell>
          <cell r="K38">
            <v>268</v>
          </cell>
          <cell r="L38">
            <v>215</v>
          </cell>
          <cell r="M38">
            <v>1612</v>
          </cell>
        </row>
        <row r="39">
          <cell r="A39">
            <v>35</v>
          </cell>
          <cell r="B39" t="str">
            <v>Natchitoches Parish</v>
          </cell>
          <cell r="C39">
            <v>15</v>
          </cell>
          <cell r="D39">
            <v>5763</v>
          </cell>
          <cell r="E39"/>
          <cell r="F39">
            <v>482</v>
          </cell>
          <cell r="G39">
            <v>487</v>
          </cell>
          <cell r="H39">
            <v>504</v>
          </cell>
          <cell r="I39">
            <v>2</v>
          </cell>
          <cell r="J39">
            <v>421</v>
          </cell>
          <cell r="K39">
            <v>405</v>
          </cell>
          <cell r="L39">
            <v>373</v>
          </cell>
          <cell r="M39">
            <v>2674</v>
          </cell>
        </row>
        <row r="40">
          <cell r="A40">
            <v>37</v>
          </cell>
          <cell r="B40" t="str">
            <v>Ouachita Parish</v>
          </cell>
          <cell r="C40">
            <v>37</v>
          </cell>
          <cell r="D40">
            <v>18660</v>
          </cell>
          <cell r="E40"/>
          <cell r="F40">
            <v>1462</v>
          </cell>
          <cell r="G40">
            <v>1467</v>
          </cell>
          <cell r="H40">
            <v>1289</v>
          </cell>
          <cell r="I40">
            <v>171</v>
          </cell>
          <cell r="J40">
            <v>1324</v>
          </cell>
          <cell r="K40">
            <v>1283</v>
          </cell>
          <cell r="L40">
            <v>1330</v>
          </cell>
          <cell r="M40">
            <v>8326</v>
          </cell>
        </row>
        <row r="41">
          <cell r="A41">
            <v>38</v>
          </cell>
          <cell r="B41" t="str">
            <v>Plaquemines Parish</v>
          </cell>
          <cell r="C41">
            <v>8</v>
          </cell>
          <cell r="D41">
            <v>3832</v>
          </cell>
          <cell r="E41"/>
          <cell r="F41">
            <v>308</v>
          </cell>
          <cell r="G41">
            <v>286</v>
          </cell>
          <cell r="H41">
            <v>338</v>
          </cell>
          <cell r="I41">
            <v>19</v>
          </cell>
          <cell r="J41">
            <v>341</v>
          </cell>
          <cell r="K41">
            <v>280</v>
          </cell>
          <cell r="L41">
            <v>296</v>
          </cell>
          <cell r="M41">
            <v>1868</v>
          </cell>
        </row>
        <row r="42">
          <cell r="A42">
            <v>39</v>
          </cell>
          <cell r="B42" t="str">
            <v>Pointe Coupee Parish</v>
          </cell>
          <cell r="C42">
            <v>6</v>
          </cell>
          <cell r="D42">
            <v>2580</v>
          </cell>
          <cell r="E42"/>
          <cell r="F42">
            <v>200</v>
          </cell>
          <cell r="G42">
            <v>191</v>
          </cell>
          <cell r="H42">
            <v>194</v>
          </cell>
          <cell r="I42">
            <v>12</v>
          </cell>
          <cell r="J42">
            <v>175</v>
          </cell>
          <cell r="K42">
            <v>176</v>
          </cell>
          <cell r="L42">
            <v>131</v>
          </cell>
          <cell r="M42">
            <v>1079</v>
          </cell>
        </row>
        <row r="43">
          <cell r="A43">
            <v>40</v>
          </cell>
          <cell r="B43" t="str">
            <v>Rapides Parish</v>
          </cell>
          <cell r="C43">
            <v>47</v>
          </cell>
          <cell r="D43">
            <v>21913</v>
          </cell>
          <cell r="E43"/>
          <cell r="F43">
            <v>1687</v>
          </cell>
          <cell r="G43">
            <v>1644</v>
          </cell>
          <cell r="H43">
            <v>1446</v>
          </cell>
          <cell r="I43">
            <v>561</v>
          </cell>
          <cell r="J43">
            <v>1697</v>
          </cell>
          <cell r="K43">
            <v>1461</v>
          </cell>
          <cell r="L43">
            <v>1473</v>
          </cell>
          <cell r="M43">
            <v>9969</v>
          </cell>
        </row>
        <row r="44">
          <cell r="A44">
            <v>41</v>
          </cell>
          <cell r="B44" t="str">
            <v>Red River Parish</v>
          </cell>
          <cell r="C44">
            <v>4</v>
          </cell>
          <cell r="D44">
            <v>1374</v>
          </cell>
          <cell r="E44"/>
          <cell r="F44">
            <v>98</v>
          </cell>
          <cell r="G44">
            <v>107</v>
          </cell>
          <cell r="H44">
            <v>139</v>
          </cell>
          <cell r="I44">
            <v>0</v>
          </cell>
          <cell r="J44">
            <v>105</v>
          </cell>
          <cell r="K44">
            <v>82</v>
          </cell>
          <cell r="L44">
            <v>107</v>
          </cell>
          <cell r="M44">
            <v>638</v>
          </cell>
        </row>
        <row r="45">
          <cell r="A45">
            <v>42</v>
          </cell>
          <cell r="B45" t="str">
            <v>Richland Parish</v>
          </cell>
          <cell r="C45">
            <v>12</v>
          </cell>
          <cell r="D45">
            <v>2714</v>
          </cell>
          <cell r="E45"/>
          <cell r="F45">
            <v>188</v>
          </cell>
          <cell r="G45">
            <v>221</v>
          </cell>
          <cell r="H45">
            <v>180</v>
          </cell>
          <cell r="I45">
            <v>22</v>
          </cell>
          <cell r="J45">
            <v>187</v>
          </cell>
          <cell r="K45">
            <v>189</v>
          </cell>
          <cell r="L45">
            <v>214</v>
          </cell>
          <cell r="M45">
            <v>1201</v>
          </cell>
        </row>
        <row r="46">
          <cell r="A46">
            <v>43</v>
          </cell>
          <cell r="B46" t="str">
            <v>Sabine Parish</v>
          </cell>
          <cell r="C46">
            <v>10</v>
          </cell>
          <cell r="D46">
            <v>4048</v>
          </cell>
          <cell r="E46"/>
          <cell r="F46">
            <v>330</v>
          </cell>
          <cell r="G46">
            <v>325</v>
          </cell>
          <cell r="H46">
            <v>352</v>
          </cell>
          <cell r="I46">
            <v>6</v>
          </cell>
          <cell r="J46">
            <v>291</v>
          </cell>
          <cell r="K46">
            <v>261</v>
          </cell>
          <cell r="L46">
            <v>264</v>
          </cell>
          <cell r="M46">
            <v>1829</v>
          </cell>
        </row>
        <row r="47">
          <cell r="A47">
            <v>44</v>
          </cell>
          <cell r="B47" t="str">
            <v>St. Bernard Parish</v>
          </cell>
          <cell r="C47">
            <v>13</v>
          </cell>
          <cell r="D47">
            <v>7359</v>
          </cell>
          <cell r="E47"/>
          <cell r="F47">
            <v>586</v>
          </cell>
          <cell r="G47">
            <v>524</v>
          </cell>
          <cell r="H47">
            <v>551</v>
          </cell>
          <cell r="I47">
            <v>54</v>
          </cell>
          <cell r="J47">
            <v>521</v>
          </cell>
          <cell r="K47">
            <v>505</v>
          </cell>
          <cell r="L47">
            <v>356</v>
          </cell>
          <cell r="M47">
            <v>3097</v>
          </cell>
        </row>
        <row r="48">
          <cell r="A48">
            <v>45</v>
          </cell>
          <cell r="B48" t="str">
            <v>St. Charles Parish</v>
          </cell>
          <cell r="C48">
            <v>17</v>
          </cell>
          <cell r="D48">
            <v>9314</v>
          </cell>
          <cell r="E48"/>
          <cell r="F48">
            <v>712</v>
          </cell>
          <cell r="G48">
            <v>693</v>
          </cell>
          <cell r="H48">
            <v>763</v>
          </cell>
          <cell r="I48">
            <v>47</v>
          </cell>
          <cell r="J48">
            <v>649</v>
          </cell>
          <cell r="K48">
            <v>617</v>
          </cell>
          <cell r="L48">
            <v>694</v>
          </cell>
          <cell r="M48">
            <v>4175</v>
          </cell>
        </row>
        <row r="49">
          <cell r="A49">
            <v>46</v>
          </cell>
          <cell r="B49" t="str">
            <v>St. Helena Parish</v>
          </cell>
          <cell r="C49">
            <v>4</v>
          </cell>
          <cell r="D49">
            <v>1157</v>
          </cell>
          <cell r="E49"/>
          <cell r="F49">
            <v>99</v>
          </cell>
          <cell r="G49">
            <v>81</v>
          </cell>
          <cell r="H49">
            <v>107</v>
          </cell>
          <cell r="I49">
            <v>0</v>
          </cell>
          <cell r="J49">
            <v>83</v>
          </cell>
          <cell r="K49">
            <v>72</v>
          </cell>
          <cell r="L49">
            <v>66</v>
          </cell>
          <cell r="M49">
            <v>508</v>
          </cell>
        </row>
        <row r="50">
          <cell r="A50">
            <v>47</v>
          </cell>
          <cell r="B50" t="str">
            <v>St. James Parish</v>
          </cell>
          <cell r="C50">
            <v>7</v>
          </cell>
          <cell r="D50">
            <v>3491</v>
          </cell>
          <cell r="E50"/>
          <cell r="F50">
            <v>293</v>
          </cell>
          <cell r="G50">
            <v>279</v>
          </cell>
          <cell r="H50">
            <v>228</v>
          </cell>
          <cell r="I50">
            <v>36</v>
          </cell>
          <cell r="J50">
            <v>259</v>
          </cell>
          <cell r="K50">
            <v>272</v>
          </cell>
          <cell r="L50">
            <v>243</v>
          </cell>
          <cell r="M50">
            <v>1610</v>
          </cell>
        </row>
        <row r="51">
          <cell r="A51">
            <v>48</v>
          </cell>
          <cell r="B51" t="str">
            <v>St. John the Baptist Parish</v>
          </cell>
          <cell r="C51">
            <v>11</v>
          </cell>
          <cell r="D51">
            <v>5749</v>
          </cell>
          <cell r="E51"/>
          <cell r="F51">
            <v>441</v>
          </cell>
          <cell r="G51">
            <v>487</v>
          </cell>
          <cell r="H51">
            <v>468</v>
          </cell>
          <cell r="I51">
            <v>11</v>
          </cell>
          <cell r="J51">
            <v>373</v>
          </cell>
          <cell r="K51">
            <v>400</v>
          </cell>
          <cell r="L51">
            <v>315</v>
          </cell>
          <cell r="M51">
            <v>2495</v>
          </cell>
        </row>
        <row r="52">
          <cell r="A52">
            <v>49</v>
          </cell>
          <cell r="B52" t="str">
            <v>St. Landry Parish</v>
          </cell>
          <cell r="C52">
            <v>34</v>
          </cell>
          <cell r="D52">
            <v>12852</v>
          </cell>
          <cell r="E52"/>
          <cell r="F52">
            <v>938</v>
          </cell>
          <cell r="G52">
            <v>881</v>
          </cell>
          <cell r="H52">
            <v>934</v>
          </cell>
          <cell r="I52">
            <v>280</v>
          </cell>
          <cell r="J52">
            <v>858</v>
          </cell>
          <cell r="K52">
            <v>767</v>
          </cell>
          <cell r="L52">
            <v>762</v>
          </cell>
          <cell r="M52">
            <v>5420</v>
          </cell>
        </row>
        <row r="53">
          <cell r="A53">
            <v>50</v>
          </cell>
          <cell r="B53" t="str">
            <v>St. Martin Parish</v>
          </cell>
          <cell r="C53">
            <v>17</v>
          </cell>
          <cell r="D53">
            <v>7387</v>
          </cell>
          <cell r="E53"/>
          <cell r="F53">
            <v>580</v>
          </cell>
          <cell r="G53">
            <v>561</v>
          </cell>
          <cell r="H53">
            <v>548</v>
          </cell>
          <cell r="I53">
            <v>25</v>
          </cell>
          <cell r="J53">
            <v>510</v>
          </cell>
          <cell r="K53">
            <v>544</v>
          </cell>
          <cell r="L53">
            <v>464</v>
          </cell>
          <cell r="M53">
            <v>3232</v>
          </cell>
        </row>
        <row r="54">
          <cell r="A54">
            <v>51</v>
          </cell>
          <cell r="B54" t="str">
            <v>St. Mary Parish</v>
          </cell>
          <cell r="C54">
            <v>22</v>
          </cell>
          <cell r="D54">
            <v>8235</v>
          </cell>
          <cell r="E54"/>
          <cell r="F54">
            <v>621</v>
          </cell>
          <cell r="G54">
            <v>617</v>
          </cell>
          <cell r="H54">
            <v>550</v>
          </cell>
          <cell r="I54">
            <v>148</v>
          </cell>
          <cell r="J54">
            <v>619</v>
          </cell>
          <cell r="K54">
            <v>624</v>
          </cell>
          <cell r="L54">
            <v>602</v>
          </cell>
          <cell r="M54">
            <v>3781</v>
          </cell>
        </row>
        <row r="55">
          <cell r="A55">
            <v>52</v>
          </cell>
          <cell r="B55" t="str">
            <v>St. Tammany Parish</v>
          </cell>
          <cell r="C55">
            <v>56</v>
          </cell>
          <cell r="D55">
            <v>37348</v>
          </cell>
          <cell r="E55"/>
          <cell r="F55">
            <v>3026</v>
          </cell>
          <cell r="G55">
            <v>2831</v>
          </cell>
          <cell r="H55">
            <v>2911</v>
          </cell>
          <cell r="I55">
            <v>58</v>
          </cell>
          <cell r="J55">
            <v>2854</v>
          </cell>
          <cell r="K55">
            <v>2593</v>
          </cell>
          <cell r="L55">
            <v>2478</v>
          </cell>
          <cell r="M55">
            <v>16751</v>
          </cell>
        </row>
        <row r="56">
          <cell r="A56">
            <v>53</v>
          </cell>
          <cell r="B56" t="str">
            <v>Tangipahoa Parish</v>
          </cell>
          <cell r="C56">
            <v>35</v>
          </cell>
          <cell r="D56">
            <v>18959</v>
          </cell>
          <cell r="E56"/>
          <cell r="F56">
            <v>1536</v>
          </cell>
          <cell r="G56">
            <v>1467</v>
          </cell>
          <cell r="H56">
            <v>1811</v>
          </cell>
          <cell r="I56">
            <v>31</v>
          </cell>
          <cell r="J56">
            <v>1353</v>
          </cell>
          <cell r="K56">
            <v>1353</v>
          </cell>
          <cell r="L56">
            <v>1215</v>
          </cell>
          <cell r="M56">
            <v>8766</v>
          </cell>
        </row>
        <row r="57">
          <cell r="A57">
            <v>54</v>
          </cell>
          <cell r="B57" t="str">
            <v>Tensas Parish</v>
          </cell>
          <cell r="C57">
            <v>2</v>
          </cell>
          <cell r="D57">
            <v>434</v>
          </cell>
          <cell r="E57"/>
          <cell r="F57">
            <v>17</v>
          </cell>
          <cell r="G57">
            <v>31</v>
          </cell>
          <cell r="H57">
            <v>46</v>
          </cell>
          <cell r="I57">
            <v>0</v>
          </cell>
          <cell r="J57">
            <v>34</v>
          </cell>
          <cell r="K57">
            <v>44</v>
          </cell>
          <cell r="L57">
            <v>40</v>
          </cell>
          <cell r="M57">
            <v>212</v>
          </cell>
        </row>
        <row r="58">
          <cell r="A58">
            <v>55</v>
          </cell>
          <cell r="B58" t="str">
            <v>Terrebonne Parish</v>
          </cell>
          <cell r="C58">
            <v>33</v>
          </cell>
          <cell r="D58">
            <v>16556</v>
          </cell>
          <cell r="E58"/>
          <cell r="F58">
            <v>1272</v>
          </cell>
          <cell r="G58">
            <v>1247</v>
          </cell>
          <cell r="H58">
            <v>1075</v>
          </cell>
          <cell r="I58">
            <v>197</v>
          </cell>
          <cell r="J58">
            <v>1185</v>
          </cell>
          <cell r="K58">
            <v>1128</v>
          </cell>
          <cell r="L58">
            <v>1061</v>
          </cell>
          <cell r="M58">
            <v>7165</v>
          </cell>
        </row>
        <row r="59">
          <cell r="A59">
            <v>56</v>
          </cell>
          <cell r="B59" t="str">
            <v>Union Parish</v>
          </cell>
          <cell r="C59">
            <v>4</v>
          </cell>
          <cell r="D59">
            <v>1909</v>
          </cell>
          <cell r="E59"/>
          <cell r="F59">
            <v>144</v>
          </cell>
          <cell r="G59">
            <v>163</v>
          </cell>
          <cell r="H59">
            <v>98</v>
          </cell>
          <cell r="I59">
            <v>43</v>
          </cell>
          <cell r="J59">
            <v>154</v>
          </cell>
          <cell r="K59">
            <v>166</v>
          </cell>
          <cell r="L59">
            <v>129</v>
          </cell>
          <cell r="M59">
            <v>897</v>
          </cell>
        </row>
        <row r="60">
          <cell r="A60">
            <v>57</v>
          </cell>
          <cell r="B60" t="str">
            <v>Vermilion Parish</v>
          </cell>
          <cell r="C60">
            <v>21</v>
          </cell>
          <cell r="D60">
            <v>9186</v>
          </cell>
          <cell r="E60"/>
          <cell r="F60">
            <v>707</v>
          </cell>
          <cell r="G60">
            <v>720</v>
          </cell>
          <cell r="H60">
            <v>666</v>
          </cell>
          <cell r="I60">
            <v>39</v>
          </cell>
          <cell r="J60">
            <v>610</v>
          </cell>
          <cell r="K60">
            <v>602</v>
          </cell>
          <cell r="L60">
            <v>558</v>
          </cell>
          <cell r="M60">
            <v>3902</v>
          </cell>
        </row>
        <row r="61">
          <cell r="A61">
            <v>58</v>
          </cell>
          <cell r="B61" t="str">
            <v>Vernon Parish</v>
          </cell>
          <cell r="C61">
            <v>19</v>
          </cell>
          <cell r="D61">
            <v>8029</v>
          </cell>
          <cell r="E61"/>
          <cell r="F61">
            <v>595</v>
          </cell>
          <cell r="G61">
            <v>571</v>
          </cell>
          <cell r="H61">
            <v>526</v>
          </cell>
          <cell r="I61">
            <v>6</v>
          </cell>
          <cell r="J61">
            <v>515</v>
          </cell>
          <cell r="K61">
            <v>478</v>
          </cell>
          <cell r="L61">
            <v>517</v>
          </cell>
          <cell r="M61">
            <v>3208</v>
          </cell>
        </row>
        <row r="62">
          <cell r="A62">
            <v>59</v>
          </cell>
          <cell r="B62" t="str">
            <v>Washington Parish</v>
          </cell>
          <cell r="C62">
            <v>11</v>
          </cell>
          <cell r="D62">
            <v>4993</v>
          </cell>
          <cell r="E62"/>
          <cell r="F62">
            <v>388</v>
          </cell>
          <cell r="G62">
            <v>419</v>
          </cell>
          <cell r="H62">
            <v>302</v>
          </cell>
          <cell r="I62">
            <v>115</v>
          </cell>
          <cell r="J62">
            <v>439</v>
          </cell>
          <cell r="K62">
            <v>367</v>
          </cell>
          <cell r="L62">
            <v>354</v>
          </cell>
          <cell r="M62">
            <v>2384</v>
          </cell>
        </row>
        <row r="63">
          <cell r="A63">
            <v>60</v>
          </cell>
          <cell r="B63" t="str">
            <v>Webster Parish</v>
          </cell>
          <cell r="C63">
            <v>14</v>
          </cell>
          <cell r="D63">
            <v>5927</v>
          </cell>
          <cell r="E63"/>
          <cell r="F63">
            <v>444</v>
          </cell>
          <cell r="G63">
            <v>433</v>
          </cell>
          <cell r="H63">
            <v>462</v>
          </cell>
          <cell r="I63">
            <v>16</v>
          </cell>
          <cell r="J63">
            <v>435</v>
          </cell>
          <cell r="K63">
            <v>441</v>
          </cell>
          <cell r="L63">
            <v>406</v>
          </cell>
          <cell r="M63">
            <v>2637</v>
          </cell>
        </row>
        <row r="64">
          <cell r="A64">
            <v>61</v>
          </cell>
          <cell r="B64" t="str">
            <v>West Baton Rouge Parish</v>
          </cell>
          <cell r="C64">
            <v>10</v>
          </cell>
          <cell r="D64">
            <v>3528</v>
          </cell>
          <cell r="E64"/>
          <cell r="F64">
            <v>265</v>
          </cell>
          <cell r="G64">
            <v>277</v>
          </cell>
          <cell r="H64">
            <v>271</v>
          </cell>
          <cell r="I64">
            <v>19</v>
          </cell>
          <cell r="J64">
            <v>247</v>
          </cell>
          <cell r="K64">
            <v>211</v>
          </cell>
          <cell r="L64">
            <v>229</v>
          </cell>
          <cell r="M64">
            <v>1519</v>
          </cell>
        </row>
        <row r="65">
          <cell r="A65">
            <v>62</v>
          </cell>
          <cell r="B65" t="str">
            <v>West Carroll Parish</v>
          </cell>
          <cell r="C65">
            <v>5</v>
          </cell>
          <cell r="D65">
            <v>1959</v>
          </cell>
          <cell r="E65"/>
          <cell r="F65">
            <v>175</v>
          </cell>
          <cell r="G65">
            <v>154</v>
          </cell>
          <cell r="H65">
            <v>146</v>
          </cell>
          <cell r="I65">
            <v>0</v>
          </cell>
          <cell r="J65">
            <v>149</v>
          </cell>
          <cell r="K65">
            <v>132</v>
          </cell>
          <cell r="L65">
            <v>124</v>
          </cell>
          <cell r="M65">
            <v>880</v>
          </cell>
        </row>
        <row r="66">
          <cell r="A66">
            <v>63</v>
          </cell>
          <cell r="B66" t="str">
            <v>West Feliciana Parish</v>
          </cell>
          <cell r="C66">
            <v>5</v>
          </cell>
          <cell r="D66">
            <v>2103</v>
          </cell>
          <cell r="E66"/>
          <cell r="F66">
            <v>161</v>
          </cell>
          <cell r="G66">
            <v>181</v>
          </cell>
          <cell r="H66">
            <v>149</v>
          </cell>
          <cell r="I66">
            <v>11</v>
          </cell>
          <cell r="J66">
            <v>155</v>
          </cell>
          <cell r="K66">
            <v>138</v>
          </cell>
          <cell r="L66">
            <v>154</v>
          </cell>
          <cell r="M66">
            <v>949</v>
          </cell>
        </row>
        <row r="67">
          <cell r="A67">
            <v>64</v>
          </cell>
          <cell r="B67" t="str">
            <v>Winn Parish</v>
          </cell>
          <cell r="C67">
            <v>6</v>
          </cell>
          <cell r="D67">
            <v>2089</v>
          </cell>
          <cell r="E67"/>
          <cell r="F67">
            <v>154</v>
          </cell>
          <cell r="G67">
            <v>193</v>
          </cell>
          <cell r="H67">
            <v>133</v>
          </cell>
          <cell r="I67">
            <v>27</v>
          </cell>
          <cell r="J67">
            <v>169</v>
          </cell>
          <cell r="K67">
            <v>146</v>
          </cell>
          <cell r="L67">
            <v>142</v>
          </cell>
          <cell r="M67">
            <v>964</v>
          </cell>
        </row>
        <row r="68">
          <cell r="A68">
            <v>65</v>
          </cell>
          <cell r="B68" t="str">
            <v>City of Monroe School District</v>
          </cell>
          <cell r="C68">
            <v>20</v>
          </cell>
          <cell r="D68">
            <v>7813</v>
          </cell>
          <cell r="E68"/>
          <cell r="F68">
            <v>559</v>
          </cell>
          <cell r="G68">
            <v>554</v>
          </cell>
          <cell r="H68">
            <v>562</v>
          </cell>
          <cell r="I68">
            <v>17</v>
          </cell>
          <cell r="J68">
            <v>543</v>
          </cell>
          <cell r="K68">
            <v>498</v>
          </cell>
          <cell r="L68">
            <v>477</v>
          </cell>
          <cell r="M68">
            <v>3210</v>
          </cell>
        </row>
        <row r="69">
          <cell r="A69">
            <v>66</v>
          </cell>
          <cell r="B69" t="str">
            <v>City of Bogalusa School District</v>
          </cell>
          <cell r="C69">
            <v>4</v>
          </cell>
          <cell r="D69">
            <v>1877</v>
          </cell>
          <cell r="E69"/>
          <cell r="F69">
            <v>156</v>
          </cell>
          <cell r="G69">
            <v>135</v>
          </cell>
          <cell r="H69">
            <v>85</v>
          </cell>
          <cell r="I69">
            <v>32</v>
          </cell>
          <cell r="J69">
            <v>122</v>
          </cell>
          <cell r="K69">
            <v>100</v>
          </cell>
          <cell r="L69">
            <v>100</v>
          </cell>
          <cell r="M69">
            <v>730</v>
          </cell>
        </row>
        <row r="70">
          <cell r="A70">
            <v>67</v>
          </cell>
          <cell r="B70" t="str">
            <v>Zachary Community School District</v>
          </cell>
          <cell r="C70">
            <v>8</v>
          </cell>
          <cell r="D70">
            <v>5350</v>
          </cell>
          <cell r="E70"/>
          <cell r="F70">
            <v>422</v>
          </cell>
          <cell r="G70">
            <v>418</v>
          </cell>
          <cell r="H70">
            <v>373</v>
          </cell>
          <cell r="I70">
            <v>26</v>
          </cell>
          <cell r="J70">
            <v>409</v>
          </cell>
          <cell r="K70">
            <v>381</v>
          </cell>
          <cell r="L70">
            <v>361</v>
          </cell>
          <cell r="M70">
            <v>2390</v>
          </cell>
        </row>
        <row r="71">
          <cell r="A71">
            <v>68</v>
          </cell>
          <cell r="B71" t="str">
            <v>City of Baker School District</v>
          </cell>
          <cell r="C71">
            <v>5</v>
          </cell>
          <cell r="D71">
            <v>1263</v>
          </cell>
          <cell r="E71"/>
          <cell r="F71">
            <v>100</v>
          </cell>
          <cell r="G71">
            <v>117</v>
          </cell>
          <cell r="H71">
            <v>103</v>
          </cell>
          <cell r="I71">
            <v>32</v>
          </cell>
          <cell r="J71">
            <v>140</v>
          </cell>
          <cell r="K71">
            <v>108</v>
          </cell>
          <cell r="L71">
            <v>116</v>
          </cell>
          <cell r="M71">
            <v>716</v>
          </cell>
        </row>
        <row r="72">
          <cell r="A72">
            <v>69</v>
          </cell>
          <cell r="B72" t="str">
            <v>Central Community School District</v>
          </cell>
          <cell r="C72">
            <v>6</v>
          </cell>
          <cell r="D72">
            <v>4652</v>
          </cell>
          <cell r="E72"/>
          <cell r="F72">
            <v>368</v>
          </cell>
          <cell r="G72">
            <v>359</v>
          </cell>
          <cell r="H72">
            <v>324</v>
          </cell>
          <cell r="I72">
            <v>37</v>
          </cell>
          <cell r="J72">
            <v>383</v>
          </cell>
          <cell r="K72">
            <v>314</v>
          </cell>
          <cell r="L72">
            <v>315</v>
          </cell>
          <cell r="M72">
            <v>2100</v>
          </cell>
        </row>
        <row r="73">
          <cell r="A73">
            <v>302006</v>
          </cell>
          <cell r="B73" t="str">
            <v>Louisiana School for Math Science &amp; the Arts</v>
          </cell>
          <cell r="C73">
            <v>1</v>
          </cell>
          <cell r="D73">
            <v>345</v>
          </cell>
          <cell r="E73"/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108</v>
          </cell>
          <cell r="K73">
            <v>124</v>
          </cell>
          <cell r="L73">
            <v>113</v>
          </cell>
          <cell r="M73">
            <v>345</v>
          </cell>
        </row>
        <row r="74">
          <cell r="A74">
            <v>318001</v>
          </cell>
          <cell r="B74" t="str">
            <v>LSU Laboratory School</v>
          </cell>
          <cell r="C74">
            <v>1</v>
          </cell>
          <cell r="D74">
            <v>1427</v>
          </cell>
          <cell r="E74"/>
          <cell r="F74">
            <v>120</v>
          </cell>
          <cell r="G74">
            <v>116</v>
          </cell>
          <cell r="H74">
            <v>115</v>
          </cell>
          <cell r="I74">
            <v>0</v>
          </cell>
          <cell r="J74">
            <v>115</v>
          </cell>
          <cell r="K74">
            <v>113</v>
          </cell>
          <cell r="L74">
            <v>117</v>
          </cell>
          <cell r="M74">
            <v>696</v>
          </cell>
        </row>
        <row r="75">
          <cell r="A75">
            <v>319001</v>
          </cell>
          <cell r="B75" t="str">
            <v>Southern University Lab School</v>
          </cell>
          <cell r="C75">
            <v>2</v>
          </cell>
          <cell r="D75">
            <v>557</v>
          </cell>
          <cell r="E75"/>
          <cell r="F75">
            <v>46</v>
          </cell>
          <cell r="G75">
            <v>44</v>
          </cell>
          <cell r="H75">
            <v>67</v>
          </cell>
          <cell r="I75">
            <v>0</v>
          </cell>
          <cell r="J75">
            <v>53</v>
          </cell>
          <cell r="K75">
            <v>65</v>
          </cell>
          <cell r="L75">
            <v>79</v>
          </cell>
          <cell r="M75">
            <v>354</v>
          </cell>
        </row>
        <row r="76">
          <cell r="A76">
            <v>334001</v>
          </cell>
          <cell r="B76" t="str">
            <v>New Orleans Center for Creative Arts</v>
          </cell>
          <cell r="C76">
            <v>1</v>
          </cell>
          <cell r="D76">
            <v>236</v>
          </cell>
          <cell r="E76"/>
          <cell r="F76">
            <v>0</v>
          </cell>
          <cell r="G76">
            <v>0</v>
          </cell>
          <cell r="H76">
            <v>65</v>
          </cell>
          <cell r="I76">
            <v>0</v>
          </cell>
          <cell r="J76">
            <v>54</v>
          </cell>
          <cell r="K76">
            <v>57</v>
          </cell>
          <cell r="L76">
            <v>60</v>
          </cell>
          <cell r="M76">
            <v>236</v>
          </cell>
        </row>
        <row r="77">
          <cell r="A77" t="str">
            <v>3C1001</v>
          </cell>
          <cell r="B77" t="str">
            <v>Thrive Academy</v>
          </cell>
          <cell r="C77">
            <v>1</v>
          </cell>
          <cell r="D77">
            <v>175</v>
          </cell>
          <cell r="E77"/>
          <cell r="F77">
            <v>29</v>
          </cell>
          <cell r="G77">
            <v>26</v>
          </cell>
          <cell r="H77">
            <v>31</v>
          </cell>
          <cell r="I77">
            <v>0</v>
          </cell>
          <cell r="J77">
            <v>27</v>
          </cell>
          <cell r="K77">
            <v>29</v>
          </cell>
          <cell r="L77">
            <v>16</v>
          </cell>
          <cell r="M77">
            <v>158</v>
          </cell>
        </row>
        <row r="78">
          <cell r="A78" t="str">
            <v>A02</v>
          </cell>
          <cell r="B78" t="str">
            <v>Office of Juvenile Justice</v>
          </cell>
          <cell r="C78">
            <v>2</v>
          </cell>
          <cell r="D78">
            <v>187</v>
          </cell>
          <cell r="E78"/>
          <cell r="F78">
            <v>3</v>
          </cell>
          <cell r="G78">
            <v>8</v>
          </cell>
          <cell r="H78">
            <v>49</v>
          </cell>
          <cell r="I78">
            <v>20</v>
          </cell>
          <cell r="J78">
            <v>71</v>
          </cell>
          <cell r="K78">
            <v>25</v>
          </cell>
          <cell r="L78">
            <v>10</v>
          </cell>
          <cell r="M78">
            <v>186</v>
          </cell>
        </row>
        <row r="79">
          <cell r="A79" t="str">
            <v>R36</v>
          </cell>
          <cell r="B79" t="str">
            <v>All Orleans</v>
          </cell>
          <cell r="C79">
            <v>79</v>
          </cell>
          <cell r="D79">
            <v>44631</v>
          </cell>
          <cell r="E79"/>
          <cell r="F79">
            <v>3516</v>
          </cell>
          <cell r="G79">
            <v>3333</v>
          </cell>
          <cell r="H79">
            <v>3193</v>
          </cell>
          <cell r="I79">
            <v>241</v>
          </cell>
          <cell r="J79">
            <v>3306</v>
          </cell>
          <cell r="K79">
            <v>3051</v>
          </cell>
          <cell r="L79">
            <v>2871</v>
          </cell>
          <cell r="M79">
            <v>19511</v>
          </cell>
        </row>
        <row r="80">
          <cell r="A80" t="str">
            <v>WB2001</v>
          </cell>
          <cell r="B80" t="str">
            <v>Kenilworth Science and Technology Charter School</v>
          </cell>
          <cell r="C80"/>
          <cell r="D80">
            <v>381</v>
          </cell>
          <cell r="E80"/>
          <cell r="F80">
            <v>149</v>
          </cell>
          <cell r="G80">
            <v>123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272</v>
          </cell>
        </row>
        <row r="81">
          <cell r="A81" t="str">
            <v>WAP001</v>
          </cell>
          <cell r="B81" t="str">
            <v>Celerity Lanier Charter School</v>
          </cell>
          <cell r="C81"/>
          <cell r="D81">
            <v>260</v>
          </cell>
          <cell r="E81"/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W8B001</v>
          </cell>
          <cell r="B82" t="str">
            <v>Celerity Crestworth Charter School</v>
          </cell>
          <cell r="C82"/>
          <cell r="D82">
            <v>102</v>
          </cell>
          <cell r="E82"/>
          <cell r="F82">
            <v>36</v>
          </cell>
          <cell r="G82">
            <v>28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64</v>
          </cell>
        </row>
        <row r="83">
          <cell r="A83" t="str">
            <v>WAO001</v>
          </cell>
          <cell r="B83" t="str">
            <v>Celerity Dalton Charter School</v>
          </cell>
          <cell r="C83"/>
          <cell r="D83">
            <v>305</v>
          </cell>
          <cell r="E83"/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A84" t="str">
            <v>W9B001</v>
          </cell>
          <cell r="B84" t="str">
            <v>Capitol High School</v>
          </cell>
          <cell r="C84"/>
          <cell r="D84">
            <v>382</v>
          </cell>
          <cell r="E84"/>
          <cell r="F84">
            <v>0</v>
          </cell>
          <cell r="G84">
            <v>0</v>
          </cell>
          <cell r="H84">
            <v>72</v>
          </cell>
          <cell r="I84">
            <v>12</v>
          </cell>
          <cell r="J84">
            <v>116</v>
          </cell>
          <cell r="K84">
            <v>92</v>
          </cell>
          <cell r="L84">
            <v>90</v>
          </cell>
          <cell r="M84">
            <v>382</v>
          </cell>
        </row>
        <row r="85">
          <cell r="A85" t="str">
            <v>WAV001</v>
          </cell>
          <cell r="B85" t="str">
            <v>Democracy Prep Baton Rouge</v>
          </cell>
          <cell r="C85"/>
          <cell r="D85">
            <v>522</v>
          </cell>
          <cell r="E85"/>
          <cell r="F85">
            <v>59</v>
          </cell>
          <cell r="G85">
            <v>52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111</v>
          </cell>
        </row>
        <row r="86">
          <cell r="A86" t="str">
            <v>WAX001</v>
          </cell>
          <cell r="B86" t="str">
            <v>Baton Rouge College Prep</v>
          </cell>
          <cell r="C86"/>
          <cell r="D86">
            <v>215</v>
          </cell>
          <cell r="E86"/>
          <cell r="F86">
            <v>71</v>
          </cell>
          <cell r="G86">
            <v>75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146</v>
          </cell>
        </row>
        <row r="87">
          <cell r="A87">
            <v>396211</v>
          </cell>
          <cell r="B87" t="str">
            <v>Linwood Charter School</v>
          </cell>
          <cell r="C87"/>
          <cell r="D87">
            <v>960</v>
          </cell>
          <cell r="E87"/>
          <cell r="F87">
            <v>99</v>
          </cell>
          <cell r="G87">
            <v>99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198</v>
          </cell>
        </row>
        <row r="88">
          <cell r="A88">
            <v>321001</v>
          </cell>
          <cell r="B88" t="str">
            <v>New Vision Learning Academy</v>
          </cell>
          <cell r="C88"/>
          <cell r="D88">
            <v>253</v>
          </cell>
          <cell r="E88"/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A89">
            <v>329001</v>
          </cell>
          <cell r="B89" t="str">
            <v>V. B. Glencoe Charter School</v>
          </cell>
          <cell r="C89"/>
          <cell r="D89">
            <v>329</v>
          </cell>
          <cell r="E89"/>
          <cell r="F89">
            <v>36</v>
          </cell>
          <cell r="G89">
            <v>24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60</v>
          </cell>
        </row>
        <row r="90">
          <cell r="A90">
            <v>331001</v>
          </cell>
          <cell r="B90" t="str">
            <v>International School of Louisiana</v>
          </cell>
          <cell r="C90"/>
          <cell r="D90">
            <v>1387</v>
          </cell>
          <cell r="E90"/>
          <cell r="F90">
            <v>112</v>
          </cell>
          <cell r="G90">
            <v>59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171</v>
          </cell>
        </row>
        <row r="91">
          <cell r="A91">
            <v>333001</v>
          </cell>
          <cell r="B91" t="str">
            <v>Avoyelles Public Charter School</v>
          </cell>
          <cell r="C91"/>
          <cell r="D91">
            <v>718</v>
          </cell>
          <cell r="E91"/>
          <cell r="F91">
            <v>49</v>
          </cell>
          <cell r="G91">
            <v>46</v>
          </cell>
          <cell r="H91">
            <v>60</v>
          </cell>
          <cell r="I91">
            <v>0</v>
          </cell>
          <cell r="J91">
            <v>61</v>
          </cell>
          <cell r="K91">
            <v>56</v>
          </cell>
          <cell r="L91">
            <v>62</v>
          </cell>
          <cell r="M91">
            <v>334</v>
          </cell>
        </row>
        <row r="92">
          <cell r="A92">
            <v>336001</v>
          </cell>
          <cell r="B92" t="str">
            <v>Delhi Charter School</v>
          </cell>
          <cell r="C92"/>
          <cell r="D92">
            <v>870</v>
          </cell>
          <cell r="E92"/>
          <cell r="F92">
            <v>66</v>
          </cell>
          <cell r="G92">
            <v>66</v>
          </cell>
          <cell r="H92">
            <v>68</v>
          </cell>
          <cell r="I92">
            <v>0</v>
          </cell>
          <cell r="J92">
            <v>69</v>
          </cell>
          <cell r="K92">
            <v>68</v>
          </cell>
          <cell r="L92">
            <v>57</v>
          </cell>
          <cell r="M92">
            <v>394</v>
          </cell>
        </row>
        <row r="93">
          <cell r="A93">
            <v>337001</v>
          </cell>
          <cell r="B93" t="str">
            <v>Belle Chasse Academy</v>
          </cell>
          <cell r="C93"/>
          <cell r="D93">
            <v>960</v>
          </cell>
          <cell r="E93"/>
          <cell r="F93">
            <v>97</v>
          </cell>
          <cell r="G93">
            <v>97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194</v>
          </cell>
        </row>
        <row r="94">
          <cell r="A94">
            <v>340001</v>
          </cell>
          <cell r="B94" t="str">
            <v>The MAX Charter School</v>
          </cell>
          <cell r="C94"/>
          <cell r="D94">
            <v>120</v>
          </cell>
          <cell r="E94"/>
          <cell r="F94">
            <v>22</v>
          </cell>
          <cell r="G94">
            <v>16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38</v>
          </cell>
        </row>
        <row r="95">
          <cell r="A95">
            <v>341001</v>
          </cell>
          <cell r="B95" t="str">
            <v>D'Arbonne Woods Charter School</v>
          </cell>
          <cell r="C95"/>
          <cell r="D95">
            <v>948</v>
          </cell>
          <cell r="E95"/>
          <cell r="F95">
            <v>77</v>
          </cell>
          <cell r="G95">
            <v>76</v>
          </cell>
          <cell r="H95">
            <v>69</v>
          </cell>
          <cell r="I95">
            <v>10</v>
          </cell>
          <cell r="J95">
            <v>60</v>
          </cell>
          <cell r="K95">
            <v>61</v>
          </cell>
          <cell r="L95">
            <v>50</v>
          </cell>
          <cell r="M95">
            <v>403</v>
          </cell>
        </row>
        <row r="96">
          <cell r="A96">
            <v>343001</v>
          </cell>
          <cell r="B96" t="str">
            <v>Madison Preparatory Academy</v>
          </cell>
          <cell r="C96"/>
          <cell r="D96">
            <v>552</v>
          </cell>
          <cell r="E96"/>
          <cell r="F96">
            <v>0</v>
          </cell>
          <cell r="G96">
            <v>0</v>
          </cell>
          <cell r="H96">
            <v>148</v>
          </cell>
          <cell r="I96">
            <v>0</v>
          </cell>
          <cell r="J96">
            <v>139</v>
          </cell>
          <cell r="K96">
            <v>121</v>
          </cell>
          <cell r="L96">
            <v>144</v>
          </cell>
          <cell r="M96">
            <v>552</v>
          </cell>
        </row>
        <row r="97">
          <cell r="A97">
            <v>344001</v>
          </cell>
          <cell r="B97" t="str">
            <v>International High School of New Orleans</v>
          </cell>
          <cell r="C97"/>
          <cell r="D97">
            <v>508</v>
          </cell>
          <cell r="E97"/>
          <cell r="F97">
            <v>0</v>
          </cell>
          <cell r="G97">
            <v>0</v>
          </cell>
          <cell r="H97">
            <v>116</v>
          </cell>
          <cell r="I97">
            <v>16</v>
          </cell>
          <cell r="J97">
            <v>121</v>
          </cell>
          <cell r="K97">
            <v>116</v>
          </cell>
          <cell r="L97">
            <v>139</v>
          </cell>
          <cell r="M97">
            <v>508</v>
          </cell>
        </row>
        <row r="98">
          <cell r="A98">
            <v>345001</v>
          </cell>
          <cell r="B98" t="str">
            <v>University View Academy, Inc. (FRM LA Connections)</v>
          </cell>
          <cell r="C98"/>
          <cell r="D98">
            <v>3139</v>
          </cell>
          <cell r="E98"/>
          <cell r="F98">
            <v>310</v>
          </cell>
          <cell r="G98">
            <v>338</v>
          </cell>
          <cell r="H98">
            <v>278</v>
          </cell>
          <cell r="I98">
            <v>87</v>
          </cell>
          <cell r="J98">
            <v>342</v>
          </cell>
          <cell r="K98">
            <v>323</v>
          </cell>
          <cell r="L98">
            <v>281</v>
          </cell>
          <cell r="M98">
            <v>1959</v>
          </cell>
        </row>
        <row r="99">
          <cell r="A99">
            <v>346001</v>
          </cell>
          <cell r="B99" t="str">
            <v>Lake Charles Charter Academy</v>
          </cell>
          <cell r="C99"/>
          <cell r="D99">
            <v>920</v>
          </cell>
          <cell r="E99"/>
          <cell r="F99">
            <v>109</v>
          </cell>
          <cell r="G99">
            <v>97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206</v>
          </cell>
        </row>
        <row r="100">
          <cell r="A100">
            <v>347001</v>
          </cell>
          <cell r="B100" t="str">
            <v>Lycee Francais de la Nouvelle-Orleans</v>
          </cell>
          <cell r="C100"/>
          <cell r="D100">
            <v>852</v>
          </cell>
          <cell r="E100"/>
          <cell r="F100">
            <v>51</v>
          </cell>
          <cell r="G100">
            <v>21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72</v>
          </cell>
        </row>
        <row r="101">
          <cell r="A101">
            <v>348001</v>
          </cell>
          <cell r="B101" t="str">
            <v>New Orleans Military &amp; Maritime Academy</v>
          </cell>
          <cell r="C101"/>
          <cell r="D101">
            <v>870</v>
          </cell>
          <cell r="E101"/>
          <cell r="F101">
            <v>0</v>
          </cell>
          <cell r="G101">
            <v>124</v>
          </cell>
          <cell r="H101">
            <v>199</v>
          </cell>
          <cell r="I101">
            <v>13</v>
          </cell>
          <cell r="J101">
            <v>198</v>
          </cell>
          <cell r="K101">
            <v>181</v>
          </cell>
          <cell r="L101">
            <v>155</v>
          </cell>
          <cell r="M101">
            <v>870</v>
          </cell>
        </row>
        <row r="102">
          <cell r="A102" t="str">
            <v>W18001</v>
          </cell>
          <cell r="B102" t="str">
            <v>Noble Minds</v>
          </cell>
          <cell r="C102"/>
          <cell r="D102">
            <v>67</v>
          </cell>
          <cell r="E102"/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W1A001</v>
          </cell>
          <cell r="B103" t="str">
            <v>JCFA-East</v>
          </cell>
          <cell r="C103"/>
          <cell r="D103">
            <v>264</v>
          </cell>
          <cell r="E103"/>
          <cell r="F103">
            <v>0</v>
          </cell>
          <cell r="G103">
            <v>7</v>
          </cell>
          <cell r="H103">
            <v>98</v>
          </cell>
          <cell r="I103">
            <v>5</v>
          </cell>
          <cell r="J103">
            <v>57</v>
          </cell>
          <cell r="K103">
            <v>57</v>
          </cell>
          <cell r="L103">
            <v>40</v>
          </cell>
          <cell r="M103">
            <v>264</v>
          </cell>
        </row>
        <row r="104">
          <cell r="A104" t="str">
            <v>W1B001</v>
          </cell>
          <cell r="B104" t="str">
            <v>Advantage Charter Academy</v>
          </cell>
          <cell r="C104"/>
          <cell r="D104">
            <v>602</v>
          </cell>
          <cell r="E104"/>
          <cell r="F104">
            <v>55</v>
          </cell>
          <cell r="G104">
            <v>51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106</v>
          </cell>
        </row>
        <row r="105">
          <cell r="A105" t="str">
            <v>W1D001</v>
          </cell>
          <cell r="B105" t="str">
            <v>JCFA Lafayette</v>
          </cell>
          <cell r="C105"/>
          <cell r="D105">
            <v>64</v>
          </cell>
          <cell r="E105"/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21</v>
          </cell>
          <cell r="K105">
            <v>15</v>
          </cell>
          <cell r="L105">
            <v>6</v>
          </cell>
          <cell r="M105">
            <v>64</v>
          </cell>
        </row>
        <row r="106">
          <cell r="A106" t="str">
            <v>W2B001</v>
          </cell>
          <cell r="B106" t="str">
            <v>Willow Charter Academy</v>
          </cell>
          <cell r="C106"/>
          <cell r="D106">
            <v>599</v>
          </cell>
          <cell r="E106"/>
          <cell r="F106">
            <v>48</v>
          </cell>
          <cell r="G106">
            <v>38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86</v>
          </cell>
        </row>
        <row r="107">
          <cell r="A107" t="str">
            <v>W33001</v>
          </cell>
          <cell r="B107" t="str">
            <v>Lincoln Preparatory School</v>
          </cell>
          <cell r="C107"/>
          <cell r="D107">
            <v>456</v>
          </cell>
          <cell r="E107"/>
          <cell r="F107">
            <v>39</v>
          </cell>
          <cell r="G107">
            <v>39</v>
          </cell>
          <cell r="H107">
            <v>46</v>
          </cell>
          <cell r="I107">
            <v>2</v>
          </cell>
          <cell r="J107">
            <v>33</v>
          </cell>
          <cell r="K107">
            <v>31</v>
          </cell>
          <cell r="L107">
            <v>38</v>
          </cell>
          <cell r="M107">
            <v>228</v>
          </cell>
        </row>
        <row r="108">
          <cell r="A108" t="str">
            <v>W34001</v>
          </cell>
          <cell r="B108" t="str">
            <v>Laurel Oaks Charter School</v>
          </cell>
          <cell r="C108"/>
          <cell r="D108">
            <v>92</v>
          </cell>
          <cell r="E108"/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W35001</v>
          </cell>
          <cell r="B109" t="str">
            <v>Apex Collegiate Academy Charter School</v>
          </cell>
          <cell r="C109"/>
          <cell r="D109">
            <v>183</v>
          </cell>
          <cell r="E109"/>
          <cell r="F109">
            <v>64</v>
          </cell>
          <cell r="G109">
            <v>70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134</v>
          </cell>
        </row>
        <row r="110">
          <cell r="A110" t="str">
            <v>W36001</v>
          </cell>
          <cell r="B110" t="str">
            <v>Smothers Academy Preparatory School</v>
          </cell>
          <cell r="C110"/>
          <cell r="D110">
            <v>444</v>
          </cell>
          <cell r="E110"/>
          <cell r="F110">
            <v>46</v>
          </cell>
          <cell r="G110">
            <v>53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99</v>
          </cell>
        </row>
        <row r="111">
          <cell r="A111" t="str">
            <v>W37001</v>
          </cell>
          <cell r="B111" t="str">
            <v>Greater Grace Charter Academy Inc.</v>
          </cell>
          <cell r="C111"/>
          <cell r="D111">
            <v>79</v>
          </cell>
          <cell r="E111"/>
          <cell r="F111">
            <v>8</v>
          </cell>
          <cell r="G111">
            <v>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12</v>
          </cell>
        </row>
        <row r="112">
          <cell r="A112" t="str">
            <v>W3B001</v>
          </cell>
          <cell r="B112" t="str">
            <v>Iberville Charter Academy</v>
          </cell>
          <cell r="C112"/>
          <cell r="D112">
            <v>270</v>
          </cell>
          <cell r="E112"/>
          <cell r="F112">
            <v>28</v>
          </cell>
          <cell r="G112">
            <v>17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45</v>
          </cell>
        </row>
        <row r="113">
          <cell r="A113" t="str">
            <v>W4A001</v>
          </cell>
          <cell r="B113" t="str">
            <v>Delta Charter School MST</v>
          </cell>
          <cell r="C113"/>
          <cell r="D113">
            <v>482</v>
          </cell>
          <cell r="E113"/>
          <cell r="F113">
            <v>36</v>
          </cell>
          <cell r="G113">
            <v>40</v>
          </cell>
          <cell r="H113">
            <v>30</v>
          </cell>
          <cell r="I113">
            <v>0</v>
          </cell>
          <cell r="J113">
            <v>32</v>
          </cell>
          <cell r="K113">
            <v>44</v>
          </cell>
          <cell r="L113">
            <v>28</v>
          </cell>
          <cell r="M113">
            <v>210</v>
          </cell>
        </row>
        <row r="114">
          <cell r="A114" t="str">
            <v>W4B001</v>
          </cell>
          <cell r="B114" t="str">
            <v>Lake Charles College Prep</v>
          </cell>
          <cell r="C114"/>
          <cell r="D114">
            <v>453</v>
          </cell>
          <cell r="E114"/>
          <cell r="F114">
            <v>0</v>
          </cell>
          <cell r="G114">
            <v>0</v>
          </cell>
          <cell r="H114">
            <v>87</v>
          </cell>
          <cell r="I114">
            <v>38</v>
          </cell>
          <cell r="J114">
            <v>122</v>
          </cell>
          <cell r="K114">
            <v>107</v>
          </cell>
          <cell r="L114">
            <v>99</v>
          </cell>
          <cell r="M114">
            <v>453</v>
          </cell>
        </row>
        <row r="115">
          <cell r="A115" t="str">
            <v>W5B001</v>
          </cell>
          <cell r="B115" t="str">
            <v>Northeast Claiborne Charter</v>
          </cell>
          <cell r="C115"/>
          <cell r="D115">
            <v>181</v>
          </cell>
          <cell r="E115"/>
          <cell r="F115">
            <v>22</v>
          </cell>
          <cell r="G115">
            <v>16</v>
          </cell>
          <cell r="H115">
            <v>11</v>
          </cell>
          <cell r="I115">
            <v>0</v>
          </cell>
          <cell r="J115">
            <v>11</v>
          </cell>
          <cell r="K115">
            <v>11</v>
          </cell>
          <cell r="L115">
            <v>13</v>
          </cell>
          <cell r="M115">
            <v>84</v>
          </cell>
        </row>
        <row r="116">
          <cell r="A116" t="str">
            <v>W6B001</v>
          </cell>
          <cell r="B116" t="str">
            <v>Acadiana Renaissance Charter Academy</v>
          </cell>
          <cell r="C116"/>
          <cell r="D116">
            <v>892</v>
          </cell>
          <cell r="E116"/>
          <cell r="F116">
            <v>95</v>
          </cell>
          <cell r="G116">
            <v>95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190</v>
          </cell>
        </row>
        <row r="117">
          <cell r="A117" t="str">
            <v>W7A001</v>
          </cell>
          <cell r="B117" t="str">
            <v>Louisiana Key Academy</v>
          </cell>
          <cell r="C117"/>
          <cell r="D117">
            <v>348</v>
          </cell>
          <cell r="E117"/>
          <cell r="F117">
            <v>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41</v>
          </cell>
        </row>
        <row r="118">
          <cell r="A118" t="str">
            <v>W7B001</v>
          </cell>
          <cell r="B118" t="str">
            <v>Lafayette Renaissance Charter Academy</v>
          </cell>
          <cell r="C118"/>
          <cell r="D118">
            <v>906</v>
          </cell>
          <cell r="E118"/>
          <cell r="F118">
            <v>108</v>
          </cell>
          <cell r="G118">
            <v>88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196</v>
          </cell>
        </row>
        <row r="119">
          <cell r="A119" t="str">
            <v>W8A001</v>
          </cell>
          <cell r="B119" t="str">
            <v>Impact Charter School</v>
          </cell>
          <cell r="C119"/>
          <cell r="D119">
            <v>337</v>
          </cell>
          <cell r="E119"/>
          <cell r="F119">
            <v>27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27</v>
          </cell>
        </row>
        <row r="120">
          <cell r="A120" t="str">
            <v>W9A001</v>
          </cell>
          <cell r="B120" t="str">
            <v>Vision Academy</v>
          </cell>
          <cell r="C120"/>
          <cell r="D120">
            <v>153</v>
          </cell>
          <cell r="E120"/>
          <cell r="F120">
            <v>18</v>
          </cell>
          <cell r="G120">
            <v>15</v>
          </cell>
          <cell r="H120">
            <v>36</v>
          </cell>
          <cell r="I120">
            <v>2</v>
          </cell>
          <cell r="J120">
            <v>35</v>
          </cell>
          <cell r="K120">
            <v>35</v>
          </cell>
          <cell r="L120">
            <v>12</v>
          </cell>
          <cell r="M120">
            <v>153</v>
          </cell>
        </row>
        <row r="121">
          <cell r="A121" t="str">
            <v>WAG001</v>
          </cell>
          <cell r="B121" t="str">
            <v>Louisiana Virtual Charter Academy</v>
          </cell>
          <cell r="C121"/>
          <cell r="D121">
            <v>1911</v>
          </cell>
          <cell r="E121"/>
          <cell r="F121">
            <v>208</v>
          </cell>
          <cell r="G121">
            <v>208</v>
          </cell>
          <cell r="H121">
            <v>231</v>
          </cell>
          <cell r="I121">
            <v>11</v>
          </cell>
          <cell r="J121">
            <v>204</v>
          </cell>
          <cell r="K121">
            <v>128</v>
          </cell>
          <cell r="L121">
            <v>71</v>
          </cell>
          <cell r="M121">
            <v>1061</v>
          </cell>
        </row>
        <row r="122">
          <cell r="A122" t="str">
            <v>WAK001</v>
          </cell>
          <cell r="B122" t="str">
            <v>Southwest Louisiana Charter Academy</v>
          </cell>
          <cell r="C122"/>
          <cell r="D122">
            <v>661</v>
          </cell>
          <cell r="E122"/>
          <cell r="F122">
            <v>80</v>
          </cell>
          <cell r="G122">
            <v>77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157</v>
          </cell>
        </row>
        <row r="123">
          <cell r="A123" t="str">
            <v>WAL001</v>
          </cell>
          <cell r="B123" t="str">
            <v>JS Clark Leadership Academy</v>
          </cell>
          <cell r="C123"/>
          <cell r="D123">
            <v>224</v>
          </cell>
          <cell r="E123"/>
          <cell r="F123">
            <v>32</v>
          </cell>
          <cell r="G123">
            <v>35</v>
          </cell>
          <cell r="H123">
            <v>17</v>
          </cell>
          <cell r="I123">
            <v>14</v>
          </cell>
          <cell r="J123">
            <v>33</v>
          </cell>
          <cell r="K123">
            <v>37</v>
          </cell>
          <cell r="L123">
            <v>18</v>
          </cell>
          <cell r="M123">
            <v>186</v>
          </cell>
        </row>
        <row r="124">
          <cell r="A124" t="str">
            <v>WAQ001</v>
          </cell>
          <cell r="B124" t="str">
            <v>Baton Rouge University Preparatory Elementary</v>
          </cell>
          <cell r="C124"/>
          <cell r="D124">
            <v>306</v>
          </cell>
          <cell r="E124"/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WAR001</v>
          </cell>
          <cell r="B125" t="str">
            <v>Tangi Academy</v>
          </cell>
          <cell r="C125"/>
          <cell r="D125">
            <v>289</v>
          </cell>
          <cell r="E125"/>
          <cell r="F125">
            <v>17</v>
          </cell>
          <cell r="G125">
            <v>9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26</v>
          </cell>
        </row>
        <row r="126">
          <cell r="A126" t="str">
            <v>WAU001</v>
          </cell>
          <cell r="B126" t="str">
            <v>GEO Prep Academy of Greater Baton Rouge</v>
          </cell>
          <cell r="C126"/>
          <cell r="D126">
            <v>513</v>
          </cell>
          <cell r="E126"/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WBQ001</v>
          </cell>
          <cell r="B127" t="str">
            <v>New Harmony High Institute</v>
          </cell>
          <cell r="C127"/>
          <cell r="D127">
            <v>45</v>
          </cell>
          <cell r="E127"/>
          <cell r="F127">
            <v>0</v>
          </cell>
          <cell r="G127">
            <v>0</v>
          </cell>
          <cell r="H127">
            <v>45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45</v>
          </cell>
        </row>
        <row r="128">
          <cell r="A128" t="str">
            <v>WBR001</v>
          </cell>
          <cell r="B128" t="str">
            <v>Athlos Academy of Jefferson Parish</v>
          </cell>
          <cell r="C128"/>
          <cell r="D128">
            <v>974</v>
          </cell>
          <cell r="E128"/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WJ5001</v>
          </cell>
          <cell r="B129" t="str">
            <v>Collegiate Baton Rouge</v>
          </cell>
          <cell r="C129"/>
          <cell r="D129">
            <v>251</v>
          </cell>
          <cell r="E129"/>
          <cell r="F129">
            <v>0</v>
          </cell>
          <cell r="G129">
            <v>0</v>
          </cell>
          <cell r="H129">
            <v>137</v>
          </cell>
          <cell r="I129">
            <v>1</v>
          </cell>
          <cell r="J129">
            <v>113</v>
          </cell>
          <cell r="K129">
            <v>0</v>
          </cell>
          <cell r="L129">
            <v>0</v>
          </cell>
          <cell r="M129">
            <v>251</v>
          </cell>
        </row>
        <row r="130">
          <cell r="A130" t="str">
            <v>WZ8001</v>
          </cell>
          <cell r="B130" t="str">
            <v>GEO Prep Mid-City of Greater Baton Rouge</v>
          </cell>
          <cell r="C130"/>
          <cell r="D130">
            <v>636</v>
          </cell>
          <cell r="E130"/>
          <cell r="F130">
            <v>68</v>
          </cell>
          <cell r="G130">
            <v>40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108</v>
          </cell>
        </row>
        <row r="131">
          <cell r="A131"/>
          <cell r="B131" t="str">
            <v>MFP Total</v>
          </cell>
          <cell r="C131"/>
          <cell r="D131">
            <v>688792</v>
          </cell>
          <cell r="E131"/>
          <cell r="F131">
            <v>53218</v>
          </cell>
          <cell r="G131">
            <v>51922</v>
          </cell>
          <cell r="H131">
            <v>49118</v>
          </cell>
          <cell r="I131">
            <v>7140</v>
          </cell>
          <cell r="J131">
            <v>50139</v>
          </cell>
          <cell r="K131">
            <v>46679</v>
          </cell>
          <cell r="L131">
            <v>43517</v>
          </cell>
          <cell r="M131">
            <v>301733</v>
          </cell>
        </row>
        <row r="133">
          <cell r="A133">
            <v>101</v>
          </cell>
          <cell r="B133" t="str">
            <v>Special School District</v>
          </cell>
          <cell r="C133">
            <v>11</v>
          </cell>
          <cell r="D133">
            <v>142</v>
          </cell>
          <cell r="E133"/>
          <cell r="F133">
            <v>13</v>
          </cell>
          <cell r="G133">
            <v>23</v>
          </cell>
          <cell r="H133">
            <v>28</v>
          </cell>
          <cell r="I133">
            <v>0</v>
          </cell>
          <cell r="J133">
            <v>13</v>
          </cell>
          <cell r="K133">
            <v>9</v>
          </cell>
          <cell r="L133">
            <v>39</v>
          </cell>
          <cell r="M133">
            <v>125</v>
          </cell>
        </row>
        <row r="134">
          <cell r="A134">
            <v>304</v>
          </cell>
          <cell r="B134" t="str">
            <v>LA Schools for the Deaf and Visually Impaired</v>
          </cell>
          <cell r="C134">
            <v>2</v>
          </cell>
          <cell r="D134">
            <v>213</v>
          </cell>
          <cell r="E134"/>
          <cell r="F134">
            <v>15</v>
          </cell>
          <cell r="G134">
            <v>14</v>
          </cell>
          <cell r="H134">
            <v>15</v>
          </cell>
          <cell r="I134">
            <v>13</v>
          </cell>
          <cell r="J134">
            <v>22</v>
          </cell>
          <cell r="K134">
            <v>24</v>
          </cell>
          <cell r="L134">
            <v>27</v>
          </cell>
          <cell r="M134">
            <v>130</v>
          </cell>
        </row>
        <row r="135">
          <cell r="A135">
            <v>306</v>
          </cell>
          <cell r="B135" t="str">
            <v>Louisiana Special Education Center</v>
          </cell>
          <cell r="C135">
            <v>1</v>
          </cell>
          <cell r="D135">
            <v>38</v>
          </cell>
          <cell r="E135"/>
          <cell r="F135">
            <v>3</v>
          </cell>
          <cell r="G135">
            <v>4</v>
          </cell>
          <cell r="H135">
            <v>4</v>
          </cell>
          <cell r="I135">
            <v>0</v>
          </cell>
          <cell r="J135">
            <v>5</v>
          </cell>
          <cell r="K135">
            <v>1</v>
          </cell>
          <cell r="L135">
            <v>12</v>
          </cell>
          <cell r="M135">
            <v>29</v>
          </cell>
        </row>
        <row r="136">
          <cell r="A136"/>
          <cell r="B136" t="str">
            <v>Total Non MFP</v>
          </cell>
          <cell r="C136"/>
          <cell r="D136">
            <v>393</v>
          </cell>
          <cell r="E136"/>
          <cell r="F136">
            <v>31</v>
          </cell>
          <cell r="G136">
            <v>41</v>
          </cell>
          <cell r="H136">
            <v>47</v>
          </cell>
          <cell r="I136">
            <v>13</v>
          </cell>
          <cell r="J136">
            <v>40</v>
          </cell>
          <cell r="K136">
            <v>34</v>
          </cell>
          <cell r="L136">
            <v>78</v>
          </cell>
          <cell r="M136">
            <v>284</v>
          </cell>
        </row>
        <row r="138">
          <cell r="A138"/>
          <cell r="B138" t="str">
            <v>Total State</v>
          </cell>
          <cell r="C138"/>
          <cell r="D138">
            <v>689185</v>
          </cell>
          <cell r="E138"/>
          <cell r="F138">
            <v>53249</v>
          </cell>
          <cell r="G138">
            <v>51963</v>
          </cell>
          <cell r="H138">
            <v>49165</v>
          </cell>
          <cell r="I138">
            <v>7153</v>
          </cell>
          <cell r="J138">
            <v>50179</v>
          </cell>
          <cell r="K138">
            <v>46713</v>
          </cell>
          <cell r="L138">
            <v>43595</v>
          </cell>
          <cell r="M138">
            <v>302017</v>
          </cell>
        </row>
        <row r="139">
          <cell r="B139" t="str">
            <v>Check</v>
          </cell>
          <cell r="C139"/>
          <cell r="D139">
            <v>689185</v>
          </cell>
          <cell r="E139"/>
          <cell r="F139">
            <v>53249</v>
          </cell>
          <cell r="G139">
            <v>51963</v>
          </cell>
          <cell r="H139">
            <v>49165</v>
          </cell>
          <cell r="I139">
            <v>7153</v>
          </cell>
          <cell r="J139">
            <v>50179</v>
          </cell>
          <cell r="K139">
            <v>46713</v>
          </cell>
          <cell r="L139">
            <v>43595</v>
          </cell>
          <cell r="M139">
            <v>302017</v>
          </cell>
        </row>
        <row r="141">
          <cell r="A141" t="str">
            <v>W12001</v>
          </cell>
          <cell r="B141" t="str">
            <v>Pierre A. Capdau Charter School at Avery Alexander</v>
          </cell>
          <cell r="C141"/>
          <cell r="D141">
            <v>713</v>
          </cell>
          <cell r="E141"/>
          <cell r="F141">
            <v>96</v>
          </cell>
          <cell r="G141">
            <v>90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186</v>
          </cell>
        </row>
        <row r="142">
          <cell r="A142" t="str">
            <v>W11001</v>
          </cell>
          <cell r="B142" t="str">
            <v>Nelson Elementary School</v>
          </cell>
          <cell r="C142"/>
          <cell r="D142">
            <v>258</v>
          </cell>
          <cell r="E142"/>
          <cell r="F142">
            <v>40</v>
          </cell>
          <cell r="G142">
            <v>36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76</v>
          </cell>
        </row>
        <row r="143">
          <cell r="A143" t="str">
            <v>W13001</v>
          </cell>
          <cell r="B143" t="str">
            <v>John F. Kennedy High School</v>
          </cell>
          <cell r="C143"/>
          <cell r="D143">
            <v>682</v>
          </cell>
          <cell r="E143"/>
          <cell r="F143">
            <v>0</v>
          </cell>
          <cell r="G143">
            <v>0</v>
          </cell>
          <cell r="H143">
            <v>202</v>
          </cell>
          <cell r="I143">
            <v>0</v>
          </cell>
          <cell r="J143">
            <v>152</v>
          </cell>
          <cell r="K143">
            <v>160</v>
          </cell>
          <cell r="L143">
            <v>168</v>
          </cell>
          <cell r="M143">
            <v>682</v>
          </cell>
        </row>
        <row r="144">
          <cell r="A144" t="str">
            <v>WAH001</v>
          </cell>
          <cell r="B144" t="str">
            <v>The NET Charter High School</v>
          </cell>
          <cell r="C144"/>
          <cell r="D144">
            <v>142</v>
          </cell>
          <cell r="E144"/>
          <cell r="F144">
            <v>0</v>
          </cell>
          <cell r="G144">
            <v>8</v>
          </cell>
          <cell r="H144">
            <v>24</v>
          </cell>
          <cell r="I144">
            <v>0</v>
          </cell>
          <cell r="J144">
            <v>34</v>
          </cell>
          <cell r="K144">
            <v>29</v>
          </cell>
          <cell r="L144">
            <v>47</v>
          </cell>
          <cell r="M144">
            <v>142</v>
          </cell>
        </row>
        <row r="145">
          <cell r="A145" t="str">
            <v>WZ9001</v>
          </cell>
          <cell r="B145" t="str">
            <v>The NET 2 Charter High School</v>
          </cell>
          <cell r="C145"/>
          <cell r="D145">
            <v>171</v>
          </cell>
          <cell r="E145"/>
          <cell r="F145">
            <v>0</v>
          </cell>
          <cell r="G145">
            <v>7</v>
          </cell>
          <cell r="H145">
            <v>35</v>
          </cell>
          <cell r="I145">
            <v>2</v>
          </cell>
          <cell r="J145">
            <v>38</v>
          </cell>
          <cell r="K145">
            <v>46</v>
          </cell>
          <cell r="L145">
            <v>43</v>
          </cell>
          <cell r="M145">
            <v>171</v>
          </cell>
        </row>
        <row r="146">
          <cell r="A146" t="str">
            <v>WAF001</v>
          </cell>
          <cell r="B146" t="str">
            <v>Harriet Tubman Charter School</v>
          </cell>
          <cell r="C146"/>
          <cell r="D146">
            <v>846</v>
          </cell>
          <cell r="E146"/>
          <cell r="F146">
            <v>100</v>
          </cell>
          <cell r="G146">
            <v>92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192</v>
          </cell>
        </row>
        <row r="147">
          <cell r="A147" t="str">
            <v>WAM001</v>
          </cell>
          <cell r="B147" t="str">
            <v>Paul Habans Charter School</v>
          </cell>
          <cell r="C147"/>
          <cell r="D147">
            <v>637</v>
          </cell>
          <cell r="E147"/>
          <cell r="F147">
            <v>76</v>
          </cell>
          <cell r="G147">
            <v>66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142</v>
          </cell>
        </row>
        <row r="148">
          <cell r="A148" t="str">
            <v>WAE001</v>
          </cell>
          <cell r="B148" t="str">
            <v>Fannie C. Williams Charter School</v>
          </cell>
          <cell r="C148"/>
          <cell r="D148">
            <v>540</v>
          </cell>
          <cell r="E148"/>
          <cell r="F148">
            <v>51</v>
          </cell>
          <cell r="G148">
            <v>52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103</v>
          </cell>
        </row>
        <row r="149">
          <cell r="A149" t="str">
            <v>WAB001</v>
          </cell>
          <cell r="B149" t="str">
            <v>Edgar P. Harney Spirit of Excellence Academy</v>
          </cell>
          <cell r="C149"/>
          <cell r="D149">
            <v>228</v>
          </cell>
          <cell r="E149"/>
          <cell r="F149">
            <v>33</v>
          </cell>
          <cell r="G149">
            <v>25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58</v>
          </cell>
        </row>
        <row r="150">
          <cell r="A150" t="str">
            <v>WAA001</v>
          </cell>
          <cell r="B150" t="str">
            <v>Morris Jeff Community School</v>
          </cell>
          <cell r="C150"/>
          <cell r="D150">
            <v>915</v>
          </cell>
          <cell r="E150"/>
          <cell r="F150">
            <v>80</v>
          </cell>
          <cell r="G150">
            <v>79</v>
          </cell>
          <cell r="H150">
            <v>91</v>
          </cell>
          <cell r="I150">
            <v>16</v>
          </cell>
          <cell r="J150">
            <v>77</v>
          </cell>
          <cell r="K150">
            <v>0</v>
          </cell>
          <cell r="L150">
            <v>0</v>
          </cell>
          <cell r="M150">
            <v>343</v>
          </cell>
        </row>
        <row r="151">
          <cell r="A151" t="str">
            <v>WZ2001</v>
          </cell>
          <cell r="B151" t="str">
            <v>ReNEW SciTech Academy at Laurel</v>
          </cell>
          <cell r="C151"/>
          <cell r="D151">
            <v>959</v>
          </cell>
          <cell r="E151"/>
          <cell r="F151">
            <v>93</v>
          </cell>
          <cell r="G151">
            <v>87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180</v>
          </cell>
        </row>
        <row r="152">
          <cell r="A152" t="str">
            <v>WZ3001</v>
          </cell>
          <cell r="B152" t="str">
            <v>ReNEW Dolores T. Aaron Elementary</v>
          </cell>
          <cell r="C152"/>
          <cell r="D152">
            <v>761</v>
          </cell>
          <cell r="E152"/>
          <cell r="F152">
            <v>88</v>
          </cell>
          <cell r="G152">
            <v>67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155</v>
          </cell>
        </row>
        <row r="153">
          <cell r="A153" t="str">
            <v>WZ5001</v>
          </cell>
          <cell r="B153" t="str">
            <v>ReNEW Accelerated High School</v>
          </cell>
          <cell r="C153"/>
          <cell r="D153">
            <v>228</v>
          </cell>
          <cell r="E153"/>
          <cell r="F153">
            <v>0</v>
          </cell>
          <cell r="G153">
            <v>0</v>
          </cell>
          <cell r="H153">
            <v>36</v>
          </cell>
          <cell r="I153">
            <v>0</v>
          </cell>
          <cell r="J153">
            <v>45</v>
          </cell>
          <cell r="K153">
            <v>51</v>
          </cell>
          <cell r="L153">
            <v>96</v>
          </cell>
          <cell r="M153">
            <v>228</v>
          </cell>
        </row>
        <row r="154">
          <cell r="A154" t="str">
            <v>WZ6001</v>
          </cell>
          <cell r="B154" t="str">
            <v>ReNEW Schaumburg Elementary</v>
          </cell>
          <cell r="C154"/>
          <cell r="D154">
            <v>717</v>
          </cell>
          <cell r="E154"/>
          <cell r="F154">
            <v>97</v>
          </cell>
          <cell r="G154">
            <v>93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190</v>
          </cell>
        </row>
        <row r="155">
          <cell r="A155" t="str">
            <v>WV1001</v>
          </cell>
          <cell r="B155" t="str">
            <v>Arise Academy</v>
          </cell>
          <cell r="C155"/>
          <cell r="D155">
            <v>495</v>
          </cell>
          <cell r="E155"/>
          <cell r="F155">
            <v>75</v>
          </cell>
          <cell r="G155">
            <v>53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128</v>
          </cell>
        </row>
        <row r="156">
          <cell r="A156" t="str">
            <v>WV2001</v>
          </cell>
          <cell r="B156" t="str">
            <v>Mildred Osborne Charter School</v>
          </cell>
          <cell r="C156"/>
          <cell r="D156">
            <v>503</v>
          </cell>
          <cell r="E156"/>
          <cell r="F156">
            <v>73</v>
          </cell>
          <cell r="G156">
            <v>61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134</v>
          </cell>
        </row>
        <row r="157">
          <cell r="A157" t="str">
            <v>WU1001</v>
          </cell>
          <cell r="B157" t="str">
            <v>Success Preparatory Academy</v>
          </cell>
          <cell r="C157"/>
          <cell r="D157">
            <v>430</v>
          </cell>
          <cell r="E157"/>
          <cell r="F157">
            <v>54</v>
          </cell>
          <cell r="G157">
            <v>54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108</v>
          </cell>
        </row>
        <row r="158">
          <cell r="A158" t="str">
            <v>WI1001</v>
          </cell>
          <cell r="B158" t="str">
            <v>Akili Academy of New Orleans</v>
          </cell>
          <cell r="C158"/>
          <cell r="D158">
            <v>605</v>
          </cell>
          <cell r="E158"/>
          <cell r="F158">
            <v>78</v>
          </cell>
          <cell r="G158">
            <v>72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150</v>
          </cell>
        </row>
        <row r="159">
          <cell r="A159" t="str">
            <v>WJ1001</v>
          </cell>
          <cell r="B159" t="str">
            <v>Abramson Sci Academy</v>
          </cell>
          <cell r="C159"/>
          <cell r="D159">
            <v>588</v>
          </cell>
          <cell r="E159"/>
          <cell r="F159">
            <v>0</v>
          </cell>
          <cell r="G159">
            <v>0</v>
          </cell>
          <cell r="H159">
            <v>137</v>
          </cell>
          <cell r="I159">
            <v>25</v>
          </cell>
          <cell r="J159">
            <v>162</v>
          </cell>
          <cell r="K159">
            <v>145</v>
          </cell>
          <cell r="L159">
            <v>119</v>
          </cell>
          <cell r="M159">
            <v>588</v>
          </cell>
        </row>
        <row r="160">
          <cell r="A160" t="str">
            <v>WJ2001</v>
          </cell>
          <cell r="B160" t="str">
            <v>G W Carver High School</v>
          </cell>
          <cell r="C160"/>
          <cell r="D160">
            <v>857</v>
          </cell>
          <cell r="E160"/>
          <cell r="F160">
            <v>0</v>
          </cell>
          <cell r="G160">
            <v>0</v>
          </cell>
          <cell r="H160">
            <v>162</v>
          </cell>
          <cell r="I160">
            <v>38</v>
          </cell>
          <cell r="J160">
            <v>191</v>
          </cell>
          <cell r="K160">
            <v>196</v>
          </cell>
          <cell r="L160">
            <v>270</v>
          </cell>
          <cell r="M160">
            <v>857</v>
          </cell>
        </row>
        <row r="161">
          <cell r="A161" t="str">
            <v>WJ4001</v>
          </cell>
          <cell r="B161" t="str">
            <v>Livingston Collegiate Academy</v>
          </cell>
          <cell r="C161"/>
          <cell r="D161">
            <v>482</v>
          </cell>
          <cell r="E161"/>
          <cell r="F161">
            <v>0</v>
          </cell>
          <cell r="G161">
            <v>0</v>
          </cell>
          <cell r="H161">
            <v>151</v>
          </cell>
          <cell r="I161">
            <v>26</v>
          </cell>
          <cell r="J161">
            <v>163</v>
          </cell>
          <cell r="K161">
            <v>142</v>
          </cell>
          <cell r="L161">
            <v>0</v>
          </cell>
          <cell r="M161">
            <v>482</v>
          </cell>
        </row>
        <row r="162">
          <cell r="A162" t="str">
            <v>WE2001</v>
          </cell>
          <cell r="B162" t="str">
            <v>Walter L. Cohen College Prep</v>
          </cell>
          <cell r="C162"/>
          <cell r="D162">
            <v>338</v>
          </cell>
          <cell r="E162"/>
          <cell r="F162">
            <v>0</v>
          </cell>
          <cell r="G162">
            <v>0</v>
          </cell>
          <cell r="H162">
            <v>43</v>
          </cell>
          <cell r="I162">
            <v>41</v>
          </cell>
          <cell r="J162">
            <v>77</v>
          </cell>
          <cell r="K162">
            <v>87</v>
          </cell>
          <cell r="L162">
            <v>90</v>
          </cell>
          <cell r="M162">
            <v>338</v>
          </cell>
        </row>
        <row r="163">
          <cell r="A163" t="str">
            <v>WE3001</v>
          </cell>
          <cell r="B163" t="str">
            <v>Lawrence D. Crocker College Prep</v>
          </cell>
          <cell r="C163"/>
          <cell r="D163">
            <v>510</v>
          </cell>
          <cell r="E163"/>
          <cell r="F163">
            <v>54</v>
          </cell>
          <cell r="G163">
            <v>58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112</v>
          </cell>
        </row>
        <row r="164">
          <cell r="A164" t="str">
            <v>W21001</v>
          </cell>
          <cell r="B164" t="str">
            <v>James M. Singleton Charter School</v>
          </cell>
          <cell r="C164"/>
          <cell r="D164">
            <v>386</v>
          </cell>
          <cell r="E164"/>
          <cell r="F164">
            <v>46</v>
          </cell>
          <cell r="G164">
            <v>46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92</v>
          </cell>
        </row>
        <row r="165">
          <cell r="A165" t="str">
            <v>W51001</v>
          </cell>
          <cell r="B165" t="str">
            <v>Lafayette Academy</v>
          </cell>
          <cell r="C165"/>
          <cell r="D165">
            <v>954</v>
          </cell>
          <cell r="E165"/>
          <cell r="F165">
            <v>132</v>
          </cell>
          <cell r="G165">
            <v>121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253</v>
          </cell>
        </row>
        <row r="166">
          <cell r="A166" t="str">
            <v>W52001</v>
          </cell>
          <cell r="B166" t="str">
            <v>Esperanza Charter School</v>
          </cell>
          <cell r="C166"/>
          <cell r="D166">
            <v>532</v>
          </cell>
          <cell r="E166"/>
          <cell r="F166">
            <v>59</v>
          </cell>
          <cell r="G166">
            <v>59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118</v>
          </cell>
        </row>
        <row r="167">
          <cell r="A167" t="str">
            <v>W66001</v>
          </cell>
          <cell r="B167" t="str">
            <v>Martin Behrman Charter Acad of Creative Arts &amp; Sci</v>
          </cell>
          <cell r="C167"/>
          <cell r="D167">
            <v>679</v>
          </cell>
          <cell r="E167"/>
          <cell r="F167">
            <v>84</v>
          </cell>
          <cell r="G167">
            <v>79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163</v>
          </cell>
        </row>
        <row r="168">
          <cell r="A168" t="str">
            <v>W64001</v>
          </cell>
          <cell r="B168" t="str">
            <v>William J. Fischer Accelerated Academy</v>
          </cell>
          <cell r="C168"/>
          <cell r="D168">
            <v>187</v>
          </cell>
          <cell r="E168"/>
          <cell r="F168">
            <v>23</v>
          </cell>
          <cell r="G168">
            <v>30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53</v>
          </cell>
        </row>
        <row r="169">
          <cell r="A169" t="str">
            <v>W63001</v>
          </cell>
          <cell r="B169" t="str">
            <v>McDonogh #32 Literacy Charter School</v>
          </cell>
          <cell r="C169"/>
          <cell r="D169">
            <v>228</v>
          </cell>
          <cell r="E169"/>
          <cell r="F169">
            <v>24</v>
          </cell>
          <cell r="G169">
            <v>31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55</v>
          </cell>
        </row>
        <row r="170">
          <cell r="A170" t="str">
            <v>W62001</v>
          </cell>
          <cell r="B170" t="str">
            <v>Lord Beaconsfield Landry-Oliver Perry Walker High</v>
          </cell>
          <cell r="C170"/>
          <cell r="D170">
            <v>998</v>
          </cell>
          <cell r="E170"/>
          <cell r="F170">
            <v>0</v>
          </cell>
          <cell r="G170">
            <v>0</v>
          </cell>
          <cell r="H170">
            <v>218</v>
          </cell>
          <cell r="I170">
            <v>0</v>
          </cell>
          <cell r="J170">
            <v>255</v>
          </cell>
          <cell r="K170">
            <v>256</v>
          </cell>
          <cell r="L170">
            <v>269</v>
          </cell>
          <cell r="M170">
            <v>998</v>
          </cell>
        </row>
        <row r="171">
          <cell r="A171" t="str">
            <v>W71001</v>
          </cell>
          <cell r="B171" t="str">
            <v>Sophie B. Wright Institute of Academic Excellence</v>
          </cell>
          <cell r="C171"/>
          <cell r="D171">
            <v>530</v>
          </cell>
          <cell r="E171"/>
          <cell r="F171">
            <v>0</v>
          </cell>
          <cell r="G171">
            <v>0</v>
          </cell>
          <cell r="H171">
            <v>144</v>
          </cell>
          <cell r="I171">
            <v>0</v>
          </cell>
          <cell r="J171">
            <v>128</v>
          </cell>
          <cell r="K171">
            <v>128</v>
          </cell>
          <cell r="L171">
            <v>130</v>
          </cell>
          <cell r="M171">
            <v>530</v>
          </cell>
        </row>
        <row r="172">
          <cell r="A172" t="str">
            <v>W82001</v>
          </cell>
          <cell r="B172" t="str">
            <v>KIPP Believe</v>
          </cell>
          <cell r="C172"/>
          <cell r="D172">
            <v>674</v>
          </cell>
          <cell r="E172"/>
          <cell r="F172">
            <v>84</v>
          </cell>
          <cell r="G172">
            <v>77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161</v>
          </cell>
        </row>
        <row r="173">
          <cell r="A173" t="str">
            <v>W81001</v>
          </cell>
          <cell r="B173" t="str">
            <v>KIPP Morial</v>
          </cell>
          <cell r="C173"/>
          <cell r="D173">
            <v>955</v>
          </cell>
          <cell r="E173"/>
          <cell r="F173">
            <v>110</v>
          </cell>
          <cell r="G173">
            <v>110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220</v>
          </cell>
        </row>
        <row r="174">
          <cell r="A174" t="str">
            <v>WL1001</v>
          </cell>
          <cell r="B174" t="str">
            <v>KIPP Central City</v>
          </cell>
          <cell r="C174"/>
          <cell r="D174">
            <v>960</v>
          </cell>
          <cell r="E174"/>
          <cell r="F174">
            <v>107</v>
          </cell>
          <cell r="G174">
            <v>102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209</v>
          </cell>
        </row>
        <row r="175">
          <cell r="A175" t="str">
            <v>W84001</v>
          </cell>
          <cell r="B175" t="str">
            <v>KIPP Renaissance</v>
          </cell>
          <cell r="C175"/>
          <cell r="D175">
            <v>571</v>
          </cell>
          <cell r="E175"/>
          <cell r="F175">
            <v>0</v>
          </cell>
          <cell r="G175">
            <v>0</v>
          </cell>
          <cell r="H175">
            <v>153</v>
          </cell>
          <cell r="I175">
            <v>19</v>
          </cell>
          <cell r="J175">
            <v>150</v>
          </cell>
          <cell r="K175">
            <v>131</v>
          </cell>
          <cell r="L175">
            <v>118</v>
          </cell>
          <cell r="M175">
            <v>571</v>
          </cell>
        </row>
        <row r="176">
          <cell r="A176" t="str">
            <v>W85001</v>
          </cell>
          <cell r="B176" t="str">
            <v>KIPP Leadership</v>
          </cell>
          <cell r="C176"/>
          <cell r="D176">
            <v>918</v>
          </cell>
          <cell r="E176"/>
          <cell r="F176">
            <v>108</v>
          </cell>
          <cell r="G176">
            <v>102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210</v>
          </cell>
        </row>
        <row r="177">
          <cell r="A177" t="str">
            <v>W86001</v>
          </cell>
          <cell r="B177" t="str">
            <v>KIPP East Community</v>
          </cell>
          <cell r="C177"/>
          <cell r="D177">
            <v>475</v>
          </cell>
          <cell r="E177"/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W87001</v>
          </cell>
          <cell r="B178" t="str">
            <v>KIPP Booker T Washington</v>
          </cell>
          <cell r="C178"/>
          <cell r="D178">
            <v>383</v>
          </cell>
          <cell r="E178"/>
          <cell r="F178">
            <v>0</v>
          </cell>
          <cell r="G178">
            <v>0</v>
          </cell>
          <cell r="H178">
            <v>123</v>
          </cell>
          <cell r="I178">
            <v>17</v>
          </cell>
          <cell r="J178">
            <v>120</v>
          </cell>
          <cell r="K178">
            <v>123</v>
          </cell>
          <cell r="L178">
            <v>0</v>
          </cell>
          <cell r="M178">
            <v>383</v>
          </cell>
        </row>
        <row r="179">
          <cell r="A179" t="str">
            <v>W91001</v>
          </cell>
          <cell r="B179" t="str">
            <v>Samuel J. Green Charter School</v>
          </cell>
          <cell r="C179"/>
          <cell r="D179">
            <v>487</v>
          </cell>
          <cell r="E179"/>
          <cell r="F179">
            <v>61</v>
          </cell>
          <cell r="G179">
            <v>63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124</v>
          </cell>
        </row>
        <row r="180">
          <cell r="A180" t="str">
            <v>W92001</v>
          </cell>
          <cell r="B180" t="str">
            <v>Arthur Ashe Charter School</v>
          </cell>
          <cell r="C180"/>
          <cell r="D180">
            <v>830</v>
          </cell>
          <cell r="E180"/>
          <cell r="F180">
            <v>92</v>
          </cell>
          <cell r="G180">
            <v>94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186</v>
          </cell>
        </row>
        <row r="181">
          <cell r="A181" t="str">
            <v>W93001</v>
          </cell>
          <cell r="B181" t="str">
            <v>Joseph S. Clark Preparatory High School</v>
          </cell>
          <cell r="C181"/>
          <cell r="D181">
            <v>43</v>
          </cell>
          <cell r="E181"/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</v>
          </cell>
          <cell r="L181">
            <v>42</v>
          </cell>
          <cell r="M181">
            <v>43</v>
          </cell>
        </row>
        <row r="182">
          <cell r="A182" t="str">
            <v>W94001</v>
          </cell>
          <cell r="B182" t="str">
            <v>Phillis Wheatley Community School</v>
          </cell>
          <cell r="C182"/>
          <cell r="D182">
            <v>797</v>
          </cell>
          <cell r="E182"/>
          <cell r="F182">
            <v>89</v>
          </cell>
          <cell r="G182">
            <v>88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177</v>
          </cell>
        </row>
        <row r="183">
          <cell r="A183" t="str">
            <v>W95001</v>
          </cell>
          <cell r="B183" t="str">
            <v>Langston Hughes Charter Academy</v>
          </cell>
          <cell r="C183"/>
          <cell r="D183">
            <v>760</v>
          </cell>
          <cell r="E183"/>
          <cell r="F183">
            <v>88</v>
          </cell>
          <cell r="G183">
            <v>89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177</v>
          </cell>
        </row>
        <row r="184">
          <cell r="A184" t="str">
            <v>WBS001</v>
          </cell>
          <cell r="B184" t="str">
            <v>FirstLine Live Oak</v>
          </cell>
          <cell r="C184"/>
          <cell r="D184">
            <v>438</v>
          </cell>
          <cell r="E184"/>
          <cell r="F184">
            <v>60</v>
          </cell>
          <cell r="G184">
            <v>56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116</v>
          </cell>
        </row>
        <row r="185">
          <cell r="A185" t="str">
            <v>W5A001</v>
          </cell>
          <cell r="B185" t="str">
            <v>Mary D. Coghill Charter School</v>
          </cell>
          <cell r="C185"/>
          <cell r="D185">
            <v>597</v>
          </cell>
          <cell r="E185"/>
          <cell r="F185">
            <v>78</v>
          </cell>
          <cell r="G185">
            <v>65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143</v>
          </cell>
        </row>
        <row r="186">
          <cell r="A186" t="str">
            <v>W31001</v>
          </cell>
          <cell r="B186" t="str">
            <v>Dr. Martin Luther King Charter School for Sci Tech</v>
          </cell>
          <cell r="C186"/>
          <cell r="D186">
            <v>938</v>
          </cell>
          <cell r="E186"/>
          <cell r="F186">
            <v>57</v>
          </cell>
          <cell r="G186">
            <v>54</v>
          </cell>
          <cell r="H186">
            <v>67</v>
          </cell>
          <cell r="I186">
            <v>0</v>
          </cell>
          <cell r="J186">
            <v>105</v>
          </cell>
          <cell r="K186">
            <v>129</v>
          </cell>
          <cell r="L186">
            <v>100</v>
          </cell>
          <cell r="M186">
            <v>512</v>
          </cell>
        </row>
        <row r="187">
          <cell r="A187" t="str">
            <v>W32001</v>
          </cell>
          <cell r="B187" t="str">
            <v>Joseph A. Craig Charter School</v>
          </cell>
          <cell r="C187"/>
          <cell r="D187">
            <v>338</v>
          </cell>
          <cell r="E187"/>
          <cell r="F187">
            <v>42</v>
          </cell>
          <cell r="G187">
            <v>38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80</v>
          </cell>
        </row>
        <row r="188">
          <cell r="A188" t="str">
            <v>WAZ001</v>
          </cell>
          <cell r="B188" t="str">
            <v>Audubon Charter School</v>
          </cell>
          <cell r="C188"/>
          <cell r="D188">
            <v>808</v>
          </cell>
          <cell r="E188"/>
          <cell r="F188">
            <v>91</v>
          </cell>
          <cell r="G188">
            <v>63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154</v>
          </cell>
        </row>
        <row r="189">
          <cell r="A189" t="str">
            <v>WBA001</v>
          </cell>
          <cell r="B189" t="str">
            <v>Einstein Charter School at Village De L'Est</v>
          </cell>
          <cell r="C189"/>
          <cell r="D189">
            <v>427</v>
          </cell>
          <cell r="E189"/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 t="str">
            <v>WBB001</v>
          </cell>
          <cell r="B190" t="str">
            <v>Benjamin Franklin High School</v>
          </cell>
          <cell r="C190"/>
          <cell r="D190">
            <v>980</v>
          </cell>
          <cell r="E190"/>
          <cell r="F190">
            <v>0</v>
          </cell>
          <cell r="G190">
            <v>0</v>
          </cell>
          <cell r="H190">
            <v>233</v>
          </cell>
          <cell r="I190">
            <v>0</v>
          </cell>
          <cell r="J190">
            <v>272</v>
          </cell>
          <cell r="K190">
            <v>253</v>
          </cell>
          <cell r="L190">
            <v>222</v>
          </cell>
          <cell r="M190">
            <v>980</v>
          </cell>
        </row>
        <row r="191">
          <cell r="A191" t="str">
            <v>WBC001</v>
          </cell>
          <cell r="B191" t="str">
            <v>Alice M Harte Elementary Charter School</v>
          </cell>
          <cell r="C191"/>
          <cell r="D191">
            <v>745</v>
          </cell>
          <cell r="E191"/>
          <cell r="F191">
            <v>84</v>
          </cell>
          <cell r="G191">
            <v>84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168</v>
          </cell>
        </row>
        <row r="192">
          <cell r="A192" t="str">
            <v>WBD001</v>
          </cell>
          <cell r="B192" t="str">
            <v>Edna Karr High School</v>
          </cell>
          <cell r="C192"/>
          <cell r="D192">
            <v>1066</v>
          </cell>
          <cell r="E192"/>
          <cell r="F192">
            <v>0</v>
          </cell>
          <cell r="G192">
            <v>0</v>
          </cell>
          <cell r="H192">
            <v>265</v>
          </cell>
          <cell r="I192">
            <v>0</v>
          </cell>
          <cell r="J192">
            <v>265</v>
          </cell>
          <cell r="K192">
            <v>268</v>
          </cell>
          <cell r="L192">
            <v>268</v>
          </cell>
          <cell r="M192">
            <v>1066</v>
          </cell>
        </row>
        <row r="193">
          <cell r="A193" t="str">
            <v>WBE001</v>
          </cell>
          <cell r="B193" t="str">
            <v>Lusher Charter School</v>
          </cell>
          <cell r="C193"/>
          <cell r="D193">
            <v>1806</v>
          </cell>
          <cell r="E193"/>
          <cell r="F193">
            <v>155</v>
          </cell>
          <cell r="G193">
            <v>188</v>
          </cell>
          <cell r="H193">
            <v>173</v>
          </cell>
          <cell r="I193">
            <v>0</v>
          </cell>
          <cell r="J193">
            <v>177</v>
          </cell>
          <cell r="K193">
            <v>153</v>
          </cell>
          <cell r="L193">
            <v>147</v>
          </cell>
          <cell r="M193">
            <v>993</v>
          </cell>
        </row>
        <row r="194">
          <cell r="A194" t="str">
            <v>WBF001</v>
          </cell>
          <cell r="B194" t="str">
            <v>Eleanor McMain Secondary School</v>
          </cell>
          <cell r="C194"/>
          <cell r="D194">
            <v>837</v>
          </cell>
          <cell r="E194"/>
          <cell r="F194">
            <v>0</v>
          </cell>
          <cell r="G194">
            <v>0</v>
          </cell>
          <cell r="H194">
            <v>248</v>
          </cell>
          <cell r="I194">
            <v>0</v>
          </cell>
          <cell r="J194">
            <v>226</v>
          </cell>
          <cell r="K194">
            <v>195</v>
          </cell>
          <cell r="L194">
            <v>168</v>
          </cell>
          <cell r="M194">
            <v>837</v>
          </cell>
        </row>
        <row r="195">
          <cell r="A195" t="str">
            <v>WBG001</v>
          </cell>
          <cell r="B195" t="str">
            <v>Robert Russa Moton Charter School</v>
          </cell>
          <cell r="C195"/>
          <cell r="D195">
            <v>412</v>
          </cell>
          <cell r="E195"/>
          <cell r="F195">
            <v>47</v>
          </cell>
          <cell r="G195">
            <v>37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84</v>
          </cell>
        </row>
        <row r="196">
          <cell r="A196" t="str">
            <v>WBH001</v>
          </cell>
          <cell r="B196" t="str">
            <v>Lake Forest Elementary Charter School</v>
          </cell>
          <cell r="C196"/>
          <cell r="D196">
            <v>643</v>
          </cell>
          <cell r="E196"/>
          <cell r="F196">
            <v>75</v>
          </cell>
          <cell r="G196">
            <v>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136</v>
          </cell>
        </row>
        <row r="197">
          <cell r="A197" t="str">
            <v>WBI001</v>
          </cell>
          <cell r="B197" t="str">
            <v>New Orleans Charter Science and Mathematics HS</v>
          </cell>
          <cell r="C197"/>
          <cell r="D197">
            <v>486</v>
          </cell>
          <cell r="E197"/>
          <cell r="F197">
            <v>0</v>
          </cell>
          <cell r="G197">
            <v>0</v>
          </cell>
          <cell r="H197">
            <v>125</v>
          </cell>
          <cell r="I197">
            <v>10</v>
          </cell>
          <cell r="J197">
            <v>120</v>
          </cell>
          <cell r="K197">
            <v>113</v>
          </cell>
          <cell r="L197">
            <v>118</v>
          </cell>
          <cell r="M197">
            <v>486</v>
          </cell>
        </row>
        <row r="198">
          <cell r="A198" t="str">
            <v>WBJ001</v>
          </cell>
          <cell r="B198" t="str">
            <v>ENCORE Academy</v>
          </cell>
          <cell r="C198"/>
          <cell r="D198">
            <v>568</v>
          </cell>
          <cell r="E198"/>
          <cell r="F198">
            <v>55</v>
          </cell>
          <cell r="G198">
            <v>56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111</v>
          </cell>
        </row>
        <row r="199">
          <cell r="A199" t="str">
            <v>WBK001</v>
          </cell>
          <cell r="B199" t="str">
            <v>Bricolage Academy</v>
          </cell>
          <cell r="C199"/>
          <cell r="D199">
            <v>563</v>
          </cell>
          <cell r="E199"/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 t="str">
            <v>WBL001</v>
          </cell>
          <cell r="B200" t="str">
            <v>Wilson Charter School</v>
          </cell>
          <cell r="C200"/>
          <cell r="D200">
            <v>677</v>
          </cell>
          <cell r="E200"/>
          <cell r="F200">
            <v>75</v>
          </cell>
          <cell r="G200">
            <v>76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151</v>
          </cell>
        </row>
        <row r="201">
          <cell r="A201" t="str">
            <v>WBM001</v>
          </cell>
          <cell r="B201" t="str">
            <v>Einstein Charter High School at Sarah Towles Reed</v>
          </cell>
          <cell r="C201"/>
          <cell r="D201">
            <v>272</v>
          </cell>
          <cell r="E201"/>
          <cell r="F201">
            <v>0</v>
          </cell>
          <cell r="G201">
            <v>0</v>
          </cell>
          <cell r="H201">
            <v>95</v>
          </cell>
          <cell r="I201">
            <v>13</v>
          </cell>
          <cell r="J201">
            <v>83</v>
          </cell>
          <cell r="K201">
            <v>81</v>
          </cell>
          <cell r="L201">
            <v>0</v>
          </cell>
          <cell r="M201">
            <v>272</v>
          </cell>
        </row>
        <row r="202">
          <cell r="A202" t="str">
            <v>WBN001</v>
          </cell>
          <cell r="B202" t="str">
            <v>Einstein Charter Middle Sch at Sarah Towles Reed</v>
          </cell>
          <cell r="C202"/>
          <cell r="D202">
            <v>399</v>
          </cell>
          <cell r="E202"/>
          <cell r="F202">
            <v>132</v>
          </cell>
          <cell r="G202">
            <v>124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256</v>
          </cell>
        </row>
        <row r="203">
          <cell r="A203" t="str">
            <v>WBO001</v>
          </cell>
          <cell r="B203" t="str">
            <v>Einstein Charter at Sherwood Forest</v>
          </cell>
          <cell r="C203"/>
          <cell r="D203">
            <v>439</v>
          </cell>
          <cell r="E203"/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 t="str">
            <v>WBP001</v>
          </cell>
          <cell r="B204" t="str">
            <v>McDonogh 42 Charter School</v>
          </cell>
          <cell r="C204"/>
          <cell r="D204">
            <v>408</v>
          </cell>
          <cell r="E204"/>
          <cell r="F204">
            <v>47</v>
          </cell>
          <cell r="G204">
            <v>42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89</v>
          </cell>
        </row>
        <row r="205">
          <cell r="A205" t="str">
            <v>WBT001</v>
          </cell>
          <cell r="B205" t="str">
            <v>Audubon Charter School - Gentilly</v>
          </cell>
          <cell r="C205"/>
          <cell r="D205">
            <v>129</v>
          </cell>
          <cell r="E205"/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 t="str">
            <v>WBU001</v>
          </cell>
          <cell r="B206" t="str">
            <v>Rosenwald Collegiate Academy</v>
          </cell>
          <cell r="C206"/>
          <cell r="D206">
            <v>160</v>
          </cell>
          <cell r="E206"/>
          <cell r="F206">
            <v>0</v>
          </cell>
          <cell r="G206">
            <v>0</v>
          </cell>
          <cell r="H206">
            <v>141</v>
          </cell>
          <cell r="I206">
            <v>19</v>
          </cell>
          <cell r="J206">
            <v>0</v>
          </cell>
          <cell r="K206">
            <v>0</v>
          </cell>
          <cell r="L206">
            <v>0</v>
          </cell>
          <cell r="M206">
            <v>160</v>
          </cell>
        </row>
        <row r="207">
          <cell r="A207" t="str">
            <v>WBV001</v>
          </cell>
          <cell r="B207" t="str">
            <v>Dwight D. Eisenhower Charter School</v>
          </cell>
          <cell r="C207"/>
          <cell r="D207">
            <v>654</v>
          </cell>
          <cell r="E207"/>
          <cell r="F207">
            <v>76</v>
          </cell>
          <cell r="G207">
            <v>77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153</v>
          </cell>
        </row>
        <row r="208">
          <cell r="A208">
            <v>36</v>
          </cell>
          <cell r="B208" t="str">
            <v>Orleans Direct Run</v>
          </cell>
          <cell r="C208"/>
          <cell r="D208">
            <v>4889</v>
          </cell>
          <cell r="E208"/>
          <cell r="F208">
            <v>247</v>
          </cell>
          <cell r="G208">
            <v>221</v>
          </cell>
          <cell r="H208">
            <v>327</v>
          </cell>
          <cell r="I208">
            <v>15</v>
          </cell>
          <cell r="J208">
            <v>466</v>
          </cell>
          <cell r="K208">
            <v>364</v>
          </cell>
          <cell r="L208">
            <v>456</v>
          </cell>
          <cell r="M208">
            <v>2096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2_MER"/>
      <sheetName val="Total by School System_MER"/>
      <sheetName val="Total by Site_MER"/>
      <sheetName val="Total by School System"/>
      <sheetName val="Total by Site"/>
    </sheetNames>
    <sheetDataSet>
      <sheetData sheetId="0">
        <row r="7">
          <cell r="B7">
            <v>1</v>
          </cell>
          <cell r="C7" t="str">
            <v>Acadia Parish</v>
          </cell>
          <cell r="D7">
            <v>699</v>
          </cell>
          <cell r="E7">
            <v>101</v>
          </cell>
          <cell r="F7">
            <v>677</v>
          </cell>
          <cell r="G7">
            <v>544</v>
          </cell>
          <cell r="H7">
            <v>625</v>
          </cell>
          <cell r="I7">
            <v>2646</v>
          </cell>
        </row>
        <row r="8">
          <cell r="B8">
            <v>2</v>
          </cell>
          <cell r="C8" t="str">
            <v>Allen Parish</v>
          </cell>
          <cell r="D8">
            <v>278</v>
          </cell>
          <cell r="E8">
            <v>29</v>
          </cell>
          <cell r="F8">
            <v>269</v>
          </cell>
          <cell r="G8">
            <v>277</v>
          </cell>
          <cell r="H8">
            <v>268</v>
          </cell>
          <cell r="I8">
            <v>1121</v>
          </cell>
        </row>
        <row r="9">
          <cell r="B9">
            <v>3</v>
          </cell>
          <cell r="C9" t="str">
            <v>Ascension Parish</v>
          </cell>
          <cell r="D9">
            <v>1719</v>
          </cell>
          <cell r="E9">
            <v>120</v>
          </cell>
          <cell r="F9">
            <v>1783</v>
          </cell>
          <cell r="G9">
            <v>1723</v>
          </cell>
          <cell r="H9">
            <v>1459</v>
          </cell>
          <cell r="I9">
            <v>6804</v>
          </cell>
        </row>
        <row r="10">
          <cell r="B10">
            <v>4</v>
          </cell>
          <cell r="C10" t="str">
            <v>Assumption Parish</v>
          </cell>
          <cell r="D10">
            <v>220</v>
          </cell>
          <cell r="E10">
            <v>51</v>
          </cell>
          <cell r="F10">
            <v>240</v>
          </cell>
          <cell r="G10">
            <v>210</v>
          </cell>
          <cell r="H10">
            <v>234</v>
          </cell>
          <cell r="I10">
            <v>955</v>
          </cell>
        </row>
        <row r="11">
          <cell r="B11">
            <v>5</v>
          </cell>
          <cell r="C11" t="str">
            <v>Avoyelles Parish</v>
          </cell>
          <cell r="D11">
            <v>448</v>
          </cell>
          <cell r="E11">
            <v>45</v>
          </cell>
          <cell r="F11">
            <v>436</v>
          </cell>
          <cell r="G11">
            <v>329</v>
          </cell>
          <cell r="H11">
            <v>295</v>
          </cell>
          <cell r="I11">
            <v>1553</v>
          </cell>
        </row>
        <row r="12">
          <cell r="B12">
            <v>6</v>
          </cell>
          <cell r="C12" t="str">
            <v>Beauregard Parish</v>
          </cell>
          <cell r="D12">
            <v>453</v>
          </cell>
          <cell r="E12">
            <v>8</v>
          </cell>
          <cell r="F12">
            <v>409</v>
          </cell>
          <cell r="G12">
            <v>415</v>
          </cell>
          <cell r="H12">
            <v>358</v>
          </cell>
          <cell r="I12">
            <v>1643</v>
          </cell>
        </row>
        <row r="13">
          <cell r="B13">
            <v>7</v>
          </cell>
          <cell r="C13" t="str">
            <v>Bienville Parish</v>
          </cell>
          <cell r="D13">
            <v>141</v>
          </cell>
          <cell r="E13">
            <v>0</v>
          </cell>
          <cell r="F13">
            <v>175</v>
          </cell>
          <cell r="G13">
            <v>140</v>
          </cell>
          <cell r="H13">
            <v>139</v>
          </cell>
          <cell r="I13">
            <v>595</v>
          </cell>
        </row>
        <row r="14">
          <cell r="B14">
            <v>8</v>
          </cell>
          <cell r="C14" t="str">
            <v>Bossier Parish</v>
          </cell>
          <cell r="D14">
            <v>1689</v>
          </cell>
          <cell r="E14">
            <v>200</v>
          </cell>
          <cell r="F14">
            <v>1612</v>
          </cell>
          <cell r="G14">
            <v>1519</v>
          </cell>
          <cell r="H14">
            <v>1501</v>
          </cell>
          <cell r="I14">
            <v>6521</v>
          </cell>
        </row>
        <row r="15">
          <cell r="B15">
            <v>9</v>
          </cell>
          <cell r="C15" t="str">
            <v>Caddo Parish</v>
          </cell>
          <cell r="D15">
            <v>2598</v>
          </cell>
          <cell r="E15">
            <v>558</v>
          </cell>
          <cell r="F15">
            <v>2802</v>
          </cell>
          <cell r="G15">
            <v>2666</v>
          </cell>
          <cell r="H15">
            <v>2624</v>
          </cell>
          <cell r="I15">
            <v>11248</v>
          </cell>
        </row>
        <row r="16">
          <cell r="B16">
            <v>10</v>
          </cell>
          <cell r="C16" t="str">
            <v>Calcasieu Parish</v>
          </cell>
          <cell r="D16">
            <v>2218</v>
          </cell>
          <cell r="E16">
            <v>384</v>
          </cell>
          <cell r="F16">
            <v>2274</v>
          </cell>
          <cell r="G16">
            <v>2133</v>
          </cell>
          <cell r="H16">
            <v>1933</v>
          </cell>
          <cell r="I16">
            <v>8942</v>
          </cell>
        </row>
        <row r="17">
          <cell r="B17">
            <v>11</v>
          </cell>
          <cell r="C17" t="str">
            <v>Caldwell Parish</v>
          </cell>
          <cell r="D17">
            <v>120</v>
          </cell>
          <cell r="E17">
            <v>12</v>
          </cell>
          <cell r="F17">
            <v>114</v>
          </cell>
          <cell r="G17">
            <v>98</v>
          </cell>
          <cell r="H17">
            <v>97</v>
          </cell>
          <cell r="I17">
            <v>441</v>
          </cell>
        </row>
        <row r="18">
          <cell r="B18">
            <v>12</v>
          </cell>
          <cell r="C18" t="str">
            <v>Cameron Parish</v>
          </cell>
          <cell r="D18">
            <v>72</v>
          </cell>
          <cell r="E18">
            <v>15</v>
          </cell>
          <cell r="F18">
            <v>98</v>
          </cell>
          <cell r="G18">
            <v>94</v>
          </cell>
          <cell r="H18">
            <v>82</v>
          </cell>
          <cell r="I18">
            <v>361</v>
          </cell>
        </row>
        <row r="19">
          <cell r="B19">
            <v>13</v>
          </cell>
          <cell r="C19" t="str">
            <v>Catahoula Parish</v>
          </cell>
          <cell r="D19">
            <v>103</v>
          </cell>
          <cell r="E19">
            <v>0</v>
          </cell>
          <cell r="F19">
            <v>73</v>
          </cell>
          <cell r="G19">
            <v>74</v>
          </cell>
          <cell r="H19">
            <v>66</v>
          </cell>
          <cell r="I19">
            <v>316</v>
          </cell>
        </row>
        <row r="20">
          <cell r="B20">
            <v>14</v>
          </cell>
          <cell r="C20" t="str">
            <v>Claiborne Parish</v>
          </cell>
          <cell r="D20">
            <v>113</v>
          </cell>
          <cell r="E20">
            <v>0</v>
          </cell>
          <cell r="F20">
            <v>106</v>
          </cell>
          <cell r="G20">
            <v>90</v>
          </cell>
          <cell r="H20">
            <v>108</v>
          </cell>
          <cell r="I20">
            <v>417</v>
          </cell>
        </row>
        <row r="21">
          <cell r="B21">
            <v>15</v>
          </cell>
          <cell r="C21" t="str">
            <v>Concordia Parish</v>
          </cell>
          <cell r="D21">
            <v>252</v>
          </cell>
          <cell r="E21">
            <v>0</v>
          </cell>
          <cell r="F21">
            <v>226</v>
          </cell>
          <cell r="G21">
            <v>228</v>
          </cell>
          <cell r="H21">
            <v>210</v>
          </cell>
          <cell r="I21">
            <v>916</v>
          </cell>
        </row>
        <row r="22">
          <cell r="B22">
            <v>16</v>
          </cell>
          <cell r="C22" t="str">
            <v>DeSoto Parish</v>
          </cell>
          <cell r="D22">
            <v>369</v>
          </cell>
          <cell r="E22">
            <v>6</v>
          </cell>
          <cell r="F22">
            <v>376</v>
          </cell>
          <cell r="G22">
            <v>317</v>
          </cell>
          <cell r="H22">
            <v>319</v>
          </cell>
          <cell r="I22">
            <v>1387</v>
          </cell>
        </row>
        <row r="23">
          <cell r="B23">
            <v>17</v>
          </cell>
          <cell r="C23" t="str">
            <v>East Baton Rouge Parish</v>
          </cell>
          <cell r="D23">
            <v>2887</v>
          </cell>
          <cell r="E23">
            <v>75</v>
          </cell>
          <cell r="F23">
            <v>2909</v>
          </cell>
          <cell r="G23">
            <v>2447</v>
          </cell>
          <cell r="H23">
            <v>2644</v>
          </cell>
          <cell r="I23">
            <v>10962</v>
          </cell>
        </row>
        <row r="24">
          <cell r="B24">
            <v>18</v>
          </cell>
          <cell r="C24" t="str">
            <v>East Carroll Parish</v>
          </cell>
          <cell r="D24">
            <v>54</v>
          </cell>
          <cell r="E24">
            <v>29</v>
          </cell>
          <cell r="F24">
            <v>79</v>
          </cell>
          <cell r="G24">
            <v>53</v>
          </cell>
          <cell r="H24">
            <v>70</v>
          </cell>
          <cell r="I24">
            <v>285</v>
          </cell>
        </row>
        <row r="25">
          <cell r="B25">
            <v>19</v>
          </cell>
          <cell r="C25" t="str">
            <v>East Feliciana Parish</v>
          </cell>
          <cell r="D25">
            <v>127</v>
          </cell>
          <cell r="E25">
            <v>38</v>
          </cell>
          <cell r="F25">
            <v>117</v>
          </cell>
          <cell r="G25">
            <v>120</v>
          </cell>
          <cell r="H25">
            <v>121</v>
          </cell>
          <cell r="I25">
            <v>523</v>
          </cell>
        </row>
        <row r="26">
          <cell r="B26">
            <v>20</v>
          </cell>
          <cell r="C26" t="str">
            <v>Evangeline Parish</v>
          </cell>
          <cell r="D26">
            <v>361</v>
          </cell>
          <cell r="E26">
            <v>77</v>
          </cell>
          <cell r="F26">
            <v>409</v>
          </cell>
          <cell r="G26">
            <v>353</v>
          </cell>
          <cell r="H26">
            <v>303</v>
          </cell>
          <cell r="I26">
            <v>1503</v>
          </cell>
        </row>
        <row r="27">
          <cell r="B27">
            <v>21</v>
          </cell>
          <cell r="C27" t="str">
            <v>Franklin Parish</v>
          </cell>
          <cell r="D27">
            <v>246</v>
          </cell>
          <cell r="E27">
            <v>0</v>
          </cell>
          <cell r="F27">
            <v>207</v>
          </cell>
          <cell r="G27">
            <v>151</v>
          </cell>
          <cell r="H27">
            <v>182</v>
          </cell>
          <cell r="I27">
            <v>786</v>
          </cell>
        </row>
        <row r="28">
          <cell r="B28">
            <v>22</v>
          </cell>
          <cell r="C28" t="str">
            <v>Grant Parish</v>
          </cell>
          <cell r="D28">
            <v>202</v>
          </cell>
          <cell r="E28">
            <v>43</v>
          </cell>
          <cell r="F28">
            <v>198</v>
          </cell>
          <cell r="G28">
            <v>208</v>
          </cell>
          <cell r="H28">
            <v>151</v>
          </cell>
          <cell r="I28">
            <v>802</v>
          </cell>
        </row>
        <row r="29">
          <cell r="B29">
            <v>23</v>
          </cell>
          <cell r="C29" t="str">
            <v>Iberia Parish</v>
          </cell>
          <cell r="D29">
            <v>781</v>
          </cell>
          <cell r="E29">
            <v>150</v>
          </cell>
          <cell r="F29">
            <v>883</v>
          </cell>
          <cell r="G29">
            <v>806</v>
          </cell>
          <cell r="H29">
            <v>785</v>
          </cell>
          <cell r="I29">
            <v>3405</v>
          </cell>
        </row>
        <row r="30">
          <cell r="B30">
            <v>24</v>
          </cell>
          <cell r="C30" t="str">
            <v>Iberville Parish</v>
          </cell>
          <cell r="D30">
            <v>359</v>
          </cell>
          <cell r="E30">
            <v>117</v>
          </cell>
          <cell r="F30">
            <v>234</v>
          </cell>
          <cell r="G30">
            <v>279</v>
          </cell>
          <cell r="H30">
            <v>260</v>
          </cell>
          <cell r="I30">
            <v>1249</v>
          </cell>
        </row>
        <row r="31">
          <cell r="B31">
            <v>25</v>
          </cell>
          <cell r="C31" t="str">
            <v>Jackson Parish</v>
          </cell>
          <cell r="D31">
            <v>176</v>
          </cell>
          <cell r="E31">
            <v>0</v>
          </cell>
          <cell r="F31">
            <v>156</v>
          </cell>
          <cell r="G31">
            <v>164</v>
          </cell>
          <cell r="H31">
            <v>153</v>
          </cell>
          <cell r="I31">
            <v>649</v>
          </cell>
        </row>
        <row r="32">
          <cell r="B32">
            <v>26</v>
          </cell>
          <cell r="C32" t="str">
            <v>Jefferson Parish</v>
          </cell>
          <cell r="D32">
            <v>2948</v>
          </cell>
          <cell r="E32">
            <v>1160</v>
          </cell>
          <cell r="F32">
            <v>3304</v>
          </cell>
          <cell r="G32">
            <v>3071</v>
          </cell>
          <cell r="H32">
            <v>2830</v>
          </cell>
          <cell r="I32">
            <v>13313</v>
          </cell>
        </row>
        <row r="33">
          <cell r="B33">
            <v>27</v>
          </cell>
          <cell r="C33" t="str">
            <v>Jefferson Davis Parish</v>
          </cell>
          <cell r="D33">
            <v>432</v>
          </cell>
          <cell r="E33">
            <v>0</v>
          </cell>
          <cell r="F33">
            <v>428</v>
          </cell>
          <cell r="G33">
            <v>403</v>
          </cell>
          <cell r="H33">
            <v>373</v>
          </cell>
          <cell r="I33">
            <v>1636</v>
          </cell>
        </row>
        <row r="34">
          <cell r="B34">
            <v>28</v>
          </cell>
          <cell r="C34" t="str">
            <v>Lafayette Parish</v>
          </cell>
          <cell r="D34">
            <v>2168</v>
          </cell>
          <cell r="E34">
            <v>670</v>
          </cell>
          <cell r="F34">
            <v>2539</v>
          </cell>
          <cell r="G34">
            <v>2127</v>
          </cell>
          <cell r="H34">
            <v>1942</v>
          </cell>
          <cell r="I34">
            <v>9446</v>
          </cell>
        </row>
        <row r="35">
          <cell r="B35">
            <v>29</v>
          </cell>
          <cell r="C35" t="str">
            <v>Lafourche Parish</v>
          </cell>
          <cell r="D35">
            <v>973</v>
          </cell>
          <cell r="E35">
            <v>183</v>
          </cell>
          <cell r="F35">
            <v>1126</v>
          </cell>
          <cell r="G35">
            <v>875</v>
          </cell>
          <cell r="H35">
            <v>882</v>
          </cell>
          <cell r="I35">
            <v>4039</v>
          </cell>
        </row>
        <row r="36">
          <cell r="B36">
            <v>30</v>
          </cell>
          <cell r="C36" t="str">
            <v>LaSalle Parish</v>
          </cell>
          <cell r="D36">
            <v>201</v>
          </cell>
          <cell r="E36">
            <v>0</v>
          </cell>
          <cell r="F36">
            <v>179</v>
          </cell>
          <cell r="G36">
            <v>180</v>
          </cell>
          <cell r="H36">
            <v>178</v>
          </cell>
          <cell r="I36">
            <v>738</v>
          </cell>
        </row>
        <row r="37">
          <cell r="B37">
            <v>31</v>
          </cell>
          <cell r="C37" t="str">
            <v>Lincoln Parish</v>
          </cell>
          <cell r="D37">
            <v>410</v>
          </cell>
          <cell r="E37">
            <v>96</v>
          </cell>
          <cell r="F37">
            <v>386</v>
          </cell>
          <cell r="G37">
            <v>405</v>
          </cell>
          <cell r="H37">
            <v>394</v>
          </cell>
          <cell r="I37">
            <v>1691</v>
          </cell>
        </row>
        <row r="38">
          <cell r="B38">
            <v>32</v>
          </cell>
          <cell r="C38" t="str">
            <v>Livingston Parish</v>
          </cell>
          <cell r="D38">
            <v>1992</v>
          </cell>
          <cell r="E38">
            <v>61</v>
          </cell>
          <cell r="F38">
            <v>1906</v>
          </cell>
          <cell r="G38">
            <v>1658</v>
          </cell>
          <cell r="H38">
            <v>1571</v>
          </cell>
          <cell r="I38">
            <v>7188</v>
          </cell>
        </row>
        <row r="39">
          <cell r="B39">
            <v>33</v>
          </cell>
          <cell r="C39" t="str">
            <v>Madison Parish</v>
          </cell>
          <cell r="D39">
            <v>127</v>
          </cell>
          <cell r="E39">
            <v>2</v>
          </cell>
          <cell r="F39">
            <v>100</v>
          </cell>
          <cell r="G39">
            <v>80</v>
          </cell>
          <cell r="H39">
            <v>82</v>
          </cell>
          <cell r="I39">
            <v>391</v>
          </cell>
        </row>
        <row r="40">
          <cell r="B40">
            <v>34</v>
          </cell>
          <cell r="C40" t="str">
            <v>Morehouse Parish</v>
          </cell>
          <cell r="D40">
            <v>240</v>
          </cell>
          <cell r="E40">
            <v>31</v>
          </cell>
          <cell r="F40">
            <v>283</v>
          </cell>
          <cell r="G40">
            <v>213</v>
          </cell>
          <cell r="H40">
            <v>275</v>
          </cell>
          <cell r="I40">
            <v>1042</v>
          </cell>
        </row>
        <row r="41">
          <cell r="B41">
            <v>35</v>
          </cell>
          <cell r="C41" t="str">
            <v>Natchitoches Parish</v>
          </cell>
          <cell r="D41">
            <v>498</v>
          </cell>
          <cell r="E41">
            <v>2</v>
          </cell>
          <cell r="F41">
            <v>430</v>
          </cell>
          <cell r="G41">
            <v>393</v>
          </cell>
          <cell r="H41">
            <v>406</v>
          </cell>
          <cell r="I41">
            <v>1729</v>
          </cell>
        </row>
        <row r="42">
          <cell r="B42">
            <v>37</v>
          </cell>
          <cell r="C42" t="str">
            <v>Ouachita Parish</v>
          </cell>
          <cell r="D42">
            <v>1361</v>
          </cell>
          <cell r="E42">
            <v>210</v>
          </cell>
          <cell r="F42">
            <v>1389</v>
          </cell>
          <cell r="G42">
            <v>1238</v>
          </cell>
          <cell r="H42">
            <v>1220</v>
          </cell>
          <cell r="I42">
            <v>5418</v>
          </cell>
        </row>
        <row r="43">
          <cell r="B43">
            <v>38</v>
          </cell>
          <cell r="C43" t="str">
            <v>Plaquemines Parish</v>
          </cell>
          <cell r="D43">
            <v>326</v>
          </cell>
          <cell r="E43">
            <v>14</v>
          </cell>
          <cell r="F43">
            <v>333</v>
          </cell>
          <cell r="G43">
            <v>321</v>
          </cell>
          <cell r="H43">
            <v>292</v>
          </cell>
          <cell r="I43">
            <v>1286</v>
          </cell>
        </row>
        <row r="44">
          <cell r="B44">
            <v>39</v>
          </cell>
          <cell r="C44" t="str">
            <v>Pointe Coupee Parish</v>
          </cell>
          <cell r="D44">
            <v>191</v>
          </cell>
          <cell r="E44">
            <v>12</v>
          </cell>
          <cell r="F44">
            <v>194</v>
          </cell>
          <cell r="G44">
            <v>154</v>
          </cell>
          <cell r="H44">
            <v>167</v>
          </cell>
          <cell r="I44">
            <v>718</v>
          </cell>
        </row>
        <row r="45">
          <cell r="B45">
            <v>40</v>
          </cell>
          <cell r="C45" t="str">
            <v>Rapides Parish</v>
          </cell>
          <cell r="D45">
            <v>1489</v>
          </cell>
          <cell r="E45">
            <v>352</v>
          </cell>
          <cell r="F45">
            <v>1808</v>
          </cell>
          <cell r="G45">
            <v>1561</v>
          </cell>
          <cell r="H45">
            <v>1434</v>
          </cell>
          <cell r="I45">
            <v>6644</v>
          </cell>
        </row>
        <row r="46">
          <cell r="B46">
            <v>41</v>
          </cell>
          <cell r="C46" t="str">
            <v>Red River Parish</v>
          </cell>
          <cell r="D46">
            <v>123</v>
          </cell>
          <cell r="E46">
            <v>0</v>
          </cell>
          <cell r="F46">
            <v>110</v>
          </cell>
          <cell r="G46">
            <v>98</v>
          </cell>
          <cell r="H46">
            <v>78</v>
          </cell>
          <cell r="I46">
            <v>409</v>
          </cell>
        </row>
        <row r="47">
          <cell r="B47">
            <v>42</v>
          </cell>
          <cell r="C47" t="str">
            <v>Richland Parish</v>
          </cell>
          <cell r="D47">
            <v>237</v>
          </cell>
          <cell r="E47">
            <v>0</v>
          </cell>
          <cell r="F47">
            <v>187</v>
          </cell>
          <cell r="G47">
            <v>178</v>
          </cell>
          <cell r="H47">
            <v>186</v>
          </cell>
          <cell r="I47">
            <v>788</v>
          </cell>
        </row>
        <row r="48">
          <cell r="B48">
            <v>43</v>
          </cell>
          <cell r="C48" t="str">
            <v>Sabine Parish</v>
          </cell>
          <cell r="D48">
            <v>321</v>
          </cell>
          <cell r="E48">
            <v>0</v>
          </cell>
          <cell r="F48">
            <v>340</v>
          </cell>
          <cell r="G48">
            <v>286</v>
          </cell>
          <cell r="H48">
            <v>234</v>
          </cell>
          <cell r="I48">
            <v>1181</v>
          </cell>
        </row>
        <row r="49">
          <cell r="B49">
            <v>44</v>
          </cell>
          <cell r="C49" t="str">
            <v>St. Bernard Parish</v>
          </cell>
          <cell r="D49">
            <v>470</v>
          </cell>
          <cell r="E49">
            <v>72</v>
          </cell>
          <cell r="F49">
            <v>583</v>
          </cell>
          <cell r="G49">
            <v>487</v>
          </cell>
          <cell r="H49">
            <v>477</v>
          </cell>
          <cell r="I49">
            <v>2089</v>
          </cell>
        </row>
        <row r="50">
          <cell r="B50">
            <v>45</v>
          </cell>
          <cell r="C50" t="str">
            <v>St. Charles Parish</v>
          </cell>
          <cell r="D50">
            <v>726</v>
          </cell>
          <cell r="E50">
            <v>65</v>
          </cell>
          <cell r="F50">
            <v>730</v>
          </cell>
          <cell r="G50">
            <v>642</v>
          </cell>
          <cell r="H50">
            <v>646</v>
          </cell>
          <cell r="I50">
            <v>2809</v>
          </cell>
        </row>
        <row r="51">
          <cell r="B51">
            <v>46</v>
          </cell>
          <cell r="C51" t="str">
            <v>St. Helena Parish</v>
          </cell>
          <cell r="D51">
            <v>80</v>
          </cell>
          <cell r="E51">
            <v>0</v>
          </cell>
          <cell r="F51">
            <v>103</v>
          </cell>
          <cell r="G51">
            <v>86</v>
          </cell>
          <cell r="H51">
            <v>71</v>
          </cell>
          <cell r="I51">
            <v>340</v>
          </cell>
        </row>
        <row r="52">
          <cell r="B52">
            <v>47</v>
          </cell>
          <cell r="C52" t="str">
            <v>St. James Parish</v>
          </cell>
          <cell r="D52">
            <v>297</v>
          </cell>
          <cell r="E52">
            <v>28</v>
          </cell>
          <cell r="F52">
            <v>234</v>
          </cell>
          <cell r="G52">
            <v>264</v>
          </cell>
          <cell r="H52">
            <v>265</v>
          </cell>
          <cell r="I52">
            <v>1088</v>
          </cell>
        </row>
        <row r="53">
          <cell r="B53">
            <v>48</v>
          </cell>
          <cell r="C53" t="str">
            <v>St. John the Baptist Parish</v>
          </cell>
          <cell r="D53">
            <v>455</v>
          </cell>
          <cell r="E53">
            <v>34</v>
          </cell>
          <cell r="F53">
            <v>436</v>
          </cell>
          <cell r="G53">
            <v>407</v>
          </cell>
          <cell r="H53">
            <v>322</v>
          </cell>
          <cell r="I53">
            <v>1654</v>
          </cell>
        </row>
        <row r="54">
          <cell r="B54">
            <v>49</v>
          </cell>
          <cell r="C54" t="str">
            <v>St. Landry Parish</v>
          </cell>
          <cell r="D54">
            <v>812</v>
          </cell>
          <cell r="E54">
            <v>270</v>
          </cell>
          <cell r="F54">
            <v>945</v>
          </cell>
          <cell r="G54">
            <v>772</v>
          </cell>
          <cell r="H54">
            <v>752</v>
          </cell>
          <cell r="I54">
            <v>3551</v>
          </cell>
        </row>
        <row r="55">
          <cell r="B55">
            <v>50</v>
          </cell>
          <cell r="C55" t="str">
            <v>St. Martin Parish</v>
          </cell>
          <cell r="D55">
            <v>526</v>
          </cell>
          <cell r="E55">
            <v>62</v>
          </cell>
          <cell r="F55">
            <v>549</v>
          </cell>
          <cell r="G55">
            <v>471</v>
          </cell>
          <cell r="H55">
            <v>498</v>
          </cell>
          <cell r="I55">
            <v>2106</v>
          </cell>
        </row>
        <row r="56">
          <cell r="B56">
            <v>51</v>
          </cell>
          <cell r="C56" t="str">
            <v>St. Mary Parish</v>
          </cell>
          <cell r="D56">
            <v>611</v>
          </cell>
          <cell r="E56">
            <v>105</v>
          </cell>
          <cell r="F56">
            <v>607</v>
          </cell>
          <cell r="G56">
            <v>583</v>
          </cell>
          <cell r="H56">
            <v>619</v>
          </cell>
          <cell r="I56">
            <v>2525</v>
          </cell>
        </row>
        <row r="57">
          <cell r="B57">
            <v>52</v>
          </cell>
          <cell r="C57" t="str">
            <v>St. Tammany Parish</v>
          </cell>
          <cell r="D57">
            <v>3018</v>
          </cell>
          <cell r="E57">
            <v>91</v>
          </cell>
          <cell r="F57">
            <v>2795</v>
          </cell>
          <cell r="G57">
            <v>2642</v>
          </cell>
          <cell r="H57">
            <v>2567</v>
          </cell>
          <cell r="I57">
            <v>11113</v>
          </cell>
        </row>
        <row r="58">
          <cell r="B58">
            <v>53</v>
          </cell>
          <cell r="C58" t="str">
            <v>Tangipahoa Parish</v>
          </cell>
          <cell r="D58">
            <v>1576</v>
          </cell>
          <cell r="E58">
            <v>71</v>
          </cell>
          <cell r="F58">
            <v>1485</v>
          </cell>
          <cell r="G58">
            <v>1208</v>
          </cell>
          <cell r="H58">
            <v>1220</v>
          </cell>
          <cell r="I58">
            <v>5560</v>
          </cell>
        </row>
        <row r="59">
          <cell r="B59">
            <v>54</v>
          </cell>
          <cell r="C59" t="str">
            <v>Tensas Parish</v>
          </cell>
          <cell r="D59">
            <v>28</v>
          </cell>
          <cell r="E59">
            <v>0</v>
          </cell>
          <cell r="F59">
            <v>41</v>
          </cell>
          <cell r="G59">
            <v>28</v>
          </cell>
          <cell r="H59">
            <v>37</v>
          </cell>
          <cell r="I59">
            <v>134</v>
          </cell>
        </row>
        <row r="60">
          <cell r="B60">
            <v>55</v>
          </cell>
          <cell r="C60" t="str">
            <v>Terrebonne Parish</v>
          </cell>
          <cell r="D60">
            <v>1142</v>
          </cell>
          <cell r="E60">
            <v>178</v>
          </cell>
          <cell r="F60">
            <v>1184</v>
          </cell>
          <cell r="G60">
            <v>1159</v>
          </cell>
          <cell r="H60">
            <v>1014</v>
          </cell>
          <cell r="I60">
            <v>4677</v>
          </cell>
        </row>
        <row r="61">
          <cell r="B61">
            <v>56</v>
          </cell>
          <cell r="C61" t="str">
            <v>Union Parish</v>
          </cell>
          <cell r="D61">
            <v>147</v>
          </cell>
          <cell r="E61">
            <v>29</v>
          </cell>
          <cell r="F61">
            <v>130</v>
          </cell>
          <cell r="G61">
            <v>159</v>
          </cell>
          <cell r="H61">
            <v>140</v>
          </cell>
          <cell r="I61">
            <v>605</v>
          </cell>
        </row>
        <row r="62">
          <cell r="B62">
            <v>57</v>
          </cell>
          <cell r="C62" t="str">
            <v>Vermilion Parish</v>
          </cell>
          <cell r="D62">
            <v>703</v>
          </cell>
          <cell r="E62">
            <v>44</v>
          </cell>
          <cell r="F62">
            <v>656</v>
          </cell>
          <cell r="G62">
            <v>596</v>
          </cell>
          <cell r="H62">
            <v>557</v>
          </cell>
          <cell r="I62">
            <v>2556</v>
          </cell>
        </row>
        <row r="63">
          <cell r="B63">
            <v>58</v>
          </cell>
          <cell r="C63" t="str">
            <v>Vernon Parish</v>
          </cell>
          <cell r="D63">
            <v>537</v>
          </cell>
          <cell r="E63">
            <v>34</v>
          </cell>
          <cell r="F63">
            <v>528</v>
          </cell>
          <cell r="G63">
            <v>497</v>
          </cell>
          <cell r="H63">
            <v>438</v>
          </cell>
          <cell r="I63">
            <v>2034</v>
          </cell>
        </row>
        <row r="64">
          <cell r="B64">
            <v>59</v>
          </cell>
          <cell r="C64" t="str">
            <v>Washington Parish</v>
          </cell>
          <cell r="D64">
            <v>317</v>
          </cell>
          <cell r="E64">
            <v>116</v>
          </cell>
          <cell r="F64">
            <v>385</v>
          </cell>
          <cell r="G64">
            <v>403</v>
          </cell>
          <cell r="H64">
            <v>347</v>
          </cell>
          <cell r="I64">
            <v>1568</v>
          </cell>
        </row>
        <row r="65">
          <cell r="B65">
            <v>60</v>
          </cell>
          <cell r="C65" t="str">
            <v>Webster Parish</v>
          </cell>
          <cell r="D65">
            <v>451</v>
          </cell>
          <cell r="E65">
            <v>5</v>
          </cell>
          <cell r="F65">
            <v>458</v>
          </cell>
          <cell r="G65">
            <v>401</v>
          </cell>
          <cell r="H65">
            <v>417</v>
          </cell>
          <cell r="I65">
            <v>1732</v>
          </cell>
        </row>
        <row r="66">
          <cell r="B66">
            <v>61</v>
          </cell>
          <cell r="C66" t="str">
            <v>West Baton Rouge Parish</v>
          </cell>
          <cell r="D66">
            <v>272</v>
          </cell>
          <cell r="E66">
            <v>23</v>
          </cell>
          <cell r="F66">
            <v>276</v>
          </cell>
          <cell r="G66">
            <v>230</v>
          </cell>
          <cell r="H66">
            <v>212</v>
          </cell>
          <cell r="I66">
            <v>1013</v>
          </cell>
        </row>
        <row r="67">
          <cell r="B67">
            <v>62</v>
          </cell>
          <cell r="C67" t="str">
            <v>West Carroll Parish</v>
          </cell>
          <cell r="D67">
            <v>149</v>
          </cell>
          <cell r="E67">
            <v>0</v>
          </cell>
          <cell r="F67">
            <v>139</v>
          </cell>
          <cell r="G67">
            <v>136</v>
          </cell>
          <cell r="H67">
            <v>128</v>
          </cell>
          <cell r="I67">
            <v>552</v>
          </cell>
        </row>
        <row r="68">
          <cell r="B68">
            <v>63</v>
          </cell>
          <cell r="C68" t="str">
            <v>West Feliciana Parish</v>
          </cell>
          <cell r="D68">
            <v>177</v>
          </cell>
          <cell r="E68">
            <v>16</v>
          </cell>
          <cell r="F68">
            <v>164</v>
          </cell>
          <cell r="G68">
            <v>150</v>
          </cell>
          <cell r="H68">
            <v>143</v>
          </cell>
          <cell r="I68">
            <v>650</v>
          </cell>
        </row>
        <row r="69">
          <cell r="B69">
            <v>64</v>
          </cell>
          <cell r="C69" t="str">
            <v>Winn Parish</v>
          </cell>
          <cell r="D69">
            <v>157</v>
          </cell>
          <cell r="E69">
            <v>30</v>
          </cell>
          <cell r="F69">
            <v>154</v>
          </cell>
          <cell r="G69">
            <v>149</v>
          </cell>
          <cell r="H69">
            <v>138</v>
          </cell>
          <cell r="I69">
            <v>628</v>
          </cell>
        </row>
        <row r="70">
          <cell r="B70">
            <v>65</v>
          </cell>
          <cell r="C70" t="str">
            <v>City of Monroe School District</v>
          </cell>
          <cell r="D70">
            <v>633</v>
          </cell>
          <cell r="E70">
            <v>37</v>
          </cell>
          <cell r="F70">
            <v>521</v>
          </cell>
          <cell r="G70">
            <v>508</v>
          </cell>
          <cell r="H70">
            <v>504</v>
          </cell>
          <cell r="I70">
            <v>2203</v>
          </cell>
        </row>
        <row r="71">
          <cell r="B71">
            <v>66</v>
          </cell>
          <cell r="C71" t="str">
            <v>City of Bogalusa School District</v>
          </cell>
          <cell r="D71">
            <v>126</v>
          </cell>
          <cell r="E71">
            <v>5</v>
          </cell>
          <cell r="F71">
            <v>104</v>
          </cell>
          <cell r="G71">
            <v>114</v>
          </cell>
          <cell r="H71">
            <v>107</v>
          </cell>
          <cell r="I71">
            <v>456</v>
          </cell>
        </row>
        <row r="72">
          <cell r="B72">
            <v>67</v>
          </cell>
          <cell r="C72" t="str">
            <v>Zachary Community School District</v>
          </cell>
          <cell r="D72">
            <v>389</v>
          </cell>
          <cell r="E72">
            <v>39</v>
          </cell>
          <cell r="F72">
            <v>380</v>
          </cell>
          <cell r="G72">
            <v>386</v>
          </cell>
          <cell r="H72">
            <v>387</v>
          </cell>
          <cell r="I72">
            <v>1581</v>
          </cell>
        </row>
        <row r="73">
          <cell r="B73">
            <v>68</v>
          </cell>
          <cell r="C73" t="str">
            <v>City of Baker School District</v>
          </cell>
          <cell r="D73">
            <v>94</v>
          </cell>
          <cell r="E73">
            <v>31</v>
          </cell>
          <cell r="F73">
            <v>126</v>
          </cell>
          <cell r="G73">
            <v>121</v>
          </cell>
          <cell r="H73">
            <v>98</v>
          </cell>
          <cell r="I73">
            <v>470</v>
          </cell>
        </row>
        <row r="74">
          <cell r="B74">
            <v>69</v>
          </cell>
          <cell r="C74" t="str">
            <v>Central Community School District</v>
          </cell>
          <cell r="D74">
            <v>330</v>
          </cell>
          <cell r="E74">
            <v>51</v>
          </cell>
          <cell r="F74">
            <v>350</v>
          </cell>
          <cell r="G74">
            <v>377</v>
          </cell>
          <cell r="H74">
            <v>310</v>
          </cell>
          <cell r="I74">
            <v>1418</v>
          </cell>
        </row>
        <row r="75">
          <cell r="B75">
            <v>319001</v>
          </cell>
          <cell r="C75" t="str">
            <v>Southern University Lab School</v>
          </cell>
          <cell r="D75">
            <v>56</v>
          </cell>
          <cell r="E75">
            <v>5</v>
          </cell>
          <cell r="F75">
            <v>62</v>
          </cell>
          <cell r="G75">
            <v>84</v>
          </cell>
          <cell r="H75">
            <v>58</v>
          </cell>
          <cell r="I75">
            <v>265</v>
          </cell>
        </row>
        <row r="76">
          <cell r="B76" t="str">
            <v>A02</v>
          </cell>
          <cell r="C76" t="str">
            <v>Office of Juvenile Justice</v>
          </cell>
          <cell r="D76">
            <v>45</v>
          </cell>
          <cell r="E76">
            <v>9</v>
          </cell>
          <cell r="F76">
            <v>54</v>
          </cell>
          <cell r="G76">
            <v>23</v>
          </cell>
          <cell r="H76">
            <v>26</v>
          </cell>
          <cell r="I76">
            <v>157</v>
          </cell>
        </row>
        <row r="77">
          <cell r="B77">
            <v>302006</v>
          </cell>
          <cell r="C77" t="str">
            <v>Louisiana School for Math Science &amp; the Arts</v>
          </cell>
          <cell r="D77">
            <v>0</v>
          </cell>
          <cell r="E77">
            <v>0</v>
          </cell>
          <cell r="F77">
            <v>86</v>
          </cell>
          <cell r="G77">
            <v>154</v>
          </cell>
          <cell r="H77">
            <v>118</v>
          </cell>
          <cell r="I77">
            <v>358</v>
          </cell>
        </row>
        <row r="78">
          <cell r="B78">
            <v>318001</v>
          </cell>
          <cell r="C78" t="str">
            <v>LSU Laboratory School</v>
          </cell>
          <cell r="D78">
            <v>107</v>
          </cell>
          <cell r="E78">
            <v>0</v>
          </cell>
          <cell r="F78">
            <v>115</v>
          </cell>
          <cell r="G78">
            <v>115</v>
          </cell>
          <cell r="H78">
            <v>112</v>
          </cell>
          <cell r="I78">
            <v>449</v>
          </cell>
        </row>
        <row r="79">
          <cell r="B79">
            <v>334001</v>
          </cell>
          <cell r="C79" t="str">
            <v>New Orleans Center for Creative Arts</v>
          </cell>
          <cell r="D79">
            <v>64</v>
          </cell>
          <cell r="E79">
            <v>0</v>
          </cell>
          <cell r="F79">
            <v>57</v>
          </cell>
          <cell r="G79">
            <v>60</v>
          </cell>
          <cell r="H79">
            <v>53</v>
          </cell>
          <cell r="I79">
            <v>234</v>
          </cell>
        </row>
        <row r="80">
          <cell r="B80" t="str">
            <v>3C1001</v>
          </cell>
          <cell r="C80" t="str">
            <v>Thrive Academy</v>
          </cell>
          <cell r="D80">
            <v>31</v>
          </cell>
          <cell r="E80">
            <v>0</v>
          </cell>
          <cell r="F80">
            <v>24</v>
          </cell>
          <cell r="G80">
            <v>27</v>
          </cell>
          <cell r="H80">
            <v>21</v>
          </cell>
          <cell r="I80">
            <v>103</v>
          </cell>
        </row>
        <row r="81">
          <cell r="B81">
            <v>321001</v>
          </cell>
          <cell r="C81" t="str">
            <v>New Vision Learning Academy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B82">
            <v>329001</v>
          </cell>
          <cell r="C82" t="str">
            <v>V. B. Glencoe Charter School</v>
          </cell>
          <cell r="D82">
            <v>10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</v>
          </cell>
        </row>
        <row r="83">
          <cell r="B83">
            <v>331001</v>
          </cell>
          <cell r="C83" t="str">
            <v>International School of Louisiana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</row>
        <row r="84">
          <cell r="B84">
            <v>333001</v>
          </cell>
          <cell r="C84" t="str">
            <v>Avoyelles Public Charter School</v>
          </cell>
          <cell r="D84">
            <v>61</v>
          </cell>
          <cell r="E84">
            <v>0</v>
          </cell>
          <cell r="F84">
            <v>59</v>
          </cell>
          <cell r="G84">
            <v>62</v>
          </cell>
          <cell r="H84">
            <v>53</v>
          </cell>
          <cell r="I84">
            <v>235</v>
          </cell>
        </row>
        <row r="85">
          <cell r="B85">
            <v>336001</v>
          </cell>
          <cell r="C85" t="str">
            <v>Delhi Charter School</v>
          </cell>
          <cell r="D85">
            <v>65</v>
          </cell>
          <cell r="E85">
            <v>0</v>
          </cell>
          <cell r="F85">
            <v>62</v>
          </cell>
          <cell r="G85">
            <v>66</v>
          </cell>
          <cell r="H85">
            <v>69</v>
          </cell>
          <cell r="I85">
            <v>262</v>
          </cell>
        </row>
        <row r="86">
          <cell r="B86">
            <v>337001</v>
          </cell>
          <cell r="C86" t="str">
            <v>Belle Chasse Academy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B87">
            <v>340001</v>
          </cell>
          <cell r="C87" t="str">
            <v>The MAX Charter School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B88">
            <v>341001</v>
          </cell>
          <cell r="C88" t="str">
            <v>D'Arbonne Woods Charter School</v>
          </cell>
          <cell r="D88">
            <v>68</v>
          </cell>
          <cell r="E88">
            <v>7</v>
          </cell>
          <cell r="F88">
            <v>81</v>
          </cell>
          <cell r="G88">
            <v>58</v>
          </cell>
          <cell r="H88">
            <v>54</v>
          </cell>
          <cell r="I88">
            <v>268</v>
          </cell>
        </row>
        <row r="89">
          <cell r="B89">
            <v>343001</v>
          </cell>
          <cell r="C89" t="str">
            <v>Madison Preparatory Academy</v>
          </cell>
          <cell r="D89">
            <v>159</v>
          </cell>
          <cell r="E89">
            <v>0</v>
          </cell>
          <cell r="F89">
            <v>155</v>
          </cell>
          <cell r="G89">
            <v>138</v>
          </cell>
          <cell r="H89">
            <v>118</v>
          </cell>
          <cell r="I89">
            <v>570</v>
          </cell>
        </row>
        <row r="90">
          <cell r="B90">
            <v>344001</v>
          </cell>
          <cell r="C90" t="str">
            <v>International High School of New Orleans</v>
          </cell>
          <cell r="D90">
            <v>133</v>
          </cell>
          <cell r="E90">
            <v>2</v>
          </cell>
          <cell r="F90">
            <v>99</v>
          </cell>
          <cell r="G90">
            <v>93</v>
          </cell>
          <cell r="H90">
            <v>129</v>
          </cell>
          <cell r="I90">
            <v>456</v>
          </cell>
        </row>
        <row r="91">
          <cell r="B91">
            <v>345001</v>
          </cell>
          <cell r="C91" t="str">
            <v>University View Academy, Inc. (FRM LA Connections)</v>
          </cell>
          <cell r="D91">
            <v>423</v>
          </cell>
          <cell r="E91">
            <v>36</v>
          </cell>
          <cell r="F91">
            <v>349</v>
          </cell>
          <cell r="G91">
            <v>369</v>
          </cell>
          <cell r="H91">
            <v>337</v>
          </cell>
          <cell r="I91">
            <v>1514</v>
          </cell>
        </row>
        <row r="92">
          <cell r="B92">
            <v>346001</v>
          </cell>
          <cell r="C92" t="str">
            <v>Lake Charles Charter Academy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B93">
            <v>347001</v>
          </cell>
          <cell r="C93" t="str">
            <v>Lycee Francais de la Nouvelle-Orleans</v>
          </cell>
          <cell r="D93">
            <v>16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16</v>
          </cell>
        </row>
        <row r="94">
          <cell r="B94">
            <v>348001</v>
          </cell>
          <cell r="C94" t="str">
            <v>New Orleans Military &amp; Maritime Academy</v>
          </cell>
          <cell r="D94">
            <v>205</v>
          </cell>
          <cell r="E94">
            <v>20</v>
          </cell>
          <cell r="F94">
            <v>197</v>
          </cell>
          <cell r="G94">
            <v>178</v>
          </cell>
          <cell r="H94">
            <v>172</v>
          </cell>
          <cell r="I94">
            <v>772</v>
          </cell>
        </row>
        <row r="95">
          <cell r="B95" t="str">
            <v>W18001</v>
          </cell>
          <cell r="C95" t="str">
            <v>Noble Minds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W1A001</v>
          </cell>
          <cell r="C96" t="str">
            <v>JCFA-East</v>
          </cell>
          <cell r="D96">
            <v>76</v>
          </cell>
          <cell r="E96">
            <v>4</v>
          </cell>
          <cell r="F96">
            <v>55</v>
          </cell>
          <cell r="G96">
            <v>57</v>
          </cell>
          <cell r="H96">
            <v>35</v>
          </cell>
          <cell r="I96">
            <v>227</v>
          </cell>
        </row>
        <row r="97">
          <cell r="B97" t="str">
            <v>W1B001</v>
          </cell>
          <cell r="C97" t="str">
            <v>Advantage Charter Academy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W1D001</v>
          </cell>
          <cell r="C98" t="str">
            <v>JCFA Lafayette</v>
          </cell>
          <cell r="D98">
            <v>26</v>
          </cell>
          <cell r="E98">
            <v>1</v>
          </cell>
          <cell r="F98">
            <v>24</v>
          </cell>
          <cell r="G98">
            <v>15</v>
          </cell>
          <cell r="H98">
            <v>2</v>
          </cell>
          <cell r="I98">
            <v>68</v>
          </cell>
        </row>
        <row r="99">
          <cell r="B99" t="str">
            <v>W2B001</v>
          </cell>
          <cell r="C99" t="str">
            <v>Willow Charter Academy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W33001</v>
          </cell>
          <cell r="C100" t="str">
            <v>Lincoln Preparatory School</v>
          </cell>
          <cell r="D100">
            <v>50</v>
          </cell>
          <cell r="E100">
            <v>0</v>
          </cell>
          <cell r="F100">
            <v>47</v>
          </cell>
          <cell r="G100">
            <v>37</v>
          </cell>
          <cell r="H100">
            <v>33</v>
          </cell>
          <cell r="I100">
            <v>167</v>
          </cell>
        </row>
        <row r="101">
          <cell r="B101" t="str">
            <v>W37001</v>
          </cell>
          <cell r="C101" t="str">
            <v>Greater Grace Charter Academy Inc.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W3B001</v>
          </cell>
          <cell r="C102" t="str">
            <v>Iberville Charter Academy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W4A001</v>
          </cell>
          <cell r="C103" t="str">
            <v>Delta Charter School MST</v>
          </cell>
          <cell r="D103">
            <v>39</v>
          </cell>
          <cell r="E103">
            <v>0</v>
          </cell>
          <cell r="F103">
            <v>28</v>
          </cell>
          <cell r="G103">
            <v>29</v>
          </cell>
          <cell r="H103">
            <v>44</v>
          </cell>
          <cell r="I103">
            <v>140</v>
          </cell>
        </row>
        <row r="104">
          <cell r="B104" t="str">
            <v>W4B001</v>
          </cell>
          <cell r="C104" t="str">
            <v>Lake Charles College Prep</v>
          </cell>
          <cell r="D104">
            <v>139</v>
          </cell>
          <cell r="E104">
            <v>6</v>
          </cell>
          <cell r="F104">
            <v>136</v>
          </cell>
          <cell r="G104">
            <v>124</v>
          </cell>
          <cell r="H104">
            <v>100</v>
          </cell>
          <cell r="I104">
            <v>505</v>
          </cell>
        </row>
        <row r="105">
          <cell r="B105" t="str">
            <v>W5B001</v>
          </cell>
          <cell r="C105" t="str">
            <v>Northeast Claiborne Charter</v>
          </cell>
          <cell r="D105">
            <v>17</v>
          </cell>
          <cell r="E105">
            <v>0</v>
          </cell>
          <cell r="F105">
            <v>9</v>
          </cell>
          <cell r="G105">
            <v>11</v>
          </cell>
          <cell r="H105">
            <v>11</v>
          </cell>
          <cell r="I105">
            <v>48</v>
          </cell>
        </row>
        <row r="106">
          <cell r="B106" t="str">
            <v>W6B001</v>
          </cell>
          <cell r="C106" t="str">
            <v>Acadiana Renaissance Charter Academy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W7A001</v>
          </cell>
          <cell r="C107" t="str">
            <v>Louisiana Key Academy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W7B001</v>
          </cell>
          <cell r="C108" t="str">
            <v>Lafayette Renaissance Charter Academy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W8A001</v>
          </cell>
          <cell r="C109" t="str">
            <v>Impact Charter School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WAG001</v>
          </cell>
          <cell r="C110" t="str">
            <v>Louisiana Virtual Charter Academy</v>
          </cell>
          <cell r="D110">
            <v>212</v>
          </cell>
          <cell r="E110">
            <v>6</v>
          </cell>
          <cell r="F110">
            <v>236</v>
          </cell>
          <cell r="G110">
            <v>112</v>
          </cell>
          <cell r="H110">
            <v>104</v>
          </cell>
          <cell r="I110">
            <v>670</v>
          </cell>
        </row>
        <row r="111">
          <cell r="B111" t="str">
            <v>WAK001</v>
          </cell>
          <cell r="C111" t="str">
            <v>Southwest Louisiana Charter Academy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 t="str">
            <v>WAL001</v>
          </cell>
          <cell r="C112" t="str">
            <v>JS Clark Leadership Academy</v>
          </cell>
          <cell r="D112">
            <v>24</v>
          </cell>
          <cell r="E112">
            <v>0</v>
          </cell>
          <cell r="F112">
            <v>26</v>
          </cell>
          <cell r="G112">
            <v>34</v>
          </cell>
          <cell r="H112">
            <v>36</v>
          </cell>
          <cell r="I112">
            <v>120</v>
          </cell>
        </row>
        <row r="113">
          <cell r="B113" t="str">
            <v>WAQ001</v>
          </cell>
          <cell r="C113" t="str">
            <v>Baton Rouge University Preparatory Elementary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WAU001</v>
          </cell>
          <cell r="C114" t="str">
            <v>GEO Prep Academy of Greater Baton Rouge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WBQ001</v>
          </cell>
          <cell r="C115" t="str">
            <v>New Harmony High Institute</v>
          </cell>
          <cell r="D115">
            <v>52</v>
          </cell>
          <cell r="E115">
            <v>4</v>
          </cell>
          <cell r="F115">
            <v>46</v>
          </cell>
          <cell r="G115">
            <v>0</v>
          </cell>
          <cell r="H115">
            <v>0</v>
          </cell>
          <cell r="I115">
            <v>102</v>
          </cell>
        </row>
        <row r="116">
          <cell r="B116" t="str">
            <v>WBR001</v>
          </cell>
          <cell r="C116" t="str">
            <v>Athlos Academy of Jefferson Parish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WBX001</v>
          </cell>
          <cell r="C117" t="str">
            <v>GEO Next Generation High School</v>
          </cell>
          <cell r="D117">
            <v>91</v>
          </cell>
          <cell r="E117">
            <v>5</v>
          </cell>
          <cell r="F117">
            <v>0</v>
          </cell>
          <cell r="G117">
            <v>0</v>
          </cell>
          <cell r="H117">
            <v>0</v>
          </cell>
          <cell r="I117">
            <v>96</v>
          </cell>
        </row>
        <row r="118">
          <cell r="B118" t="str">
            <v>WBY001</v>
          </cell>
          <cell r="C118" t="str">
            <v>Red River Charter Academy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WJ5001</v>
          </cell>
          <cell r="C119" t="str">
            <v>Collegiate Baton Rouge</v>
          </cell>
          <cell r="D119">
            <v>139</v>
          </cell>
          <cell r="E119">
            <v>0</v>
          </cell>
          <cell r="F119">
            <v>158</v>
          </cell>
          <cell r="G119">
            <v>122</v>
          </cell>
          <cell r="H119">
            <v>0</v>
          </cell>
          <cell r="I119">
            <v>419</v>
          </cell>
        </row>
        <row r="120">
          <cell r="B120" t="str">
            <v>WZ8001</v>
          </cell>
          <cell r="C120" t="str">
            <v>GEO Prep Mid-City of Greater Baton Rouge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>
            <v>36</v>
          </cell>
          <cell r="C121" t="str">
            <v>Orleans Parish</v>
          </cell>
          <cell r="D121">
            <v>333</v>
          </cell>
          <cell r="E121">
            <v>5</v>
          </cell>
          <cell r="F121">
            <v>335</v>
          </cell>
          <cell r="G121">
            <v>434</v>
          </cell>
          <cell r="H121">
            <v>353</v>
          </cell>
          <cell r="I121">
            <v>1460</v>
          </cell>
        </row>
        <row r="122">
          <cell r="B122" t="str">
            <v>W12001</v>
          </cell>
          <cell r="C122" t="str">
            <v>Pierre A. Capdau Charter School at Avery Alexander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W13001</v>
          </cell>
          <cell r="C123" t="str">
            <v>John F. Kennedy High School</v>
          </cell>
          <cell r="D123">
            <v>205</v>
          </cell>
          <cell r="E123">
            <v>5</v>
          </cell>
          <cell r="F123">
            <v>164</v>
          </cell>
          <cell r="G123">
            <v>105</v>
          </cell>
          <cell r="H123">
            <v>150</v>
          </cell>
          <cell r="I123">
            <v>629</v>
          </cell>
        </row>
        <row r="124">
          <cell r="B124" t="str">
            <v>WAH001</v>
          </cell>
          <cell r="C124" t="str">
            <v>The NET Charter High School</v>
          </cell>
          <cell r="D124">
            <v>34</v>
          </cell>
          <cell r="E124">
            <v>4</v>
          </cell>
          <cell r="F124">
            <v>24</v>
          </cell>
          <cell r="G124">
            <v>34</v>
          </cell>
          <cell r="H124">
            <v>50</v>
          </cell>
          <cell r="I124">
            <v>146</v>
          </cell>
        </row>
        <row r="125">
          <cell r="B125" t="str">
            <v>WZ9001</v>
          </cell>
          <cell r="C125" t="str">
            <v>The NET 2 Charter High School</v>
          </cell>
          <cell r="D125">
            <v>44</v>
          </cell>
          <cell r="E125">
            <v>1</v>
          </cell>
          <cell r="F125">
            <v>37</v>
          </cell>
          <cell r="G125">
            <v>43</v>
          </cell>
          <cell r="H125">
            <v>47</v>
          </cell>
          <cell r="I125">
            <v>172</v>
          </cell>
        </row>
        <row r="126">
          <cell r="B126" t="str">
            <v>WAF001</v>
          </cell>
          <cell r="C126" t="str">
            <v>Harriet Tubman Charter School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WAM001</v>
          </cell>
          <cell r="C127" t="str">
            <v>Paul Habans Charter School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WAE001</v>
          </cell>
          <cell r="C128" t="str">
            <v>Fannie C. Williams Charter School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WAA001</v>
          </cell>
          <cell r="C129" t="str">
            <v>Morris Jeff Community School</v>
          </cell>
          <cell r="D129">
            <v>85</v>
          </cell>
          <cell r="E129">
            <v>53</v>
          </cell>
          <cell r="F129">
            <v>117</v>
          </cell>
          <cell r="G129">
            <v>96</v>
          </cell>
          <cell r="H129">
            <v>0</v>
          </cell>
          <cell r="I129">
            <v>351</v>
          </cell>
        </row>
        <row r="130">
          <cell r="B130" t="str">
            <v>WZ2001</v>
          </cell>
          <cell r="C130" t="str">
            <v>ReNEW SciTech Academy at Laurel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B131" t="str">
            <v>WZ3001</v>
          </cell>
          <cell r="C131" t="str">
            <v>ReNEW Dolores T. Aaron Elementary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B132" t="str">
            <v>WZ5001</v>
          </cell>
          <cell r="C132" t="str">
            <v>ReNEW Accelerated High School</v>
          </cell>
          <cell r="D132">
            <v>27</v>
          </cell>
          <cell r="E132">
            <v>0</v>
          </cell>
          <cell r="F132">
            <v>40</v>
          </cell>
          <cell r="G132">
            <v>67</v>
          </cell>
          <cell r="H132">
            <v>90</v>
          </cell>
          <cell r="I132">
            <v>224</v>
          </cell>
        </row>
        <row r="133">
          <cell r="B133" t="str">
            <v>WZ6001</v>
          </cell>
          <cell r="C133" t="str">
            <v>ReNEW Schaumburg Elementary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WV1001</v>
          </cell>
          <cell r="C134" t="str">
            <v>Arise Academy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WV2001</v>
          </cell>
          <cell r="C135" t="str">
            <v>Mildred Osborne Charter School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WU1001</v>
          </cell>
          <cell r="C136" t="str">
            <v>Success Preparatory Academy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WI1001</v>
          </cell>
          <cell r="C137" t="str">
            <v>Akili Academy of New Orleans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WJ1001</v>
          </cell>
          <cell r="C138" t="str">
            <v>Abramson Sci Academy</v>
          </cell>
          <cell r="D138">
            <v>159</v>
          </cell>
          <cell r="E138">
            <v>15</v>
          </cell>
          <cell r="F138">
            <v>150</v>
          </cell>
          <cell r="G138">
            <v>141</v>
          </cell>
          <cell r="H138">
            <v>140</v>
          </cell>
          <cell r="I138">
            <v>605</v>
          </cell>
        </row>
        <row r="139">
          <cell r="B139" t="str">
            <v>WJ2001</v>
          </cell>
          <cell r="C139" t="str">
            <v>G W Carver High School</v>
          </cell>
          <cell r="D139">
            <v>186</v>
          </cell>
          <cell r="E139">
            <v>27</v>
          </cell>
          <cell r="F139">
            <v>202</v>
          </cell>
          <cell r="G139">
            <v>198</v>
          </cell>
          <cell r="H139">
            <v>194</v>
          </cell>
          <cell r="I139">
            <v>807</v>
          </cell>
        </row>
        <row r="140">
          <cell r="B140" t="str">
            <v>WJ4001</v>
          </cell>
          <cell r="C140" t="str">
            <v>Livingston Collegiate Academy</v>
          </cell>
          <cell r="D140">
            <v>158</v>
          </cell>
          <cell r="E140">
            <v>17</v>
          </cell>
          <cell r="F140">
            <v>166</v>
          </cell>
          <cell r="G140">
            <v>139</v>
          </cell>
          <cell r="H140">
            <v>137</v>
          </cell>
          <cell r="I140">
            <v>617</v>
          </cell>
        </row>
        <row r="141">
          <cell r="B141" t="str">
            <v>WE2001</v>
          </cell>
          <cell r="C141" t="str">
            <v>Walter L. Cohen College Prep</v>
          </cell>
          <cell r="D141">
            <v>65</v>
          </cell>
          <cell r="E141">
            <v>0</v>
          </cell>
          <cell r="F141">
            <v>66</v>
          </cell>
          <cell r="G141">
            <v>50</v>
          </cell>
          <cell r="H141">
            <v>77</v>
          </cell>
          <cell r="I141">
            <v>258</v>
          </cell>
        </row>
        <row r="142">
          <cell r="B142" t="str">
            <v>WE3001</v>
          </cell>
          <cell r="C142" t="str">
            <v>Lawrence D. Crocker College Prep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B143" t="str">
            <v>W21001</v>
          </cell>
          <cell r="C143" t="str">
            <v>James M. Singleton Charter School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W51001</v>
          </cell>
          <cell r="C144" t="str">
            <v>Lafayette Academy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B145" t="str">
            <v>W52001</v>
          </cell>
          <cell r="C145" t="str">
            <v>Esperanza Charter School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W66001</v>
          </cell>
          <cell r="C146" t="str">
            <v>Martin Behrman Charter Acad of Creative Arts &amp; Sci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W62001</v>
          </cell>
          <cell r="C147" t="str">
            <v>Lord Beaconsfield Landry-Oliver Perry Walker High</v>
          </cell>
          <cell r="D147">
            <v>180</v>
          </cell>
          <cell r="E147">
            <v>15</v>
          </cell>
          <cell r="F147">
            <v>238</v>
          </cell>
          <cell r="G147">
            <v>216</v>
          </cell>
          <cell r="H147">
            <v>290</v>
          </cell>
          <cell r="I147">
            <v>939</v>
          </cell>
        </row>
        <row r="148">
          <cell r="B148" t="str">
            <v>W71001</v>
          </cell>
          <cell r="C148" t="str">
            <v>Sophie B. Wright Institute of Academic Excellence</v>
          </cell>
          <cell r="D148">
            <v>101</v>
          </cell>
          <cell r="E148">
            <v>0</v>
          </cell>
          <cell r="F148">
            <v>135</v>
          </cell>
          <cell r="G148">
            <v>125</v>
          </cell>
          <cell r="H148">
            <v>114</v>
          </cell>
          <cell r="I148">
            <v>475</v>
          </cell>
        </row>
        <row r="149">
          <cell r="B149" t="str">
            <v>W82001</v>
          </cell>
          <cell r="C149" t="str">
            <v>KIPP Believe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B150" t="str">
            <v>W81001</v>
          </cell>
          <cell r="C150" t="str">
            <v>KIPP Morial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B151" t="str">
            <v>WL1001</v>
          </cell>
          <cell r="C151" t="str">
            <v>KIPP Central City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W84001</v>
          </cell>
          <cell r="C152" t="str">
            <v>Frederick A. Douglass High School</v>
          </cell>
          <cell r="D152">
            <v>152</v>
          </cell>
          <cell r="E152">
            <v>15</v>
          </cell>
          <cell r="F152">
            <v>177</v>
          </cell>
          <cell r="G152">
            <v>153</v>
          </cell>
          <cell r="H152">
            <v>126</v>
          </cell>
          <cell r="I152">
            <v>623</v>
          </cell>
        </row>
        <row r="153">
          <cell r="B153" t="str">
            <v>W85001</v>
          </cell>
          <cell r="C153" t="str">
            <v>KIPP Leadership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W86001</v>
          </cell>
          <cell r="C154" t="str">
            <v>KIPP East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B155" t="str">
            <v>W87001</v>
          </cell>
          <cell r="C155" t="str">
            <v>Booker T. Washington High School</v>
          </cell>
          <cell r="D155">
            <v>174</v>
          </cell>
          <cell r="E155">
            <v>5</v>
          </cell>
          <cell r="F155">
            <v>142</v>
          </cell>
          <cell r="G155">
            <v>117</v>
          </cell>
          <cell r="H155">
            <v>121</v>
          </cell>
          <cell r="I155">
            <v>559</v>
          </cell>
        </row>
        <row r="156">
          <cell r="B156" t="str">
            <v>W91001</v>
          </cell>
          <cell r="C156" t="str">
            <v>Samuel J. Green Charter School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B157" t="str">
            <v>W92001</v>
          </cell>
          <cell r="C157" t="str">
            <v>Arthur Ashe Charter School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W94001</v>
          </cell>
          <cell r="C158" t="str">
            <v>Phillis Wheatley Community School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W95001</v>
          </cell>
          <cell r="C159" t="str">
            <v>Langston Hughes Charter Academy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B160" t="str">
            <v>WBS001</v>
          </cell>
          <cell r="C160" t="str">
            <v>FirstLine Live Oak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B161" t="str">
            <v>W5A001</v>
          </cell>
          <cell r="C161" t="str">
            <v>Mary D. Coghill Charter School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B162" t="str">
            <v>W31001</v>
          </cell>
          <cell r="C162" t="str">
            <v>Dr. Martin Luther King Charter School for Sci Tech</v>
          </cell>
          <cell r="D162">
            <v>46</v>
          </cell>
          <cell r="E162">
            <v>17</v>
          </cell>
          <cell r="F162">
            <v>57</v>
          </cell>
          <cell r="G162">
            <v>116</v>
          </cell>
          <cell r="H162">
            <v>98</v>
          </cell>
          <cell r="I162">
            <v>334</v>
          </cell>
        </row>
        <row r="163">
          <cell r="B163" t="str">
            <v>W32001</v>
          </cell>
          <cell r="C163" t="str">
            <v>Joseph A. Craig Charter School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WAZ001</v>
          </cell>
          <cell r="C164" t="str">
            <v>Audubon Charter School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B165" t="str">
            <v>WBA001</v>
          </cell>
          <cell r="C165" t="str">
            <v>Einstein Charter School at Village De L'Est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WBB001</v>
          </cell>
          <cell r="C166" t="str">
            <v>Benjamin Franklin High School</v>
          </cell>
          <cell r="D166">
            <v>239</v>
          </cell>
          <cell r="E166">
            <v>0</v>
          </cell>
          <cell r="F166">
            <v>258</v>
          </cell>
          <cell r="G166">
            <v>258</v>
          </cell>
          <cell r="H166">
            <v>242</v>
          </cell>
          <cell r="I166">
            <v>997</v>
          </cell>
        </row>
        <row r="167">
          <cell r="B167" t="str">
            <v>WBC001</v>
          </cell>
          <cell r="C167" t="str">
            <v>Alice M Harte Elementary Charter School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WBD001</v>
          </cell>
          <cell r="C168" t="str">
            <v>Edna Karr High School</v>
          </cell>
          <cell r="D168">
            <v>288</v>
          </cell>
          <cell r="E168">
            <v>0</v>
          </cell>
          <cell r="F168">
            <v>251</v>
          </cell>
          <cell r="G168">
            <v>267</v>
          </cell>
          <cell r="H168">
            <v>267</v>
          </cell>
          <cell r="I168">
            <v>1073</v>
          </cell>
        </row>
        <row r="169">
          <cell r="B169" t="str">
            <v>WBE001</v>
          </cell>
          <cell r="C169" t="str">
            <v>Lusher Charter School</v>
          </cell>
          <cell r="D169">
            <v>188</v>
          </cell>
          <cell r="E169">
            <v>0</v>
          </cell>
          <cell r="F169">
            <v>179</v>
          </cell>
          <cell r="G169">
            <v>175</v>
          </cell>
          <cell r="H169">
            <v>153</v>
          </cell>
          <cell r="I169">
            <v>695</v>
          </cell>
        </row>
        <row r="170">
          <cell r="B170" t="str">
            <v>WBF001</v>
          </cell>
          <cell r="C170" t="str">
            <v>Eleanor McMain Secondary School</v>
          </cell>
          <cell r="D170">
            <v>239</v>
          </cell>
          <cell r="E170">
            <v>0</v>
          </cell>
          <cell r="F170">
            <v>225</v>
          </cell>
          <cell r="G170">
            <v>217</v>
          </cell>
          <cell r="H170">
            <v>206</v>
          </cell>
          <cell r="I170">
            <v>887</v>
          </cell>
        </row>
        <row r="171">
          <cell r="B171" t="str">
            <v>WBG001</v>
          </cell>
          <cell r="C171" t="str">
            <v>Robert Russa Moton Charter School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B172" t="str">
            <v>WBH001</v>
          </cell>
          <cell r="C172" t="str">
            <v>Lake Forest Elementary Charter School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3">
          <cell r="B173" t="str">
            <v>WBI001</v>
          </cell>
          <cell r="C173" t="str">
            <v>New Orleans Charter Science and Mathematics HS</v>
          </cell>
          <cell r="D173">
            <v>117</v>
          </cell>
          <cell r="E173">
            <v>4</v>
          </cell>
          <cell r="F173">
            <v>116</v>
          </cell>
          <cell r="G173">
            <v>113</v>
          </cell>
          <cell r="H173">
            <v>106</v>
          </cell>
          <cell r="I173">
            <v>456</v>
          </cell>
        </row>
        <row r="174">
          <cell r="B174" t="str">
            <v>WBJ001</v>
          </cell>
          <cell r="C174" t="str">
            <v>ENCORE Academy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WBK001</v>
          </cell>
          <cell r="C175" t="str">
            <v>Bricolage Academy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</row>
        <row r="176">
          <cell r="B176" t="str">
            <v>WBL001</v>
          </cell>
          <cell r="C176" t="str">
            <v>Wilson Charter School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B177" t="str">
            <v>WBM001</v>
          </cell>
          <cell r="C177" t="str">
            <v>Einstein Charter High School at Sarah Towles Reed</v>
          </cell>
          <cell r="D177">
            <v>101</v>
          </cell>
          <cell r="E177">
            <v>16</v>
          </cell>
          <cell r="F177">
            <v>118</v>
          </cell>
          <cell r="G177">
            <v>88</v>
          </cell>
          <cell r="H177">
            <v>78</v>
          </cell>
          <cell r="I177">
            <v>401</v>
          </cell>
        </row>
        <row r="178">
          <cell r="B178" t="str">
            <v>WBN001</v>
          </cell>
          <cell r="C178" t="str">
            <v>Einstein Charter Middle Sch at Sarah Towles Reed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</row>
        <row r="179">
          <cell r="B179" t="str">
            <v>WBO001</v>
          </cell>
          <cell r="C179" t="str">
            <v>Einstein Charter at Sherwood Forest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</row>
        <row r="180">
          <cell r="B180" t="str">
            <v>WBP001</v>
          </cell>
          <cell r="C180" t="str">
            <v>McDonogh 42 Charter School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</row>
        <row r="181">
          <cell r="B181" t="str">
            <v>WBT001</v>
          </cell>
          <cell r="C181" t="str">
            <v>Audubon Charter School - Gentilly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</row>
        <row r="182">
          <cell r="B182" t="str">
            <v>WBU001</v>
          </cell>
          <cell r="C182" t="str">
            <v>Rosenwald Collegiate Academy</v>
          </cell>
          <cell r="D182">
            <v>101</v>
          </cell>
          <cell r="E182">
            <v>15</v>
          </cell>
          <cell r="F182">
            <v>143</v>
          </cell>
          <cell r="G182">
            <v>0</v>
          </cell>
          <cell r="H182">
            <v>0</v>
          </cell>
          <cell r="I182">
            <v>259</v>
          </cell>
        </row>
        <row r="183">
          <cell r="B183" t="str">
            <v>WBV001</v>
          </cell>
          <cell r="C183" t="str">
            <v>Dwight D. Eisenhower Charter School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B184" t="str">
            <v>WBW001</v>
          </cell>
          <cell r="C184" t="str">
            <v>Living School</v>
          </cell>
          <cell r="D184">
            <v>55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55</v>
          </cell>
        </row>
        <row r="185">
          <cell r="B185" t="str">
            <v>WBZ001</v>
          </cell>
          <cell r="C185" t="str">
            <v>McDonogh 35 Senior High School</v>
          </cell>
          <cell r="D185">
            <v>163</v>
          </cell>
          <cell r="E185">
            <v>5</v>
          </cell>
          <cell r="F185">
            <v>0</v>
          </cell>
          <cell r="G185">
            <v>0</v>
          </cell>
          <cell r="H185">
            <v>0</v>
          </cell>
          <cell r="I185">
            <v>168</v>
          </cell>
        </row>
        <row r="186">
          <cell r="B186" t="str">
            <v>WC2001</v>
          </cell>
          <cell r="C186" t="str">
            <v>Opportunities Academy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67</v>
          </cell>
          <cell r="I186">
            <v>67</v>
          </cell>
        </row>
        <row r="187">
          <cell r="B187" t="str">
            <v>WC3001</v>
          </cell>
          <cell r="C187" t="str">
            <v>IDEA Oscar Dunn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B188" t="str">
            <v>WB2001</v>
          </cell>
          <cell r="C188" t="str">
            <v>Kenilworth Science and Technology Charter School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WAP001</v>
          </cell>
          <cell r="C189" t="str">
            <v>Lanier Charter School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WAO001</v>
          </cell>
          <cell r="C190" t="str">
            <v>Dalton Charter School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B191" t="str">
            <v>WYA001</v>
          </cell>
          <cell r="C191" t="str">
            <v>Glen Oaks Middle School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B192" t="str">
            <v>WA7001</v>
          </cell>
          <cell r="C192" t="str">
            <v>Capitol High School</v>
          </cell>
          <cell r="D192">
            <v>70</v>
          </cell>
          <cell r="E192">
            <v>7</v>
          </cell>
          <cell r="F192">
            <v>91</v>
          </cell>
          <cell r="G192">
            <v>100</v>
          </cell>
          <cell r="H192">
            <v>86</v>
          </cell>
          <cell r="I192">
            <v>354</v>
          </cell>
        </row>
        <row r="193">
          <cell r="B193" t="str">
            <v>WAV001</v>
          </cell>
          <cell r="C193" t="str">
            <v>Democracy Prep Baton Rouge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B194">
            <v>396211</v>
          </cell>
          <cell r="C194" t="str">
            <v>Linwood Charter School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OJJ_Final ADM"/>
    </sheetNames>
    <sheetDataSet>
      <sheetData sheetId="0">
        <row r="7">
          <cell r="C7">
            <v>9448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S7"/>
          <cell r="T7"/>
          <cell r="U7"/>
          <cell r="V7"/>
          <cell r="W7">
            <v>1</v>
          </cell>
          <cell r="X7">
            <v>14</v>
          </cell>
          <cell r="Y7">
            <v>6</v>
          </cell>
          <cell r="AA7"/>
          <cell r="AB7"/>
          <cell r="AF7"/>
          <cell r="AG7"/>
          <cell r="AH7">
            <v>1</v>
          </cell>
          <cell r="AI7"/>
          <cell r="AJ7"/>
          <cell r="AK7"/>
          <cell r="AL7"/>
          <cell r="AM7"/>
          <cell r="AN7"/>
          <cell r="AT7">
            <v>20</v>
          </cell>
          <cell r="AU7">
            <v>40</v>
          </cell>
          <cell r="AW7"/>
          <cell r="AX7"/>
          <cell r="AY7"/>
          <cell r="AZ7"/>
          <cell r="BA7"/>
          <cell r="BB7"/>
          <cell r="BC7"/>
          <cell r="BD7"/>
          <cell r="BE7"/>
          <cell r="BF7">
            <v>8</v>
          </cell>
          <cell r="BG7"/>
          <cell r="BH7"/>
        </row>
        <row r="8">
          <cell r="E8"/>
          <cell r="F8"/>
          <cell r="G8"/>
          <cell r="H8"/>
          <cell r="I8"/>
          <cell r="J8">
            <v>1</v>
          </cell>
          <cell r="K8"/>
          <cell r="L8"/>
          <cell r="M8"/>
          <cell r="N8"/>
          <cell r="O8"/>
          <cell r="P8"/>
          <cell r="Q8"/>
          <cell r="S8"/>
          <cell r="T8"/>
          <cell r="U8">
            <v>1</v>
          </cell>
          <cell r="V8"/>
          <cell r="W8"/>
          <cell r="X8"/>
          <cell r="Y8"/>
          <cell r="AA8"/>
          <cell r="AB8"/>
          <cell r="AF8"/>
          <cell r="AG8"/>
          <cell r="AH8"/>
          <cell r="AI8"/>
          <cell r="AJ8"/>
          <cell r="AK8"/>
          <cell r="AL8"/>
          <cell r="AM8"/>
          <cell r="AN8"/>
          <cell r="AT8">
            <v>11</v>
          </cell>
          <cell r="AU8">
            <v>17</v>
          </cell>
          <cell r="AW8"/>
          <cell r="AX8"/>
          <cell r="AY8"/>
          <cell r="AZ8"/>
          <cell r="BA8"/>
          <cell r="BB8"/>
          <cell r="BC8"/>
          <cell r="BD8"/>
          <cell r="BE8"/>
          <cell r="BF8">
            <v>2</v>
          </cell>
          <cell r="BG8"/>
          <cell r="BH8"/>
        </row>
        <row r="9">
          <cell r="E9">
            <v>2</v>
          </cell>
          <cell r="F9"/>
          <cell r="G9"/>
          <cell r="H9"/>
          <cell r="I9"/>
          <cell r="J9"/>
          <cell r="K9"/>
          <cell r="L9"/>
          <cell r="M9">
            <v>16</v>
          </cell>
          <cell r="N9"/>
          <cell r="O9">
            <v>3</v>
          </cell>
          <cell r="P9"/>
          <cell r="Q9"/>
          <cell r="S9"/>
          <cell r="T9">
            <v>15</v>
          </cell>
          <cell r="U9"/>
          <cell r="V9"/>
          <cell r="W9"/>
          <cell r="X9"/>
          <cell r="Y9"/>
          <cell r="AA9"/>
          <cell r="AB9"/>
          <cell r="AF9">
            <v>2</v>
          </cell>
          <cell r="AG9"/>
          <cell r="AH9"/>
          <cell r="AI9"/>
          <cell r="AJ9"/>
          <cell r="AK9"/>
          <cell r="AL9"/>
          <cell r="AM9"/>
          <cell r="AN9"/>
          <cell r="AT9">
            <v>35</v>
          </cell>
          <cell r="AU9">
            <v>89</v>
          </cell>
          <cell r="AW9"/>
          <cell r="AX9"/>
          <cell r="AY9"/>
          <cell r="AZ9"/>
          <cell r="BA9"/>
          <cell r="BB9"/>
          <cell r="BC9"/>
          <cell r="BD9"/>
          <cell r="BE9"/>
          <cell r="BF9">
            <v>11</v>
          </cell>
          <cell r="BG9"/>
          <cell r="BH9">
            <v>7</v>
          </cell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S10"/>
          <cell r="T10">
            <v>5</v>
          </cell>
          <cell r="U10"/>
          <cell r="V10"/>
          <cell r="W10"/>
          <cell r="X10"/>
          <cell r="Y10"/>
          <cell r="AA10"/>
          <cell r="AB10"/>
          <cell r="AF10"/>
          <cell r="AG10"/>
          <cell r="AH10"/>
          <cell r="AI10"/>
          <cell r="AJ10"/>
          <cell r="AK10"/>
          <cell r="AL10"/>
          <cell r="AM10"/>
          <cell r="AN10"/>
          <cell r="AT10">
            <v>10</v>
          </cell>
          <cell r="AU10">
            <v>8</v>
          </cell>
          <cell r="AW10"/>
          <cell r="AX10"/>
          <cell r="AY10"/>
          <cell r="AZ10"/>
          <cell r="BA10"/>
          <cell r="BB10"/>
          <cell r="BC10">
            <v>5</v>
          </cell>
          <cell r="BD10"/>
          <cell r="BE10"/>
          <cell r="BF10">
            <v>2</v>
          </cell>
          <cell r="BG10"/>
          <cell r="B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S11"/>
          <cell r="T11"/>
          <cell r="U11"/>
          <cell r="V11"/>
          <cell r="W11"/>
          <cell r="X11"/>
          <cell r="Y11"/>
          <cell r="AA11"/>
          <cell r="AB11"/>
          <cell r="AF11"/>
          <cell r="AG11"/>
          <cell r="AH11"/>
          <cell r="AI11"/>
          <cell r="AJ11"/>
          <cell r="AK11"/>
          <cell r="AL11"/>
          <cell r="AM11"/>
          <cell r="AN11">
            <v>193</v>
          </cell>
          <cell r="AT11">
            <v>22</v>
          </cell>
          <cell r="AU11">
            <v>46</v>
          </cell>
          <cell r="AW11"/>
          <cell r="AX11"/>
          <cell r="AY11"/>
          <cell r="AZ11">
            <v>727</v>
          </cell>
          <cell r="BA11"/>
          <cell r="BB11"/>
          <cell r="BC11"/>
          <cell r="BD11"/>
          <cell r="BE11"/>
          <cell r="BF11">
            <v>3</v>
          </cell>
          <cell r="BG11"/>
          <cell r="B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S12"/>
          <cell r="T12"/>
          <cell r="U12"/>
          <cell r="V12"/>
          <cell r="W12"/>
          <cell r="X12"/>
          <cell r="Y12"/>
          <cell r="AA12"/>
          <cell r="AB12"/>
          <cell r="AF12"/>
          <cell r="AG12"/>
          <cell r="AH12"/>
          <cell r="AI12"/>
          <cell r="AJ12"/>
          <cell r="AK12"/>
          <cell r="AL12"/>
          <cell r="AM12"/>
          <cell r="AN12"/>
          <cell r="AT12">
            <v>27</v>
          </cell>
          <cell r="AU12">
            <v>14</v>
          </cell>
          <cell r="AW12"/>
          <cell r="AX12"/>
          <cell r="AY12"/>
          <cell r="AZ12"/>
          <cell r="BA12"/>
          <cell r="BB12"/>
          <cell r="BC12"/>
          <cell r="BD12"/>
          <cell r="BE12"/>
          <cell r="BF12">
            <v>1</v>
          </cell>
          <cell r="BG12"/>
          <cell r="BH12"/>
        </row>
        <row r="13">
          <cell r="E13"/>
          <cell r="F13">
            <v>2</v>
          </cell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S13"/>
          <cell r="T13"/>
          <cell r="U13"/>
          <cell r="V13"/>
          <cell r="W13"/>
          <cell r="X13"/>
          <cell r="Y13"/>
          <cell r="AA13"/>
          <cell r="AB13">
            <v>42</v>
          </cell>
          <cell r="AF13"/>
          <cell r="AG13"/>
          <cell r="AH13"/>
          <cell r="AI13"/>
          <cell r="AJ13"/>
          <cell r="AK13"/>
          <cell r="AL13"/>
          <cell r="AM13"/>
          <cell r="AN13"/>
          <cell r="AT13">
            <v>7</v>
          </cell>
          <cell r="AU13">
            <v>5</v>
          </cell>
          <cell r="AW13"/>
          <cell r="AX13"/>
          <cell r="AY13"/>
          <cell r="AZ13"/>
          <cell r="BA13"/>
          <cell r="BB13"/>
          <cell r="BC13"/>
          <cell r="BD13"/>
          <cell r="BE13"/>
          <cell r="BF13">
            <v>1</v>
          </cell>
          <cell r="BG13"/>
          <cell r="B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S14"/>
          <cell r="T14"/>
          <cell r="U14"/>
          <cell r="V14"/>
          <cell r="W14"/>
          <cell r="X14"/>
          <cell r="Y14"/>
          <cell r="AA14"/>
          <cell r="AB14"/>
          <cell r="AF14"/>
          <cell r="AG14"/>
          <cell r="AH14"/>
          <cell r="AI14"/>
          <cell r="AJ14"/>
          <cell r="AK14"/>
          <cell r="AL14"/>
          <cell r="AM14"/>
          <cell r="AN14"/>
          <cell r="AT14">
            <v>70</v>
          </cell>
          <cell r="AU14">
            <v>41</v>
          </cell>
          <cell r="AW14"/>
          <cell r="AX14"/>
          <cell r="AY14"/>
          <cell r="AZ14"/>
          <cell r="BA14"/>
          <cell r="BB14"/>
          <cell r="BC14"/>
          <cell r="BD14"/>
          <cell r="BE14"/>
          <cell r="BF14">
            <v>10</v>
          </cell>
          <cell r="BG14"/>
          <cell r="B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S15"/>
          <cell r="T15"/>
          <cell r="U15"/>
          <cell r="V15"/>
          <cell r="W15"/>
          <cell r="X15"/>
          <cell r="Y15"/>
          <cell r="AA15"/>
          <cell r="AB15"/>
          <cell r="AF15"/>
          <cell r="AG15"/>
          <cell r="AH15"/>
          <cell r="AI15"/>
          <cell r="AJ15"/>
          <cell r="AK15"/>
          <cell r="AL15"/>
          <cell r="AM15"/>
          <cell r="AN15"/>
          <cell r="AT15">
            <v>117</v>
          </cell>
          <cell r="AU15">
            <v>75</v>
          </cell>
          <cell r="AW15"/>
          <cell r="AX15"/>
          <cell r="AY15"/>
          <cell r="AZ15"/>
          <cell r="BA15"/>
          <cell r="BB15"/>
          <cell r="BC15"/>
          <cell r="BD15"/>
          <cell r="BE15"/>
          <cell r="BF15">
            <v>12</v>
          </cell>
          <cell r="BG15"/>
          <cell r="BH15"/>
        </row>
        <row r="16">
          <cell r="E16"/>
          <cell r="F16"/>
          <cell r="G16"/>
          <cell r="H16"/>
          <cell r="I16"/>
          <cell r="J16">
            <v>936</v>
          </cell>
          <cell r="K16"/>
          <cell r="L16">
            <v>689</v>
          </cell>
          <cell r="M16"/>
          <cell r="N16"/>
          <cell r="O16"/>
          <cell r="P16"/>
          <cell r="Q16"/>
          <cell r="S16"/>
          <cell r="T16"/>
          <cell r="U16">
            <v>503</v>
          </cell>
          <cell r="V16"/>
          <cell r="W16"/>
          <cell r="X16"/>
          <cell r="Y16"/>
          <cell r="AA16"/>
          <cell r="AB16"/>
          <cell r="AF16"/>
          <cell r="AG16"/>
          <cell r="AH16"/>
          <cell r="AI16"/>
          <cell r="AJ16"/>
          <cell r="AK16"/>
          <cell r="AL16"/>
          <cell r="AM16"/>
          <cell r="AN16"/>
          <cell r="AT16">
            <v>70</v>
          </cell>
          <cell r="AU16">
            <v>96</v>
          </cell>
          <cell r="AW16"/>
          <cell r="AX16"/>
          <cell r="AY16"/>
          <cell r="AZ16">
            <v>1</v>
          </cell>
          <cell r="BA16"/>
          <cell r="BB16"/>
          <cell r="BC16"/>
          <cell r="BD16"/>
          <cell r="BE16"/>
          <cell r="BF16">
            <v>31</v>
          </cell>
          <cell r="BG16"/>
          <cell r="B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S17"/>
          <cell r="T17"/>
          <cell r="U17"/>
          <cell r="V17"/>
          <cell r="W17"/>
          <cell r="X17"/>
          <cell r="Y17"/>
          <cell r="AA17"/>
          <cell r="AB17"/>
          <cell r="AF17"/>
          <cell r="AG17"/>
          <cell r="AH17"/>
          <cell r="AI17"/>
          <cell r="AJ17"/>
          <cell r="AK17"/>
          <cell r="AL17"/>
          <cell r="AM17"/>
          <cell r="AN17"/>
          <cell r="AT17">
            <v>1</v>
          </cell>
          <cell r="AU17">
            <v>5</v>
          </cell>
          <cell r="AW17"/>
          <cell r="AX17"/>
          <cell r="AY17"/>
          <cell r="AZ17"/>
          <cell r="BA17"/>
          <cell r="BB17"/>
          <cell r="BC17"/>
          <cell r="BD17"/>
          <cell r="BE17"/>
          <cell r="BF17">
            <v>1</v>
          </cell>
          <cell r="BG17"/>
          <cell r="BH17"/>
        </row>
        <row r="18">
          <cell r="E18"/>
          <cell r="F18"/>
          <cell r="G18"/>
          <cell r="H18"/>
          <cell r="I18"/>
          <cell r="J18"/>
          <cell r="K18"/>
          <cell r="L18">
            <v>3</v>
          </cell>
          <cell r="M18"/>
          <cell r="N18"/>
          <cell r="O18"/>
          <cell r="P18"/>
          <cell r="Q18"/>
          <cell r="S18"/>
          <cell r="T18"/>
          <cell r="U18"/>
          <cell r="V18"/>
          <cell r="W18"/>
          <cell r="X18"/>
          <cell r="Y18"/>
          <cell r="AA18"/>
          <cell r="AB18"/>
          <cell r="AF18"/>
          <cell r="AG18"/>
          <cell r="AH18"/>
          <cell r="AI18"/>
          <cell r="AJ18"/>
          <cell r="AK18"/>
          <cell r="AL18"/>
          <cell r="AM18"/>
          <cell r="AN18"/>
          <cell r="AT18"/>
          <cell r="AU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>
            <v>91</v>
          </cell>
          <cell r="Q19"/>
          <cell r="S19"/>
          <cell r="T19"/>
          <cell r="U19"/>
          <cell r="V19"/>
          <cell r="W19"/>
          <cell r="X19"/>
          <cell r="Y19"/>
          <cell r="AA19"/>
          <cell r="AB19"/>
          <cell r="AF19"/>
          <cell r="AG19"/>
          <cell r="AH19"/>
          <cell r="AI19"/>
          <cell r="AJ19"/>
          <cell r="AK19"/>
          <cell r="AL19"/>
          <cell r="AM19"/>
          <cell r="AN19"/>
          <cell r="AT19">
            <v>7</v>
          </cell>
          <cell r="AU19">
            <v>7</v>
          </cell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</row>
        <row r="20">
          <cell r="E20"/>
          <cell r="F20">
            <v>1</v>
          </cell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S20"/>
          <cell r="T20"/>
          <cell r="U20"/>
          <cell r="V20">
            <v>45</v>
          </cell>
          <cell r="W20"/>
          <cell r="X20"/>
          <cell r="Y20"/>
          <cell r="AA20"/>
          <cell r="AB20">
            <v>51</v>
          </cell>
          <cell r="AF20"/>
          <cell r="AG20"/>
          <cell r="AH20"/>
          <cell r="AI20"/>
          <cell r="AJ20"/>
          <cell r="AK20"/>
          <cell r="AL20"/>
          <cell r="AM20"/>
          <cell r="AN20"/>
          <cell r="AT20">
            <v>5</v>
          </cell>
          <cell r="AU20">
            <v>5</v>
          </cell>
          <cell r="AW20">
            <v>1</v>
          </cell>
          <cell r="AX20"/>
          <cell r="AY20"/>
          <cell r="AZ20"/>
          <cell r="BA20"/>
          <cell r="BB20"/>
          <cell r="BC20"/>
          <cell r="BD20"/>
          <cell r="BE20"/>
          <cell r="BF20">
            <v>2</v>
          </cell>
          <cell r="BG20"/>
          <cell r="B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>
            <v>336</v>
          </cell>
          <cell r="Q21"/>
          <cell r="S21"/>
          <cell r="T21"/>
          <cell r="U21"/>
          <cell r="V21"/>
          <cell r="W21"/>
          <cell r="X21"/>
          <cell r="Y21"/>
          <cell r="AA21"/>
          <cell r="AB21"/>
          <cell r="AF21"/>
          <cell r="AG21"/>
          <cell r="AH21"/>
          <cell r="AI21"/>
          <cell r="AJ21"/>
          <cell r="AK21"/>
          <cell r="AL21"/>
          <cell r="AM21"/>
          <cell r="AN21"/>
          <cell r="AT21">
            <v>9</v>
          </cell>
          <cell r="AU21">
            <v>8</v>
          </cell>
          <cell r="AW21"/>
          <cell r="AX21"/>
          <cell r="AY21"/>
          <cell r="AZ21"/>
          <cell r="BA21"/>
          <cell r="BB21"/>
          <cell r="BC21"/>
          <cell r="BD21"/>
          <cell r="BE21"/>
          <cell r="BF21">
            <v>2</v>
          </cell>
          <cell r="BG21"/>
          <cell r="B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S22"/>
          <cell r="T22"/>
          <cell r="U22"/>
          <cell r="V22"/>
          <cell r="W22"/>
          <cell r="X22"/>
          <cell r="Y22"/>
          <cell r="AA22"/>
          <cell r="AB22"/>
          <cell r="AF22"/>
          <cell r="AG22"/>
          <cell r="AH22"/>
          <cell r="AI22"/>
          <cell r="AJ22"/>
          <cell r="AK22"/>
          <cell r="AL22"/>
          <cell r="AM22"/>
          <cell r="AN22"/>
          <cell r="AT22">
            <v>18</v>
          </cell>
          <cell r="AU22">
            <v>11</v>
          </cell>
          <cell r="AW22"/>
          <cell r="AX22"/>
          <cell r="AY22"/>
          <cell r="AZ22"/>
          <cell r="BA22"/>
          <cell r="BB22"/>
          <cell r="BC22"/>
          <cell r="BD22"/>
          <cell r="BE22"/>
          <cell r="BF22">
            <v>2</v>
          </cell>
          <cell r="BG22"/>
          <cell r="BH22"/>
        </row>
        <row r="23">
          <cell r="E23">
            <v>533</v>
          </cell>
          <cell r="F23"/>
          <cell r="G23"/>
          <cell r="H23"/>
          <cell r="I23"/>
          <cell r="J23"/>
          <cell r="K23"/>
          <cell r="L23"/>
          <cell r="M23">
            <v>252</v>
          </cell>
          <cell r="N23"/>
          <cell r="O23">
            <v>691</v>
          </cell>
          <cell r="P23"/>
          <cell r="Q23">
            <v>185</v>
          </cell>
          <cell r="S23">
            <v>172</v>
          </cell>
          <cell r="T23">
            <v>2</v>
          </cell>
          <cell r="U23"/>
          <cell r="V23"/>
          <cell r="W23"/>
          <cell r="X23"/>
          <cell r="Y23"/>
          <cell r="AA23">
            <v>642</v>
          </cell>
          <cell r="AB23"/>
          <cell r="AF23"/>
          <cell r="AG23"/>
          <cell r="AH23"/>
          <cell r="AI23">
            <v>403</v>
          </cell>
          <cell r="AJ23">
            <v>360</v>
          </cell>
          <cell r="AK23"/>
          <cell r="AL23"/>
          <cell r="AM23">
            <v>92</v>
          </cell>
          <cell r="AN23"/>
          <cell r="AT23">
            <v>101</v>
          </cell>
          <cell r="AU23">
            <v>274</v>
          </cell>
          <cell r="AW23"/>
          <cell r="AX23"/>
          <cell r="AY23"/>
          <cell r="AZ23"/>
          <cell r="BA23"/>
          <cell r="BB23"/>
          <cell r="BC23"/>
          <cell r="BD23">
            <v>1416</v>
          </cell>
          <cell r="BE23">
            <v>569</v>
          </cell>
          <cell r="BF23">
            <v>10</v>
          </cell>
          <cell r="BG23"/>
          <cell r="BH23">
            <v>137</v>
          </cell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S24"/>
          <cell r="T24"/>
          <cell r="U24"/>
          <cell r="V24"/>
          <cell r="W24"/>
          <cell r="X24"/>
          <cell r="Y24"/>
          <cell r="AA24"/>
          <cell r="AB24"/>
          <cell r="AF24"/>
          <cell r="AG24"/>
          <cell r="AH24"/>
          <cell r="AI24"/>
          <cell r="AJ24"/>
          <cell r="AK24"/>
          <cell r="AL24"/>
          <cell r="AM24"/>
          <cell r="AN24"/>
          <cell r="AT24">
            <v>6</v>
          </cell>
          <cell r="AU24">
            <v>2</v>
          </cell>
          <cell r="AW24"/>
          <cell r="AX24"/>
          <cell r="AY24"/>
          <cell r="AZ24"/>
          <cell r="BA24">
            <v>15</v>
          </cell>
          <cell r="BB24"/>
          <cell r="BC24"/>
          <cell r="BD24"/>
          <cell r="BE24"/>
          <cell r="BF24"/>
          <cell r="BG24"/>
          <cell r="BH24"/>
        </row>
        <row r="25">
          <cell r="E25"/>
          <cell r="F25"/>
          <cell r="G25"/>
          <cell r="H25"/>
          <cell r="I25"/>
          <cell r="J25"/>
          <cell r="K25"/>
          <cell r="L25"/>
          <cell r="M25">
            <v>5</v>
          </cell>
          <cell r="N25"/>
          <cell r="O25"/>
          <cell r="P25"/>
          <cell r="Q25"/>
          <cell r="S25">
            <v>20</v>
          </cell>
          <cell r="T25"/>
          <cell r="U25"/>
          <cell r="V25"/>
          <cell r="W25"/>
          <cell r="X25"/>
          <cell r="Y25"/>
          <cell r="AA25">
            <v>1</v>
          </cell>
          <cell r="AB25"/>
          <cell r="AF25"/>
          <cell r="AG25"/>
          <cell r="AH25"/>
          <cell r="AI25"/>
          <cell r="AJ25"/>
          <cell r="AK25"/>
          <cell r="AL25"/>
          <cell r="AM25"/>
          <cell r="AN25"/>
          <cell r="AT25">
            <v>12</v>
          </cell>
          <cell r="AU25">
            <v>26</v>
          </cell>
          <cell r="AW25"/>
          <cell r="AX25"/>
          <cell r="AY25"/>
          <cell r="AZ25"/>
          <cell r="BA25"/>
          <cell r="BB25"/>
          <cell r="BC25"/>
          <cell r="BD25"/>
          <cell r="BE25"/>
          <cell r="BF25">
            <v>3</v>
          </cell>
          <cell r="BG25"/>
          <cell r="BH25"/>
        </row>
        <row r="26">
          <cell r="E26"/>
          <cell r="F26"/>
          <cell r="G26"/>
          <cell r="H26"/>
          <cell r="I26"/>
          <cell r="J26"/>
          <cell r="K26">
            <v>3</v>
          </cell>
          <cell r="L26"/>
          <cell r="M26"/>
          <cell r="N26"/>
          <cell r="O26"/>
          <cell r="P26"/>
          <cell r="Q26"/>
          <cell r="S26"/>
          <cell r="T26"/>
          <cell r="U26"/>
          <cell r="V26"/>
          <cell r="W26"/>
          <cell r="X26"/>
          <cell r="Y26"/>
          <cell r="AA26"/>
          <cell r="AB26"/>
          <cell r="AF26"/>
          <cell r="AG26"/>
          <cell r="AH26"/>
          <cell r="AI26"/>
          <cell r="AJ26"/>
          <cell r="AK26"/>
          <cell r="AL26"/>
          <cell r="AM26"/>
          <cell r="AN26"/>
          <cell r="AT26">
            <v>18</v>
          </cell>
          <cell r="AU26">
            <v>20</v>
          </cell>
          <cell r="AW26"/>
          <cell r="AX26"/>
          <cell r="AY26"/>
          <cell r="AZ26"/>
          <cell r="BA26"/>
          <cell r="BB26"/>
          <cell r="BC26"/>
          <cell r="BD26"/>
          <cell r="BE26"/>
          <cell r="BF26">
            <v>2</v>
          </cell>
          <cell r="BG26"/>
          <cell r="B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>
            <v>2</v>
          </cell>
          <cell r="Q27"/>
          <cell r="S27"/>
          <cell r="T27"/>
          <cell r="U27"/>
          <cell r="V27"/>
          <cell r="W27"/>
          <cell r="X27"/>
          <cell r="Y27"/>
          <cell r="AA27"/>
          <cell r="AB27"/>
          <cell r="AF27"/>
          <cell r="AG27"/>
          <cell r="AH27"/>
          <cell r="AI27"/>
          <cell r="AJ27"/>
          <cell r="AK27"/>
          <cell r="AL27"/>
          <cell r="AM27"/>
          <cell r="AN27"/>
          <cell r="AT27">
            <v>10</v>
          </cell>
          <cell r="AU27">
            <v>12</v>
          </cell>
          <cell r="AW27">
            <v>2</v>
          </cell>
          <cell r="AX27"/>
          <cell r="AY27"/>
          <cell r="AZ27"/>
          <cell r="BA27">
            <v>67</v>
          </cell>
          <cell r="BB27"/>
          <cell r="BC27"/>
          <cell r="BD27"/>
          <cell r="BE27"/>
          <cell r="BF27">
            <v>3</v>
          </cell>
          <cell r="BG27"/>
          <cell r="B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S28"/>
          <cell r="T28"/>
          <cell r="U28"/>
          <cell r="V28"/>
          <cell r="W28"/>
          <cell r="X28"/>
          <cell r="Y28"/>
          <cell r="AA28"/>
          <cell r="AB28"/>
          <cell r="AF28"/>
          <cell r="AG28"/>
          <cell r="AH28"/>
          <cell r="AI28"/>
          <cell r="AJ28"/>
          <cell r="AK28"/>
          <cell r="AL28"/>
          <cell r="AM28"/>
          <cell r="AN28"/>
          <cell r="AT28">
            <v>9</v>
          </cell>
          <cell r="AU28">
            <v>18</v>
          </cell>
          <cell r="AW28"/>
          <cell r="AX28"/>
          <cell r="AY28"/>
          <cell r="AZ28"/>
          <cell r="BA28"/>
          <cell r="BB28"/>
          <cell r="BC28"/>
          <cell r="BD28"/>
          <cell r="BE28"/>
          <cell r="BF28">
            <v>3</v>
          </cell>
          <cell r="BG28"/>
          <cell r="B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S29"/>
          <cell r="T29"/>
          <cell r="U29"/>
          <cell r="V29"/>
          <cell r="W29">
            <v>66</v>
          </cell>
          <cell r="X29">
            <v>4</v>
          </cell>
          <cell r="Y29"/>
          <cell r="AA29"/>
          <cell r="AB29"/>
          <cell r="AF29"/>
          <cell r="AG29"/>
          <cell r="AH29">
            <v>1</v>
          </cell>
          <cell r="AI29"/>
          <cell r="AJ29"/>
          <cell r="AK29"/>
          <cell r="AL29"/>
          <cell r="AM29"/>
          <cell r="AN29"/>
          <cell r="AT29">
            <v>31</v>
          </cell>
          <cell r="AU29">
            <v>40</v>
          </cell>
          <cell r="AW29"/>
          <cell r="AX29">
            <v>91</v>
          </cell>
          <cell r="AY29"/>
          <cell r="AZ29"/>
          <cell r="BA29"/>
          <cell r="BB29"/>
          <cell r="BC29"/>
          <cell r="BD29"/>
          <cell r="BE29"/>
          <cell r="BF29">
            <v>6</v>
          </cell>
          <cell r="BG29"/>
          <cell r="BH29"/>
        </row>
        <row r="30">
          <cell r="E30">
            <v>2</v>
          </cell>
          <cell r="F30"/>
          <cell r="G30"/>
          <cell r="H30"/>
          <cell r="I30"/>
          <cell r="J30"/>
          <cell r="K30"/>
          <cell r="L30"/>
          <cell r="M30">
            <v>18</v>
          </cell>
          <cell r="N30"/>
          <cell r="O30"/>
          <cell r="P30"/>
          <cell r="Q30">
            <v>1</v>
          </cell>
          <cell r="S30">
            <v>2</v>
          </cell>
          <cell r="T30">
            <v>202</v>
          </cell>
          <cell r="U30"/>
          <cell r="V30"/>
          <cell r="W30"/>
          <cell r="X30"/>
          <cell r="Y30"/>
          <cell r="AA30"/>
          <cell r="AB30"/>
          <cell r="AF30"/>
          <cell r="AG30"/>
          <cell r="AH30"/>
          <cell r="AI30"/>
          <cell r="AJ30"/>
          <cell r="AK30"/>
          <cell r="AL30"/>
          <cell r="AM30"/>
          <cell r="AN30"/>
          <cell r="AT30">
            <v>6</v>
          </cell>
          <cell r="AU30">
            <v>18</v>
          </cell>
          <cell r="AW30"/>
          <cell r="AX30"/>
          <cell r="AY30"/>
          <cell r="AZ30"/>
          <cell r="BA30"/>
          <cell r="BB30">
            <v>1</v>
          </cell>
          <cell r="BC30"/>
          <cell r="BD30"/>
          <cell r="BE30"/>
          <cell r="BF30">
            <v>2</v>
          </cell>
          <cell r="BG30"/>
          <cell r="BH30">
            <v>5</v>
          </cell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S31"/>
          <cell r="T31"/>
          <cell r="U31"/>
          <cell r="V31"/>
          <cell r="W31"/>
          <cell r="X31"/>
          <cell r="Y31"/>
          <cell r="AA31"/>
          <cell r="AB31">
            <v>15</v>
          </cell>
          <cell r="AF31"/>
          <cell r="AG31"/>
          <cell r="AH31"/>
          <cell r="AI31"/>
          <cell r="AJ31"/>
          <cell r="AK31"/>
          <cell r="AL31"/>
          <cell r="AM31"/>
          <cell r="AN31"/>
          <cell r="AT31">
            <v>12</v>
          </cell>
          <cell r="AU31">
            <v>7</v>
          </cell>
          <cell r="AW31"/>
          <cell r="AX31"/>
          <cell r="AY31"/>
          <cell r="AZ31"/>
          <cell r="BA31"/>
          <cell r="BB31"/>
          <cell r="BC31"/>
          <cell r="BD31"/>
          <cell r="BE31"/>
          <cell r="BF31">
            <v>3</v>
          </cell>
          <cell r="BG31"/>
          <cell r="BH31"/>
        </row>
        <row r="32">
          <cell r="E32"/>
          <cell r="F32"/>
          <cell r="G32">
            <v>44</v>
          </cell>
          <cell r="H32">
            <v>684</v>
          </cell>
          <cell r="I32">
            <v>241</v>
          </cell>
          <cell r="J32"/>
          <cell r="K32"/>
          <cell r="L32"/>
          <cell r="M32"/>
          <cell r="N32">
            <v>181</v>
          </cell>
          <cell r="O32"/>
          <cell r="P32"/>
          <cell r="Q32"/>
          <cell r="S32"/>
          <cell r="T32">
            <v>8</v>
          </cell>
          <cell r="U32"/>
          <cell r="V32"/>
          <cell r="W32"/>
          <cell r="X32"/>
          <cell r="Y32"/>
          <cell r="AA32"/>
          <cell r="AB32"/>
          <cell r="AF32"/>
          <cell r="AG32">
            <v>12</v>
          </cell>
          <cell r="AH32"/>
          <cell r="AI32"/>
          <cell r="AJ32"/>
          <cell r="AK32">
            <v>6</v>
          </cell>
          <cell r="AL32">
            <v>1039</v>
          </cell>
          <cell r="AM32"/>
          <cell r="AN32"/>
          <cell r="AT32">
            <v>170</v>
          </cell>
          <cell r="AU32">
            <v>193</v>
          </cell>
          <cell r="AW32"/>
          <cell r="AX32"/>
          <cell r="AY32">
            <v>594</v>
          </cell>
          <cell r="AZ32"/>
          <cell r="BA32"/>
          <cell r="BB32">
            <v>228</v>
          </cell>
          <cell r="BC32"/>
          <cell r="BD32"/>
          <cell r="BE32"/>
          <cell r="BF32">
            <v>6</v>
          </cell>
          <cell r="BG32">
            <v>40</v>
          </cell>
          <cell r="BH32">
            <v>1</v>
          </cell>
        </row>
        <row r="33">
          <cell r="E33"/>
          <cell r="F33"/>
          <cell r="G33"/>
          <cell r="H33"/>
          <cell r="I33"/>
          <cell r="J33">
            <v>4</v>
          </cell>
          <cell r="K33"/>
          <cell r="L33">
            <v>2</v>
          </cell>
          <cell r="M33"/>
          <cell r="N33"/>
          <cell r="O33"/>
          <cell r="P33"/>
          <cell r="Q33"/>
          <cell r="S33"/>
          <cell r="T33"/>
          <cell r="U33"/>
          <cell r="V33"/>
          <cell r="W33"/>
          <cell r="X33"/>
          <cell r="Y33"/>
          <cell r="AA33"/>
          <cell r="AB33"/>
          <cell r="AF33"/>
          <cell r="AG33"/>
          <cell r="AH33">
            <v>1</v>
          </cell>
          <cell r="AI33"/>
          <cell r="AJ33"/>
          <cell r="AK33"/>
          <cell r="AL33"/>
          <cell r="AM33"/>
          <cell r="AN33"/>
          <cell r="AT33">
            <v>15</v>
          </cell>
          <cell r="AU33">
            <v>2</v>
          </cell>
          <cell r="AW33"/>
          <cell r="AX33"/>
          <cell r="AY33"/>
          <cell r="AZ33"/>
          <cell r="BA33"/>
          <cell r="BB33"/>
          <cell r="BC33"/>
          <cell r="BD33"/>
          <cell r="BE33"/>
          <cell r="BF33">
            <v>3</v>
          </cell>
          <cell r="BG33"/>
          <cell r="B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S34"/>
          <cell r="T34"/>
          <cell r="U34"/>
          <cell r="V34"/>
          <cell r="W34">
            <v>746</v>
          </cell>
          <cell r="X34">
            <v>823</v>
          </cell>
          <cell r="Y34">
            <v>550</v>
          </cell>
          <cell r="AA34"/>
          <cell r="AB34"/>
          <cell r="AF34"/>
          <cell r="AG34"/>
          <cell r="AH34">
            <v>58</v>
          </cell>
          <cell r="AI34"/>
          <cell r="AJ34"/>
          <cell r="AK34"/>
          <cell r="AL34"/>
          <cell r="AM34"/>
          <cell r="AN34"/>
          <cell r="AT34">
            <v>68</v>
          </cell>
          <cell r="AU34">
            <v>110</v>
          </cell>
          <cell r="AW34"/>
          <cell r="AX34">
            <v>3</v>
          </cell>
          <cell r="AY34"/>
          <cell r="AZ34"/>
          <cell r="BA34"/>
          <cell r="BB34"/>
          <cell r="BC34"/>
          <cell r="BD34"/>
          <cell r="BE34"/>
          <cell r="BF34">
            <v>15</v>
          </cell>
          <cell r="BG34"/>
          <cell r="BH34"/>
        </row>
        <row r="35">
          <cell r="E35"/>
          <cell r="F35"/>
          <cell r="G35">
            <v>1</v>
          </cell>
          <cell r="H35"/>
          <cell r="I35"/>
          <cell r="J35"/>
          <cell r="K35"/>
          <cell r="L35"/>
          <cell r="M35"/>
          <cell r="N35">
            <v>1</v>
          </cell>
          <cell r="O35"/>
          <cell r="P35"/>
          <cell r="Q35"/>
          <cell r="S35"/>
          <cell r="T35">
            <v>63</v>
          </cell>
          <cell r="U35"/>
          <cell r="V35"/>
          <cell r="W35"/>
          <cell r="X35"/>
          <cell r="Y35"/>
          <cell r="AA35"/>
          <cell r="AB35"/>
          <cell r="AF35">
            <v>2</v>
          </cell>
          <cell r="AG35"/>
          <cell r="AH35"/>
          <cell r="AI35"/>
          <cell r="AJ35"/>
          <cell r="AK35"/>
          <cell r="AL35"/>
          <cell r="AM35"/>
          <cell r="AN35"/>
          <cell r="AT35">
            <v>29</v>
          </cell>
          <cell r="AU35">
            <v>67</v>
          </cell>
          <cell r="AW35"/>
          <cell r="AX35"/>
          <cell r="AY35">
            <v>1</v>
          </cell>
          <cell r="AZ35"/>
          <cell r="BA35"/>
          <cell r="BB35"/>
          <cell r="BC35">
            <v>62</v>
          </cell>
          <cell r="BD35"/>
          <cell r="BE35"/>
          <cell r="BF35">
            <v>10</v>
          </cell>
          <cell r="BG35"/>
          <cell r="B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S36"/>
          <cell r="T36"/>
          <cell r="U36"/>
          <cell r="V36"/>
          <cell r="W36"/>
          <cell r="X36"/>
          <cell r="Y36"/>
          <cell r="AA36"/>
          <cell r="AB36"/>
          <cell r="AF36"/>
          <cell r="AG36"/>
          <cell r="AH36"/>
          <cell r="AI36"/>
          <cell r="AJ36"/>
          <cell r="AK36"/>
          <cell r="AL36"/>
          <cell r="AM36"/>
          <cell r="AN36"/>
          <cell r="AT36"/>
          <cell r="AU36">
            <v>9</v>
          </cell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</row>
        <row r="37">
          <cell r="E37"/>
          <cell r="F37">
            <v>55</v>
          </cell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S37"/>
          <cell r="T37"/>
          <cell r="U37"/>
          <cell r="V37">
            <v>5</v>
          </cell>
          <cell r="W37"/>
          <cell r="X37"/>
          <cell r="Y37"/>
          <cell r="AA37"/>
          <cell r="AB37">
            <v>330</v>
          </cell>
          <cell r="AF37"/>
          <cell r="AG37"/>
          <cell r="AH37"/>
          <cell r="AI37"/>
          <cell r="AJ37"/>
          <cell r="AK37"/>
          <cell r="AL37"/>
          <cell r="AM37"/>
          <cell r="AN37"/>
          <cell r="AT37">
            <v>12</v>
          </cell>
          <cell r="AU37">
            <v>5</v>
          </cell>
          <cell r="AW37">
            <v>2</v>
          </cell>
          <cell r="AX37"/>
          <cell r="AY37"/>
          <cell r="AZ37"/>
          <cell r="BA37"/>
          <cell r="BB37"/>
          <cell r="BC37"/>
          <cell r="BD37"/>
          <cell r="BE37"/>
          <cell r="BF37">
            <v>5</v>
          </cell>
          <cell r="BG37"/>
          <cell r="BH37"/>
        </row>
        <row r="38">
          <cell r="E38">
            <v>6</v>
          </cell>
          <cell r="F38"/>
          <cell r="G38"/>
          <cell r="H38"/>
          <cell r="I38"/>
          <cell r="J38"/>
          <cell r="K38"/>
          <cell r="L38"/>
          <cell r="M38">
            <v>19</v>
          </cell>
          <cell r="N38"/>
          <cell r="O38">
            <v>4</v>
          </cell>
          <cell r="P38"/>
          <cell r="Q38"/>
          <cell r="S38"/>
          <cell r="T38"/>
          <cell r="U38"/>
          <cell r="V38"/>
          <cell r="W38"/>
          <cell r="X38"/>
          <cell r="Y38"/>
          <cell r="AA38">
            <v>4</v>
          </cell>
          <cell r="AB38"/>
          <cell r="AF38"/>
          <cell r="AG38"/>
          <cell r="AH38"/>
          <cell r="AI38"/>
          <cell r="AJ38"/>
          <cell r="AK38"/>
          <cell r="AL38"/>
          <cell r="AM38"/>
          <cell r="AN38"/>
          <cell r="AT38">
            <v>92</v>
          </cell>
          <cell r="AU38">
            <v>252</v>
          </cell>
          <cell r="AW38"/>
          <cell r="AX38"/>
          <cell r="AY38"/>
          <cell r="AZ38"/>
          <cell r="BA38"/>
          <cell r="BB38"/>
          <cell r="BC38"/>
          <cell r="BD38"/>
          <cell r="BE38"/>
          <cell r="BF38">
            <v>17</v>
          </cell>
          <cell r="BG38"/>
          <cell r="B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S39"/>
          <cell r="T39"/>
          <cell r="U39"/>
          <cell r="V39"/>
          <cell r="W39"/>
          <cell r="X39"/>
          <cell r="Y39"/>
          <cell r="AA39"/>
          <cell r="AB39"/>
          <cell r="AF39"/>
          <cell r="AG39"/>
          <cell r="AH39"/>
          <cell r="AI39"/>
          <cell r="AJ39"/>
          <cell r="AK39"/>
          <cell r="AL39"/>
          <cell r="AM39"/>
          <cell r="AN39"/>
          <cell r="AT39">
            <v>3</v>
          </cell>
          <cell r="AU39">
            <v>304</v>
          </cell>
          <cell r="AW39">
            <v>1</v>
          </cell>
          <cell r="AX39"/>
          <cell r="AY39"/>
          <cell r="AZ39"/>
          <cell r="BA39">
            <v>316</v>
          </cell>
          <cell r="BB39"/>
          <cell r="BC39"/>
          <cell r="BD39"/>
          <cell r="BE39"/>
          <cell r="BF39">
            <v>1</v>
          </cell>
          <cell r="BG39"/>
          <cell r="BH39"/>
        </row>
        <row r="40">
          <cell r="E40"/>
          <cell r="F40">
            <v>1</v>
          </cell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S40"/>
          <cell r="T40"/>
          <cell r="U40"/>
          <cell r="V40"/>
          <cell r="W40"/>
          <cell r="X40"/>
          <cell r="Y40"/>
          <cell r="AA40"/>
          <cell r="AB40"/>
          <cell r="AF40"/>
          <cell r="AG40"/>
          <cell r="AH40"/>
          <cell r="AI40"/>
          <cell r="AJ40"/>
          <cell r="AK40"/>
          <cell r="AL40"/>
          <cell r="AM40"/>
          <cell r="AN40"/>
          <cell r="AT40">
            <v>39</v>
          </cell>
          <cell r="AU40">
            <v>24</v>
          </cell>
          <cell r="AW40">
            <v>15</v>
          </cell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S41"/>
          <cell r="T41"/>
          <cell r="U41"/>
          <cell r="V41"/>
          <cell r="W41"/>
          <cell r="X41"/>
          <cell r="Y41"/>
          <cell r="AA41"/>
          <cell r="AB41"/>
          <cell r="AF41"/>
          <cell r="AG41"/>
          <cell r="AH41"/>
          <cell r="AI41"/>
          <cell r="AJ41"/>
          <cell r="AK41"/>
          <cell r="AL41"/>
          <cell r="AM41"/>
          <cell r="AN41"/>
          <cell r="AT41">
            <v>18</v>
          </cell>
          <cell r="AU41">
            <v>9</v>
          </cell>
          <cell r="AW41"/>
          <cell r="AX41"/>
          <cell r="AY41"/>
          <cell r="AZ41"/>
          <cell r="BA41"/>
          <cell r="BB41"/>
          <cell r="BC41"/>
          <cell r="BD41"/>
          <cell r="BE41"/>
          <cell r="BF41">
            <v>23</v>
          </cell>
          <cell r="BG41"/>
          <cell r="BH41"/>
        </row>
        <row r="42">
          <cell r="E42"/>
          <cell r="F42"/>
          <cell r="G42">
            <v>403</v>
          </cell>
          <cell r="H42">
            <v>235</v>
          </cell>
          <cell r="I42">
            <v>690</v>
          </cell>
          <cell r="J42"/>
          <cell r="K42"/>
          <cell r="L42"/>
          <cell r="M42"/>
          <cell r="N42">
            <v>44</v>
          </cell>
          <cell r="O42"/>
          <cell r="P42"/>
          <cell r="Q42"/>
          <cell r="S42"/>
          <cell r="T42">
            <v>1</v>
          </cell>
          <cell r="U42"/>
          <cell r="V42"/>
          <cell r="W42"/>
          <cell r="X42"/>
          <cell r="Y42"/>
          <cell r="AA42"/>
          <cell r="AB42"/>
          <cell r="AF42"/>
          <cell r="AG42">
            <v>88</v>
          </cell>
          <cell r="AH42"/>
          <cell r="AI42"/>
          <cell r="AJ42"/>
          <cell r="AK42">
            <v>95</v>
          </cell>
          <cell r="AL42">
            <v>79</v>
          </cell>
          <cell r="AM42"/>
          <cell r="AN42"/>
          <cell r="AT42">
            <v>90</v>
          </cell>
          <cell r="AU42">
            <v>71</v>
          </cell>
          <cell r="AW42"/>
          <cell r="AX42"/>
          <cell r="AY42">
            <v>757</v>
          </cell>
          <cell r="AZ42"/>
          <cell r="BA42"/>
          <cell r="BB42">
            <v>213</v>
          </cell>
          <cell r="BC42"/>
          <cell r="BD42"/>
          <cell r="BE42"/>
          <cell r="BF42">
            <v>3</v>
          </cell>
          <cell r="BG42">
            <v>121</v>
          </cell>
          <cell r="BH42"/>
        </row>
        <row r="43">
          <cell r="E43"/>
          <cell r="F43">
            <v>15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S43"/>
          <cell r="T43"/>
          <cell r="U43"/>
          <cell r="V43"/>
          <cell r="W43"/>
          <cell r="X43"/>
          <cell r="Y43"/>
          <cell r="AA43"/>
          <cell r="AB43">
            <v>9</v>
          </cell>
          <cell r="AF43"/>
          <cell r="AG43"/>
          <cell r="AH43"/>
          <cell r="AI43"/>
          <cell r="AJ43"/>
          <cell r="AK43"/>
          <cell r="AL43"/>
          <cell r="AM43"/>
          <cell r="AN43"/>
          <cell r="AT43">
            <v>59</v>
          </cell>
          <cell r="AU43">
            <v>60</v>
          </cell>
          <cell r="AW43">
            <v>78</v>
          </cell>
          <cell r="AX43"/>
          <cell r="AY43"/>
          <cell r="AZ43"/>
          <cell r="BA43"/>
          <cell r="BB43"/>
          <cell r="BC43"/>
          <cell r="BD43"/>
          <cell r="BE43"/>
          <cell r="BF43">
            <v>5</v>
          </cell>
          <cell r="BG43"/>
          <cell r="BH43"/>
        </row>
        <row r="44">
          <cell r="E44"/>
          <cell r="F44"/>
          <cell r="G44"/>
          <cell r="H44">
            <v>12</v>
          </cell>
          <cell r="I44">
            <v>7</v>
          </cell>
          <cell r="J44"/>
          <cell r="K44"/>
          <cell r="L44"/>
          <cell r="M44"/>
          <cell r="N44"/>
          <cell r="O44"/>
          <cell r="P44"/>
          <cell r="Q44"/>
          <cell r="S44"/>
          <cell r="T44"/>
          <cell r="U44"/>
          <cell r="V44"/>
          <cell r="W44"/>
          <cell r="X44"/>
          <cell r="Y44"/>
          <cell r="AA44"/>
          <cell r="AB44"/>
          <cell r="AF44"/>
          <cell r="AG44"/>
          <cell r="AH44"/>
          <cell r="AI44"/>
          <cell r="AJ44"/>
          <cell r="AK44">
            <v>1</v>
          </cell>
          <cell r="AL44">
            <v>7</v>
          </cell>
          <cell r="AM44"/>
          <cell r="AN44"/>
          <cell r="AT44">
            <v>11</v>
          </cell>
          <cell r="AU44">
            <v>13</v>
          </cell>
          <cell r="AW44"/>
          <cell r="AX44"/>
          <cell r="AY44">
            <v>9</v>
          </cell>
          <cell r="AZ44"/>
          <cell r="BA44"/>
          <cell r="BB44">
            <v>460</v>
          </cell>
          <cell r="BC44"/>
          <cell r="BD44"/>
          <cell r="BE44"/>
          <cell r="BF44">
            <v>1</v>
          </cell>
          <cell r="BG44">
            <v>6</v>
          </cell>
          <cell r="BH44"/>
        </row>
        <row r="45">
          <cell r="E45"/>
          <cell r="F45"/>
          <cell r="G45"/>
          <cell r="H45"/>
          <cell r="I45"/>
          <cell r="J45"/>
          <cell r="K45"/>
          <cell r="L45"/>
          <cell r="M45">
            <v>7</v>
          </cell>
          <cell r="N45"/>
          <cell r="O45"/>
          <cell r="P45"/>
          <cell r="Q45"/>
          <cell r="S45">
            <v>5</v>
          </cell>
          <cell r="T45"/>
          <cell r="U45"/>
          <cell r="V45"/>
          <cell r="W45"/>
          <cell r="X45"/>
          <cell r="Y45"/>
          <cell r="AA45"/>
          <cell r="AB45"/>
          <cell r="AF45"/>
          <cell r="AG45"/>
          <cell r="AH45"/>
          <cell r="AI45"/>
          <cell r="AJ45"/>
          <cell r="AK45"/>
          <cell r="AL45"/>
          <cell r="AM45"/>
          <cell r="AN45"/>
          <cell r="AT45">
            <v>12</v>
          </cell>
          <cell r="AU45">
            <v>14</v>
          </cell>
          <cell r="AW45"/>
          <cell r="AX45"/>
          <cell r="AY45"/>
          <cell r="AZ45"/>
          <cell r="BA45"/>
          <cell r="BB45"/>
          <cell r="BC45"/>
          <cell r="BD45"/>
          <cell r="BE45"/>
          <cell r="BF45">
            <v>6</v>
          </cell>
          <cell r="BG45"/>
          <cell r="BH45">
            <v>2</v>
          </cell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S46"/>
          <cell r="T46"/>
          <cell r="U46"/>
          <cell r="V46"/>
          <cell r="W46"/>
          <cell r="X46"/>
          <cell r="Y46"/>
          <cell r="AA46"/>
          <cell r="AB46"/>
          <cell r="AF46"/>
          <cell r="AG46"/>
          <cell r="AH46"/>
          <cell r="AI46"/>
          <cell r="AJ46"/>
          <cell r="AK46"/>
          <cell r="AL46"/>
          <cell r="AM46"/>
          <cell r="AN46">
            <v>2</v>
          </cell>
          <cell r="AT46">
            <v>61</v>
          </cell>
          <cell r="AU46">
            <v>75</v>
          </cell>
          <cell r="AW46"/>
          <cell r="AX46"/>
          <cell r="AY46"/>
          <cell r="AZ46">
            <v>5</v>
          </cell>
          <cell r="BA46"/>
          <cell r="BB46"/>
          <cell r="BC46"/>
          <cell r="BD46"/>
          <cell r="BE46"/>
          <cell r="BF46">
            <v>14</v>
          </cell>
          <cell r="BG46"/>
          <cell r="BH46"/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S47"/>
          <cell r="T47"/>
          <cell r="U47"/>
          <cell r="V47"/>
          <cell r="W47"/>
          <cell r="X47"/>
          <cell r="Y47"/>
          <cell r="AA47"/>
          <cell r="AB47"/>
          <cell r="AF47"/>
          <cell r="AG47"/>
          <cell r="AH47"/>
          <cell r="AI47"/>
          <cell r="AJ47"/>
          <cell r="AK47"/>
          <cell r="AL47"/>
          <cell r="AM47"/>
          <cell r="AN47"/>
          <cell r="AT47">
            <v>1</v>
          </cell>
          <cell r="AU47">
            <v>3</v>
          </cell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S48"/>
          <cell r="T48"/>
          <cell r="U48"/>
          <cell r="V48"/>
          <cell r="W48"/>
          <cell r="X48"/>
          <cell r="Y48"/>
          <cell r="AA48"/>
          <cell r="AB48"/>
          <cell r="AF48"/>
          <cell r="AG48"/>
          <cell r="AH48"/>
          <cell r="AI48"/>
          <cell r="AJ48"/>
          <cell r="AK48"/>
          <cell r="AL48"/>
          <cell r="AM48"/>
          <cell r="AN48"/>
          <cell r="AT48">
            <v>3</v>
          </cell>
          <cell r="AU48">
            <v>18</v>
          </cell>
          <cell r="AW48"/>
          <cell r="AX48"/>
          <cell r="AY48"/>
          <cell r="AZ48"/>
          <cell r="BA48">
            <v>393</v>
          </cell>
          <cell r="BB48"/>
          <cell r="BC48"/>
          <cell r="BD48"/>
          <cell r="BE48"/>
          <cell r="BF48">
            <v>3</v>
          </cell>
          <cell r="BG48"/>
          <cell r="B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S49"/>
          <cell r="T49"/>
          <cell r="U49"/>
          <cell r="V49"/>
          <cell r="W49"/>
          <cell r="X49"/>
          <cell r="Y49"/>
          <cell r="AA49"/>
          <cell r="AB49"/>
          <cell r="AF49"/>
          <cell r="AG49"/>
          <cell r="AH49"/>
          <cell r="AI49"/>
          <cell r="AJ49"/>
          <cell r="AK49"/>
          <cell r="AL49"/>
          <cell r="AM49"/>
          <cell r="AN49"/>
          <cell r="AT49">
            <v>7</v>
          </cell>
          <cell r="AU49">
            <v>6</v>
          </cell>
          <cell r="AW49"/>
          <cell r="AX49"/>
          <cell r="AY49"/>
          <cell r="AZ49"/>
          <cell r="BA49"/>
          <cell r="BB49"/>
          <cell r="BC49"/>
          <cell r="BD49"/>
          <cell r="BE49"/>
          <cell r="BF49">
            <v>13</v>
          </cell>
          <cell r="BG49"/>
          <cell r="BH49"/>
        </row>
        <row r="50">
          <cell r="E50"/>
          <cell r="F50"/>
          <cell r="G50">
            <v>6</v>
          </cell>
          <cell r="H50">
            <v>3</v>
          </cell>
          <cell r="I50">
            <v>3</v>
          </cell>
          <cell r="J50"/>
          <cell r="K50"/>
          <cell r="L50"/>
          <cell r="M50"/>
          <cell r="N50"/>
          <cell r="O50"/>
          <cell r="P50"/>
          <cell r="Q50"/>
          <cell r="S50"/>
          <cell r="T50"/>
          <cell r="U50"/>
          <cell r="V50"/>
          <cell r="W50"/>
          <cell r="X50"/>
          <cell r="Y50"/>
          <cell r="AA50"/>
          <cell r="AB50"/>
          <cell r="AF50"/>
          <cell r="AG50">
            <v>3</v>
          </cell>
          <cell r="AH50"/>
          <cell r="AI50"/>
          <cell r="AJ50"/>
          <cell r="AK50"/>
          <cell r="AL50">
            <v>5</v>
          </cell>
          <cell r="AM50"/>
          <cell r="AN50"/>
          <cell r="AT50">
            <v>29</v>
          </cell>
          <cell r="AU50">
            <v>18</v>
          </cell>
          <cell r="AW50"/>
          <cell r="AX50"/>
          <cell r="AY50">
            <v>18</v>
          </cell>
          <cell r="AZ50"/>
          <cell r="BA50"/>
          <cell r="BB50">
            <v>1</v>
          </cell>
          <cell r="BC50"/>
          <cell r="BD50"/>
          <cell r="BE50"/>
          <cell r="BF50">
            <v>4</v>
          </cell>
          <cell r="BG50">
            <v>8</v>
          </cell>
          <cell r="BH50"/>
        </row>
        <row r="51">
          <cell r="E51"/>
          <cell r="F51"/>
          <cell r="G51"/>
          <cell r="H51">
            <v>2</v>
          </cell>
          <cell r="I51">
            <v>4</v>
          </cell>
          <cell r="J51"/>
          <cell r="K51"/>
          <cell r="L51"/>
          <cell r="M51"/>
          <cell r="N51">
            <v>1</v>
          </cell>
          <cell r="O51"/>
          <cell r="P51"/>
          <cell r="Q51"/>
          <cell r="S51"/>
          <cell r="T51"/>
          <cell r="U51"/>
          <cell r="V51"/>
          <cell r="W51"/>
          <cell r="X51"/>
          <cell r="Y51"/>
          <cell r="AA51"/>
          <cell r="AB51"/>
          <cell r="AF51"/>
          <cell r="AG51"/>
          <cell r="AH51"/>
          <cell r="AI51"/>
          <cell r="AJ51"/>
          <cell r="AK51"/>
          <cell r="AL51">
            <v>1</v>
          </cell>
          <cell r="AM51"/>
          <cell r="AN51"/>
          <cell r="AT51">
            <v>20</v>
          </cell>
          <cell r="AU51">
            <v>8</v>
          </cell>
          <cell r="AW51"/>
          <cell r="AX51"/>
          <cell r="AY51">
            <v>8</v>
          </cell>
          <cell r="AZ51"/>
          <cell r="BA51"/>
          <cell r="BB51">
            <v>2</v>
          </cell>
          <cell r="BC51">
            <v>1</v>
          </cell>
          <cell r="BD51"/>
          <cell r="BE51"/>
          <cell r="BF51">
            <v>6</v>
          </cell>
          <cell r="BG51">
            <v>5</v>
          </cell>
          <cell r="B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S52"/>
          <cell r="T52"/>
          <cell r="U52"/>
          <cell r="V52"/>
          <cell r="W52"/>
          <cell r="X52"/>
          <cell r="Y52"/>
          <cell r="AA52"/>
          <cell r="AB52"/>
          <cell r="AF52"/>
          <cell r="AG52"/>
          <cell r="AH52"/>
          <cell r="AI52"/>
          <cell r="AJ52"/>
          <cell r="AK52"/>
          <cell r="AL52"/>
          <cell r="AM52"/>
          <cell r="AN52"/>
          <cell r="AT52">
            <v>12</v>
          </cell>
          <cell r="AU52">
            <v>16</v>
          </cell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>
            <v>1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S53"/>
          <cell r="T53">
            <v>1</v>
          </cell>
          <cell r="U53"/>
          <cell r="V53"/>
          <cell r="W53"/>
          <cell r="X53"/>
          <cell r="Y53"/>
          <cell r="AA53"/>
          <cell r="AB53"/>
          <cell r="AF53">
            <v>50</v>
          </cell>
          <cell r="AG53"/>
          <cell r="AH53"/>
          <cell r="AI53"/>
          <cell r="AJ53"/>
          <cell r="AK53"/>
          <cell r="AL53"/>
          <cell r="AM53"/>
          <cell r="AN53"/>
          <cell r="AT53">
            <v>4</v>
          </cell>
          <cell r="AU53">
            <v>4</v>
          </cell>
          <cell r="AW53"/>
          <cell r="AX53"/>
          <cell r="AY53"/>
          <cell r="AZ53"/>
          <cell r="BA53"/>
          <cell r="BB53"/>
          <cell r="BC53">
            <v>1</v>
          </cell>
          <cell r="BD53"/>
          <cell r="BE53"/>
          <cell r="BF53">
            <v>1</v>
          </cell>
          <cell r="BG53">
            <v>2</v>
          </cell>
          <cell r="BH53"/>
        </row>
        <row r="54">
          <cell r="E54"/>
          <cell r="F54"/>
          <cell r="G54"/>
          <cell r="H54"/>
          <cell r="I54">
            <v>2</v>
          </cell>
          <cell r="J54"/>
          <cell r="K54"/>
          <cell r="L54"/>
          <cell r="M54"/>
          <cell r="N54"/>
          <cell r="O54"/>
          <cell r="P54"/>
          <cell r="Q54"/>
          <cell r="S54">
            <v>6</v>
          </cell>
          <cell r="T54">
            <v>1</v>
          </cell>
          <cell r="U54"/>
          <cell r="V54"/>
          <cell r="W54"/>
          <cell r="X54"/>
          <cell r="Y54"/>
          <cell r="AA54"/>
          <cell r="AB54"/>
          <cell r="AF54">
            <v>22</v>
          </cell>
          <cell r="AG54"/>
          <cell r="AH54"/>
          <cell r="AI54"/>
          <cell r="AJ54"/>
          <cell r="AK54"/>
          <cell r="AL54"/>
          <cell r="AM54"/>
          <cell r="AN54"/>
          <cell r="AT54">
            <v>19</v>
          </cell>
          <cell r="AU54">
            <v>38</v>
          </cell>
          <cell r="AW54"/>
          <cell r="AX54"/>
          <cell r="AY54">
            <v>8</v>
          </cell>
          <cell r="AZ54"/>
          <cell r="BA54"/>
          <cell r="BB54">
            <v>2</v>
          </cell>
          <cell r="BC54">
            <v>3</v>
          </cell>
          <cell r="BD54"/>
          <cell r="BE54"/>
          <cell r="BF54">
            <v>3</v>
          </cell>
          <cell r="BG54">
            <v>4</v>
          </cell>
          <cell r="BH54">
            <v>3</v>
          </cell>
        </row>
        <row r="55">
          <cell r="E55"/>
          <cell r="F55"/>
          <cell r="G55"/>
          <cell r="H55"/>
          <cell r="I55"/>
          <cell r="J55"/>
          <cell r="K55">
            <v>246</v>
          </cell>
          <cell r="L55"/>
          <cell r="M55">
            <v>1</v>
          </cell>
          <cell r="N55"/>
          <cell r="O55"/>
          <cell r="P55"/>
          <cell r="Q55"/>
          <cell r="S55"/>
          <cell r="T55"/>
          <cell r="U55"/>
          <cell r="V55"/>
          <cell r="W55">
            <v>3</v>
          </cell>
          <cell r="X55">
            <v>92</v>
          </cell>
          <cell r="Y55">
            <v>32</v>
          </cell>
          <cell r="AA55"/>
          <cell r="AB55"/>
          <cell r="AF55"/>
          <cell r="AG55"/>
          <cell r="AH55">
            <v>2</v>
          </cell>
          <cell r="AI55"/>
          <cell r="AJ55"/>
          <cell r="AK55"/>
          <cell r="AL55"/>
          <cell r="AM55"/>
          <cell r="AN55">
            <v>1</v>
          </cell>
          <cell r="AT55">
            <v>65</v>
          </cell>
          <cell r="AU55">
            <v>63</v>
          </cell>
          <cell r="AW55"/>
          <cell r="AX55"/>
          <cell r="AY55"/>
          <cell r="AZ55">
            <v>4</v>
          </cell>
          <cell r="BA55"/>
          <cell r="BB55"/>
          <cell r="BC55"/>
          <cell r="BD55"/>
          <cell r="BE55"/>
          <cell r="BF55">
            <v>12</v>
          </cell>
          <cell r="BG55"/>
          <cell r="B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S56"/>
          <cell r="T56"/>
          <cell r="U56"/>
          <cell r="V56"/>
          <cell r="W56">
            <v>53</v>
          </cell>
          <cell r="X56">
            <v>42</v>
          </cell>
          <cell r="Y56">
            <v>24</v>
          </cell>
          <cell r="AA56"/>
          <cell r="AB56"/>
          <cell r="AF56"/>
          <cell r="AG56"/>
          <cell r="AH56">
            <v>3</v>
          </cell>
          <cell r="AI56"/>
          <cell r="AJ56"/>
          <cell r="AK56"/>
          <cell r="AL56"/>
          <cell r="AM56"/>
          <cell r="AN56"/>
          <cell r="AT56">
            <v>25</v>
          </cell>
          <cell r="AU56">
            <v>11</v>
          </cell>
          <cell r="AW56"/>
          <cell r="AX56"/>
          <cell r="AY56"/>
          <cell r="AZ56"/>
          <cell r="BA56"/>
          <cell r="BB56"/>
          <cell r="BC56"/>
          <cell r="BD56"/>
          <cell r="BE56"/>
          <cell r="BF56">
            <v>5</v>
          </cell>
          <cell r="BG56"/>
          <cell r="B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S57"/>
          <cell r="T57"/>
          <cell r="U57"/>
          <cell r="V57"/>
          <cell r="W57"/>
          <cell r="X57"/>
          <cell r="Y57"/>
          <cell r="AA57"/>
          <cell r="AB57"/>
          <cell r="AF57"/>
          <cell r="AG57"/>
          <cell r="AH57"/>
          <cell r="AI57"/>
          <cell r="AJ57"/>
          <cell r="AK57"/>
          <cell r="AL57"/>
          <cell r="AM57"/>
          <cell r="AN57"/>
          <cell r="AT57">
            <v>9</v>
          </cell>
          <cell r="AU57">
            <v>20</v>
          </cell>
          <cell r="AW57"/>
          <cell r="AX57">
            <v>254</v>
          </cell>
          <cell r="AY57"/>
          <cell r="AZ57"/>
          <cell r="BA57"/>
          <cell r="BB57"/>
          <cell r="BC57">
            <v>3</v>
          </cell>
          <cell r="BD57"/>
          <cell r="BE57"/>
          <cell r="BF57">
            <v>2</v>
          </cell>
          <cell r="BG57"/>
          <cell r="BH57"/>
        </row>
        <row r="58">
          <cell r="E58"/>
          <cell r="F58"/>
          <cell r="G58">
            <v>2</v>
          </cell>
          <cell r="H58">
            <v>3</v>
          </cell>
          <cell r="I58">
            <v>8</v>
          </cell>
          <cell r="J58"/>
          <cell r="K58"/>
          <cell r="L58"/>
          <cell r="M58">
            <v>1</v>
          </cell>
          <cell r="N58">
            <v>2</v>
          </cell>
          <cell r="O58"/>
          <cell r="P58"/>
          <cell r="Q58"/>
          <cell r="S58"/>
          <cell r="T58"/>
          <cell r="U58"/>
          <cell r="V58"/>
          <cell r="W58"/>
          <cell r="X58"/>
          <cell r="Y58"/>
          <cell r="AA58"/>
          <cell r="AB58"/>
          <cell r="AF58"/>
          <cell r="AG58"/>
          <cell r="AH58"/>
          <cell r="AI58"/>
          <cell r="AJ58"/>
          <cell r="AK58"/>
          <cell r="AL58"/>
          <cell r="AM58"/>
          <cell r="AN58"/>
          <cell r="AT58">
            <v>105</v>
          </cell>
          <cell r="AU58">
            <v>298</v>
          </cell>
          <cell r="AW58"/>
          <cell r="AX58"/>
          <cell r="AY58">
            <v>6</v>
          </cell>
          <cell r="AZ58"/>
          <cell r="BA58"/>
          <cell r="BB58">
            <v>4</v>
          </cell>
          <cell r="BC58"/>
          <cell r="BD58"/>
          <cell r="BE58"/>
          <cell r="BF58">
            <v>30</v>
          </cell>
          <cell r="BG58">
            <v>40</v>
          </cell>
          <cell r="BH58">
            <v>1</v>
          </cell>
        </row>
        <row r="59">
          <cell r="E59">
            <v>1</v>
          </cell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S59"/>
          <cell r="T59"/>
          <cell r="U59"/>
          <cell r="V59"/>
          <cell r="W59"/>
          <cell r="X59"/>
          <cell r="Y59"/>
          <cell r="AA59"/>
          <cell r="AB59"/>
          <cell r="AF59"/>
          <cell r="AG59"/>
          <cell r="AH59"/>
          <cell r="AI59"/>
          <cell r="AJ59"/>
          <cell r="AK59"/>
          <cell r="AL59"/>
          <cell r="AM59"/>
          <cell r="AN59"/>
          <cell r="AT59">
            <v>78</v>
          </cell>
          <cell r="AU59">
            <v>196</v>
          </cell>
          <cell r="AW59"/>
          <cell r="AX59"/>
          <cell r="AY59"/>
          <cell r="AZ59"/>
          <cell r="BA59"/>
          <cell r="BB59">
            <v>1</v>
          </cell>
          <cell r="BC59"/>
          <cell r="BD59"/>
          <cell r="BE59"/>
          <cell r="BF59">
            <v>14</v>
          </cell>
          <cell r="BG59">
            <v>8</v>
          </cell>
          <cell r="BH59">
            <v>2</v>
          </cell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>
            <v>45</v>
          </cell>
          <cell r="Q60"/>
          <cell r="S60"/>
          <cell r="T60"/>
          <cell r="U60"/>
          <cell r="V60"/>
          <cell r="W60"/>
          <cell r="X60"/>
          <cell r="Y60"/>
          <cell r="AA60"/>
          <cell r="AB60"/>
          <cell r="AF60"/>
          <cell r="AG60"/>
          <cell r="AH60"/>
          <cell r="AI60"/>
          <cell r="AJ60"/>
          <cell r="AK60"/>
          <cell r="AL60"/>
          <cell r="AM60"/>
          <cell r="AN60"/>
          <cell r="AT60">
            <v>5</v>
          </cell>
          <cell r="AU60">
            <v>8</v>
          </cell>
          <cell r="AW60"/>
          <cell r="AX60"/>
          <cell r="AY60"/>
          <cell r="AZ60"/>
          <cell r="BA60">
            <v>15</v>
          </cell>
          <cell r="BB60"/>
          <cell r="BC60"/>
          <cell r="BD60"/>
          <cell r="BE60"/>
          <cell r="BF60"/>
          <cell r="BG60"/>
          <cell r="B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S61"/>
          <cell r="T61">
            <v>56</v>
          </cell>
          <cell r="U61"/>
          <cell r="V61"/>
          <cell r="W61"/>
          <cell r="X61"/>
          <cell r="Y61"/>
          <cell r="AA61"/>
          <cell r="AB61"/>
          <cell r="AF61"/>
          <cell r="AG61"/>
          <cell r="AH61"/>
          <cell r="AI61"/>
          <cell r="AJ61"/>
          <cell r="AK61"/>
          <cell r="AL61"/>
          <cell r="AM61"/>
          <cell r="AN61"/>
          <cell r="AT61">
            <v>59</v>
          </cell>
          <cell r="AU61">
            <v>111</v>
          </cell>
          <cell r="AW61"/>
          <cell r="AX61"/>
          <cell r="AY61"/>
          <cell r="AZ61"/>
          <cell r="BA61"/>
          <cell r="BB61"/>
          <cell r="BC61">
            <v>45</v>
          </cell>
          <cell r="BD61"/>
          <cell r="BE61"/>
          <cell r="BF61">
            <v>8</v>
          </cell>
          <cell r="BG61"/>
          <cell r="BH61"/>
        </row>
        <row r="62">
          <cell r="E62"/>
          <cell r="F62">
            <v>903</v>
          </cell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S62"/>
          <cell r="T62"/>
          <cell r="U62"/>
          <cell r="V62">
            <v>130</v>
          </cell>
          <cell r="W62"/>
          <cell r="X62"/>
          <cell r="Y62"/>
          <cell r="AA62"/>
          <cell r="AB62">
            <v>27</v>
          </cell>
          <cell r="AF62"/>
          <cell r="AG62"/>
          <cell r="AH62"/>
          <cell r="AI62"/>
          <cell r="AJ62"/>
          <cell r="AK62"/>
          <cell r="AL62"/>
          <cell r="AM62"/>
          <cell r="AN62"/>
          <cell r="AT62">
            <v>8</v>
          </cell>
          <cell r="AU62">
            <v>10</v>
          </cell>
          <cell r="AW62">
            <v>1</v>
          </cell>
          <cell r="AX62"/>
          <cell r="AY62"/>
          <cell r="AZ62"/>
          <cell r="BA62"/>
          <cell r="BB62"/>
          <cell r="BC62"/>
          <cell r="BD62"/>
          <cell r="BE62"/>
          <cell r="BF62">
            <v>1</v>
          </cell>
          <cell r="BG62"/>
          <cell r="B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S63"/>
          <cell r="T63"/>
          <cell r="U63"/>
          <cell r="V63"/>
          <cell r="W63">
            <v>27</v>
          </cell>
          <cell r="X63">
            <v>4</v>
          </cell>
          <cell r="Y63"/>
          <cell r="AA63"/>
          <cell r="AB63"/>
          <cell r="AF63"/>
          <cell r="AG63"/>
          <cell r="AH63">
            <v>2</v>
          </cell>
          <cell r="AI63"/>
          <cell r="AJ63"/>
          <cell r="AK63"/>
          <cell r="AL63"/>
          <cell r="AM63"/>
          <cell r="AN63"/>
          <cell r="AT63">
            <v>27</v>
          </cell>
          <cell r="AU63">
            <v>18</v>
          </cell>
          <cell r="AW63"/>
          <cell r="AX63"/>
          <cell r="AY63"/>
          <cell r="AZ63"/>
          <cell r="BA63"/>
          <cell r="BB63"/>
          <cell r="BC63"/>
          <cell r="BD63"/>
          <cell r="BE63"/>
          <cell r="BF63">
            <v>2</v>
          </cell>
          <cell r="BG63"/>
          <cell r="B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S64"/>
          <cell r="T64"/>
          <cell r="U64"/>
          <cell r="V64"/>
          <cell r="W64"/>
          <cell r="X64"/>
          <cell r="Y64"/>
          <cell r="AA64"/>
          <cell r="AB64"/>
          <cell r="AF64"/>
          <cell r="AG64"/>
          <cell r="AH64"/>
          <cell r="AI64"/>
          <cell r="AJ64"/>
          <cell r="AK64"/>
          <cell r="AL64"/>
          <cell r="AM64"/>
          <cell r="AN64"/>
          <cell r="AT64">
            <v>23</v>
          </cell>
          <cell r="AU64">
            <v>20</v>
          </cell>
          <cell r="AW64"/>
          <cell r="AX64"/>
          <cell r="AY64"/>
          <cell r="AZ64"/>
          <cell r="BA64"/>
          <cell r="BB64"/>
          <cell r="BC64"/>
          <cell r="BD64"/>
          <cell r="BE64"/>
          <cell r="BF64">
            <v>7</v>
          </cell>
          <cell r="BG64"/>
          <cell r="B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S65"/>
          <cell r="T65"/>
          <cell r="U65"/>
          <cell r="V65"/>
          <cell r="W65"/>
          <cell r="X65"/>
          <cell r="Y65"/>
          <cell r="AA65"/>
          <cell r="AB65"/>
          <cell r="AF65"/>
          <cell r="AG65"/>
          <cell r="AH65"/>
          <cell r="AI65"/>
          <cell r="AJ65"/>
          <cell r="AK65"/>
          <cell r="AL65"/>
          <cell r="AM65"/>
          <cell r="AN65"/>
          <cell r="AT65">
            <v>18</v>
          </cell>
          <cell r="AU65">
            <v>43</v>
          </cell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</row>
        <row r="66"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S66"/>
          <cell r="T66"/>
          <cell r="U66"/>
          <cell r="V66"/>
          <cell r="W66"/>
          <cell r="X66"/>
          <cell r="Y66"/>
          <cell r="AA66"/>
          <cell r="AB66">
            <v>2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T66">
            <v>17</v>
          </cell>
          <cell r="AU66">
            <v>23</v>
          </cell>
          <cell r="AW66"/>
          <cell r="AX66"/>
          <cell r="AY66"/>
          <cell r="AZ66"/>
          <cell r="BA66"/>
          <cell r="BB66"/>
          <cell r="BC66"/>
          <cell r="BD66"/>
          <cell r="BE66"/>
          <cell r="BF66">
            <v>1</v>
          </cell>
          <cell r="BG66"/>
          <cell r="BH66"/>
        </row>
        <row r="67">
          <cell r="E67">
            <v>3</v>
          </cell>
          <cell r="F67"/>
          <cell r="G67"/>
          <cell r="H67"/>
          <cell r="I67"/>
          <cell r="J67"/>
          <cell r="K67"/>
          <cell r="L67"/>
          <cell r="M67">
            <v>14</v>
          </cell>
          <cell r="N67"/>
          <cell r="O67">
            <v>1</v>
          </cell>
          <cell r="P67"/>
          <cell r="Q67"/>
          <cell r="S67">
            <v>6</v>
          </cell>
          <cell r="T67">
            <v>38</v>
          </cell>
          <cell r="U67"/>
          <cell r="V67"/>
          <cell r="W67"/>
          <cell r="X67"/>
          <cell r="Y67"/>
          <cell r="AA67">
            <v>1</v>
          </cell>
          <cell r="AB67"/>
          <cell r="AF67"/>
          <cell r="AG67"/>
          <cell r="AH67"/>
          <cell r="AI67"/>
          <cell r="AJ67"/>
          <cell r="AK67"/>
          <cell r="AL67"/>
          <cell r="AM67"/>
          <cell r="AN67"/>
          <cell r="AT67">
            <v>10</v>
          </cell>
          <cell r="AU67">
            <v>26</v>
          </cell>
          <cell r="AW67"/>
          <cell r="AX67"/>
          <cell r="AY67"/>
          <cell r="AZ67"/>
          <cell r="BA67"/>
          <cell r="BB67"/>
          <cell r="BC67"/>
          <cell r="BD67"/>
          <cell r="BE67"/>
          <cell r="BF67">
            <v>2</v>
          </cell>
          <cell r="BG67"/>
          <cell r="BH67">
            <v>6</v>
          </cell>
        </row>
        <row r="68"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S68"/>
          <cell r="T68"/>
          <cell r="U68"/>
          <cell r="V68"/>
          <cell r="W68"/>
          <cell r="X68"/>
          <cell r="Y68"/>
          <cell r="AA68"/>
          <cell r="AB68"/>
          <cell r="AF68"/>
          <cell r="AG68"/>
          <cell r="AH68"/>
          <cell r="AI68"/>
          <cell r="AJ68"/>
          <cell r="AK68"/>
          <cell r="AL68"/>
          <cell r="AM68"/>
          <cell r="AN68"/>
          <cell r="AT68">
            <v>4</v>
          </cell>
          <cell r="AU68">
            <v>11</v>
          </cell>
          <cell r="AW68"/>
          <cell r="AX68"/>
          <cell r="AY68"/>
          <cell r="AZ68"/>
          <cell r="BA68">
            <v>40</v>
          </cell>
          <cell r="BB68"/>
          <cell r="BC68"/>
          <cell r="BD68"/>
          <cell r="BE68"/>
          <cell r="BF68">
            <v>2</v>
          </cell>
          <cell r="BG68"/>
          <cell r="BH68"/>
        </row>
        <row r="69">
          <cell r="E69"/>
          <cell r="F69"/>
          <cell r="G69"/>
          <cell r="H69"/>
          <cell r="I69"/>
          <cell r="J69"/>
          <cell r="K69"/>
          <cell r="L69"/>
          <cell r="M69">
            <v>3</v>
          </cell>
          <cell r="N69"/>
          <cell r="O69"/>
          <cell r="P69"/>
          <cell r="Q69"/>
          <cell r="S69">
            <v>1</v>
          </cell>
          <cell r="T69"/>
          <cell r="U69"/>
          <cell r="V69"/>
          <cell r="W69"/>
          <cell r="X69"/>
          <cell r="Y69"/>
          <cell r="AA69"/>
          <cell r="AB69"/>
          <cell r="AF69"/>
          <cell r="AG69"/>
          <cell r="AH69"/>
          <cell r="AI69"/>
          <cell r="AJ69"/>
          <cell r="AK69"/>
          <cell r="AL69"/>
          <cell r="AM69"/>
          <cell r="AN69"/>
          <cell r="AT69">
            <v>2</v>
          </cell>
          <cell r="AU69">
            <v>8</v>
          </cell>
          <cell r="AW69"/>
          <cell r="AX69"/>
          <cell r="AY69"/>
          <cell r="AZ69"/>
          <cell r="BA69"/>
          <cell r="BB69"/>
          <cell r="BC69"/>
          <cell r="BD69"/>
          <cell r="BE69"/>
          <cell r="BF69">
            <v>2</v>
          </cell>
          <cell r="BG69"/>
          <cell r="BH69">
            <v>2</v>
          </cell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S70"/>
          <cell r="T70"/>
          <cell r="U70"/>
          <cell r="V70"/>
          <cell r="W70"/>
          <cell r="X70"/>
          <cell r="Y70"/>
          <cell r="AA70"/>
          <cell r="AB70">
            <v>1</v>
          </cell>
          <cell r="AF70"/>
          <cell r="AG70"/>
          <cell r="AH70"/>
          <cell r="AI70"/>
          <cell r="AJ70"/>
          <cell r="AK70"/>
          <cell r="AL70"/>
          <cell r="AM70"/>
          <cell r="AN70"/>
          <cell r="AT70">
            <v>5</v>
          </cell>
          <cell r="AU70">
            <v>2</v>
          </cell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S71"/>
          <cell r="T71"/>
          <cell r="U71"/>
          <cell r="V71"/>
          <cell r="W71"/>
          <cell r="X71"/>
          <cell r="Y71"/>
          <cell r="AA71"/>
          <cell r="AB71"/>
          <cell r="AF71"/>
          <cell r="AG71"/>
          <cell r="AH71"/>
          <cell r="AI71"/>
          <cell r="AJ71"/>
          <cell r="AK71"/>
          <cell r="AL71"/>
          <cell r="AM71"/>
          <cell r="AN71"/>
          <cell r="AT71">
            <v>9</v>
          </cell>
          <cell r="AU71">
            <v>9</v>
          </cell>
          <cell r="AW71">
            <v>169</v>
          </cell>
          <cell r="AX71"/>
          <cell r="AY71"/>
          <cell r="AZ71"/>
          <cell r="BA71"/>
          <cell r="BB71"/>
          <cell r="BC71"/>
          <cell r="BD71"/>
          <cell r="BE71"/>
          <cell r="BF71">
            <v>2</v>
          </cell>
          <cell r="BG71"/>
          <cell r="BH71">
            <v>1</v>
          </cell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S72"/>
          <cell r="T72"/>
          <cell r="U72"/>
          <cell r="V72"/>
          <cell r="W72"/>
          <cell r="X72"/>
          <cell r="Y72"/>
          <cell r="AA72"/>
          <cell r="AB72"/>
          <cell r="AF72"/>
          <cell r="AG72"/>
          <cell r="AH72"/>
          <cell r="AI72"/>
          <cell r="AJ72"/>
          <cell r="AK72"/>
          <cell r="AL72"/>
          <cell r="AM72"/>
          <cell r="AN72"/>
          <cell r="AT72">
            <v>18</v>
          </cell>
          <cell r="AU72">
            <v>30</v>
          </cell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</row>
        <row r="73">
          <cell r="E73">
            <v>8</v>
          </cell>
          <cell r="F73"/>
          <cell r="G73"/>
          <cell r="H73"/>
          <cell r="I73"/>
          <cell r="J73"/>
          <cell r="K73"/>
          <cell r="L73"/>
          <cell r="M73">
            <v>9</v>
          </cell>
          <cell r="N73"/>
          <cell r="O73"/>
          <cell r="P73"/>
          <cell r="Q73">
            <v>11</v>
          </cell>
          <cell r="S73">
            <v>19</v>
          </cell>
          <cell r="T73"/>
          <cell r="U73"/>
          <cell r="V73"/>
          <cell r="W73"/>
          <cell r="X73"/>
          <cell r="Y73"/>
          <cell r="AA73">
            <v>1</v>
          </cell>
          <cell r="AB73"/>
          <cell r="AF73"/>
          <cell r="AG73"/>
          <cell r="AH73"/>
          <cell r="AI73">
            <v>1</v>
          </cell>
          <cell r="AJ73">
            <v>1</v>
          </cell>
          <cell r="AK73"/>
          <cell r="AL73"/>
          <cell r="AM73"/>
          <cell r="AN73"/>
          <cell r="AT73">
            <v>12</v>
          </cell>
          <cell r="AU73">
            <v>35</v>
          </cell>
          <cell r="AW73"/>
          <cell r="AX73"/>
          <cell r="AY73"/>
          <cell r="AZ73"/>
          <cell r="BA73"/>
          <cell r="BB73"/>
          <cell r="BC73"/>
          <cell r="BD73"/>
          <cell r="BE73"/>
          <cell r="BF73">
            <v>6</v>
          </cell>
          <cell r="BG73"/>
          <cell r="BH73">
            <v>2</v>
          </cell>
        </row>
        <row r="74">
          <cell r="E74">
            <v>14</v>
          </cell>
          <cell r="F74"/>
          <cell r="G74"/>
          <cell r="H74"/>
          <cell r="I74"/>
          <cell r="J74"/>
          <cell r="K74"/>
          <cell r="L74"/>
          <cell r="M74">
            <v>16</v>
          </cell>
          <cell r="N74"/>
          <cell r="O74">
            <v>11</v>
          </cell>
          <cell r="P74"/>
          <cell r="Q74">
            <v>194</v>
          </cell>
          <cell r="S74">
            <v>256</v>
          </cell>
          <cell r="T74"/>
          <cell r="U74"/>
          <cell r="V74"/>
          <cell r="W74"/>
          <cell r="X74"/>
          <cell r="Y74"/>
          <cell r="AA74">
            <v>20</v>
          </cell>
          <cell r="AB74"/>
          <cell r="AF74"/>
          <cell r="AG74"/>
          <cell r="AH74"/>
          <cell r="AI74">
            <v>15</v>
          </cell>
          <cell r="AJ74">
            <v>13</v>
          </cell>
          <cell r="AK74"/>
          <cell r="AL74"/>
          <cell r="AM74">
            <v>4</v>
          </cell>
          <cell r="AN74"/>
          <cell r="AT74">
            <v>5</v>
          </cell>
          <cell r="AU74">
            <v>14</v>
          </cell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>
            <v>2</v>
          </cell>
        </row>
        <row r="75">
          <cell r="E75">
            <v>1</v>
          </cell>
          <cell r="F75"/>
          <cell r="G75"/>
          <cell r="H75"/>
          <cell r="I75"/>
          <cell r="J75"/>
          <cell r="K75"/>
          <cell r="L75"/>
          <cell r="M75">
            <v>19</v>
          </cell>
          <cell r="N75"/>
          <cell r="O75">
            <v>5</v>
          </cell>
          <cell r="P75"/>
          <cell r="Q75">
            <v>3</v>
          </cell>
          <cell r="S75">
            <v>4</v>
          </cell>
          <cell r="T75"/>
          <cell r="U75"/>
          <cell r="V75"/>
          <cell r="W75"/>
          <cell r="X75"/>
          <cell r="Y75"/>
          <cell r="AA75">
            <v>8</v>
          </cell>
          <cell r="AB75"/>
          <cell r="AF75"/>
          <cell r="AG75"/>
          <cell r="AH75"/>
          <cell r="AI75"/>
          <cell r="AJ75"/>
          <cell r="AK75"/>
          <cell r="AL75"/>
          <cell r="AM75"/>
          <cell r="AN75"/>
          <cell r="AT75">
            <v>8</v>
          </cell>
          <cell r="AU75">
            <v>32</v>
          </cell>
          <cell r="AW75"/>
          <cell r="AX75"/>
          <cell r="AY75"/>
          <cell r="AZ75"/>
          <cell r="BA75"/>
          <cell r="BB75"/>
          <cell r="BC75"/>
          <cell r="BD75"/>
          <cell r="BE75"/>
          <cell r="BF75">
            <v>3</v>
          </cell>
          <cell r="BG75"/>
          <cell r="BH75">
            <v>1</v>
          </cell>
        </row>
        <row r="76">
          <cell r="E76">
            <v>570</v>
          </cell>
          <cell r="F76">
            <v>977</v>
          </cell>
          <cell r="G76">
            <v>456</v>
          </cell>
          <cell r="H76">
            <v>939</v>
          </cell>
          <cell r="I76">
            <v>955</v>
          </cell>
          <cell r="J76">
            <v>941</v>
          </cell>
          <cell r="K76">
            <v>249</v>
          </cell>
          <cell r="L76">
            <v>694</v>
          </cell>
          <cell r="M76">
            <v>380</v>
          </cell>
          <cell r="N76">
            <v>229</v>
          </cell>
          <cell r="O76">
            <v>715</v>
          </cell>
          <cell r="P76">
            <v>474</v>
          </cell>
          <cell r="Q76">
            <v>394</v>
          </cell>
          <cell r="S76">
            <v>491</v>
          </cell>
          <cell r="T76">
            <v>392</v>
          </cell>
          <cell r="U76">
            <v>504</v>
          </cell>
          <cell r="V76">
            <v>180</v>
          </cell>
          <cell r="W76">
            <v>896</v>
          </cell>
          <cell r="X76">
            <v>979</v>
          </cell>
          <cell r="Y76">
            <v>612</v>
          </cell>
          <cell r="AA76">
            <v>677</v>
          </cell>
          <cell r="AB76">
            <v>477</v>
          </cell>
          <cell r="AF76">
            <v>76</v>
          </cell>
          <cell r="AG76">
            <v>103</v>
          </cell>
          <cell r="AH76">
            <v>68</v>
          </cell>
          <cell r="AI76">
            <v>419</v>
          </cell>
          <cell r="AJ76">
            <v>374</v>
          </cell>
          <cell r="AK76">
            <v>102</v>
          </cell>
          <cell r="AL76">
            <v>1131</v>
          </cell>
          <cell r="AM76">
            <v>96</v>
          </cell>
          <cell r="AN76">
            <v>196</v>
          </cell>
          <cell r="AT76">
            <v>1920</v>
          </cell>
          <cell r="AU76">
            <v>3191</v>
          </cell>
          <cell r="AW76">
            <v>269</v>
          </cell>
          <cell r="AX76">
            <v>348</v>
          </cell>
          <cell r="AY76">
            <v>1401</v>
          </cell>
          <cell r="AZ76">
            <v>737</v>
          </cell>
          <cell r="BA76">
            <v>846</v>
          </cell>
          <cell r="BB76">
            <v>912</v>
          </cell>
          <cell r="BC76">
            <v>120</v>
          </cell>
          <cell r="BD76">
            <v>1416</v>
          </cell>
          <cell r="BE76">
            <v>569</v>
          </cell>
          <cell r="BF76">
            <v>358</v>
          </cell>
          <cell r="BG76">
            <v>234</v>
          </cell>
          <cell r="BH76">
            <v>173</v>
          </cell>
        </row>
      </sheetData>
      <sheetData sheetId="1">
        <row r="7">
          <cell r="E7"/>
        </row>
      </sheetData>
      <sheetData sheetId="2">
        <row r="7">
          <cell r="E7"/>
        </row>
      </sheetData>
      <sheetData sheetId="3">
        <row r="7">
          <cell r="E7"/>
        </row>
      </sheetData>
      <sheetData sheetId="4"/>
      <sheetData sheetId="5">
        <row r="2">
          <cell r="A2">
            <v>396211</v>
          </cell>
        </row>
      </sheetData>
      <sheetData sheetId="6">
        <row r="10">
          <cell r="B10">
            <v>26</v>
          </cell>
        </row>
      </sheetData>
      <sheetData sheetId="7">
        <row r="2">
          <cell r="A2">
            <v>36</v>
          </cell>
        </row>
      </sheetData>
      <sheetData sheetId="8">
        <row r="5">
          <cell r="A5">
            <v>1</v>
          </cell>
          <cell r="B5" t="str">
            <v>Acadia Parish</v>
          </cell>
          <cell r="C5">
            <v>1.3593759999999999</v>
          </cell>
        </row>
        <row r="6">
          <cell r="A6">
            <v>3</v>
          </cell>
          <cell r="B6" t="str">
            <v>Ascension Parish</v>
          </cell>
          <cell r="C6">
            <v>1.5052080000000001</v>
          </cell>
        </row>
        <row r="7">
          <cell r="A7">
            <v>5</v>
          </cell>
          <cell r="B7" t="str">
            <v>Avoyelles Parish</v>
          </cell>
          <cell r="C7">
            <v>1.677084</v>
          </cell>
        </row>
        <row r="8">
          <cell r="A8">
            <v>6</v>
          </cell>
          <cell r="B8" t="str">
            <v>Beauregard Parish</v>
          </cell>
          <cell r="C8">
            <v>0.5625</v>
          </cell>
        </row>
        <row r="9">
          <cell r="A9">
            <v>7</v>
          </cell>
          <cell r="B9" t="str">
            <v>Bienville Parish</v>
          </cell>
          <cell r="C9">
            <v>1</v>
          </cell>
        </row>
        <row r="10">
          <cell r="A10">
            <v>8</v>
          </cell>
          <cell r="B10" t="str">
            <v>Bossier Parish</v>
          </cell>
          <cell r="C10">
            <v>2.7656260000000001</v>
          </cell>
        </row>
        <row r="11">
          <cell r="A11">
            <v>9</v>
          </cell>
          <cell r="B11" t="str">
            <v>Caddo Parish</v>
          </cell>
          <cell r="C11">
            <v>25.302083</v>
          </cell>
        </row>
        <row r="12">
          <cell r="A12">
            <v>10</v>
          </cell>
          <cell r="B12" t="str">
            <v>Calcasieu Parish</v>
          </cell>
          <cell r="C12">
            <v>12.838540999999999</v>
          </cell>
        </row>
        <row r="13">
          <cell r="A13">
            <v>14</v>
          </cell>
          <cell r="B13" t="str">
            <v>Claiborne Parish</v>
          </cell>
          <cell r="C13">
            <v>0.71354200000000001</v>
          </cell>
        </row>
        <row r="14">
          <cell r="A14">
            <v>15</v>
          </cell>
          <cell r="B14" t="str">
            <v>Concordia Parish</v>
          </cell>
          <cell r="C14">
            <v>1</v>
          </cell>
        </row>
        <row r="15">
          <cell r="A15">
            <v>16</v>
          </cell>
          <cell r="B15" t="str">
            <v>DeSoto Parish</v>
          </cell>
          <cell r="C15">
            <v>1.171875</v>
          </cell>
        </row>
        <row r="16">
          <cell r="A16">
            <v>17</v>
          </cell>
          <cell r="B16" t="str">
            <v>East Baton Rouge Parish</v>
          </cell>
          <cell r="C16">
            <v>27.812498999999999</v>
          </cell>
        </row>
        <row r="17">
          <cell r="A17">
            <v>18</v>
          </cell>
          <cell r="B17" t="str">
            <v>East Carroll Parish</v>
          </cell>
          <cell r="C17">
            <v>1.109375</v>
          </cell>
        </row>
        <row r="18">
          <cell r="A18">
            <v>20</v>
          </cell>
          <cell r="B18" t="str">
            <v>Evangeline Parish</v>
          </cell>
          <cell r="C18">
            <v>3.0416660000000002</v>
          </cell>
        </row>
        <row r="19">
          <cell r="A19">
            <v>21</v>
          </cell>
          <cell r="B19" t="str">
            <v>Franklin Parish</v>
          </cell>
          <cell r="C19">
            <v>4.4427089999999998</v>
          </cell>
        </row>
        <row r="20">
          <cell r="A20">
            <v>22</v>
          </cell>
          <cell r="B20" t="str">
            <v>Grant Parish</v>
          </cell>
          <cell r="C20">
            <v>0.61979200000000001</v>
          </cell>
        </row>
        <row r="21">
          <cell r="A21">
            <v>23</v>
          </cell>
          <cell r="B21" t="str">
            <v>Iberia Parish</v>
          </cell>
          <cell r="C21">
            <v>1.114584</v>
          </cell>
        </row>
        <row r="22">
          <cell r="A22">
            <v>24</v>
          </cell>
          <cell r="B22" t="str">
            <v>Iberville Parish</v>
          </cell>
          <cell r="C22">
            <v>1.046875</v>
          </cell>
        </row>
        <row r="23">
          <cell r="A23">
            <v>25</v>
          </cell>
          <cell r="B23" t="str">
            <v>Jackson Parish</v>
          </cell>
          <cell r="C23">
            <v>1</v>
          </cell>
        </row>
        <row r="24">
          <cell r="A24">
            <v>26</v>
          </cell>
          <cell r="B24" t="str">
            <v>Jefferson Parish</v>
          </cell>
          <cell r="C24">
            <v>8.2291650000000001</v>
          </cell>
        </row>
        <row r="25">
          <cell r="A25">
            <v>27</v>
          </cell>
          <cell r="B25" t="str">
            <v>Jefferson Davis Parish</v>
          </cell>
          <cell r="C25">
            <v>0.50520900000000002</v>
          </cell>
        </row>
        <row r="26">
          <cell r="A26">
            <v>28</v>
          </cell>
          <cell r="B26" t="str">
            <v>Lafayette Parish</v>
          </cell>
          <cell r="C26">
            <v>4.6197910000000002</v>
          </cell>
        </row>
        <row r="27">
          <cell r="A27">
            <v>29</v>
          </cell>
          <cell r="B27" t="str">
            <v>Lafourche Parish</v>
          </cell>
          <cell r="C27">
            <v>3.0416669999999999</v>
          </cell>
        </row>
        <row r="28">
          <cell r="A28">
            <v>30</v>
          </cell>
          <cell r="B28" t="str">
            <v>LaSalle Parish</v>
          </cell>
          <cell r="C28">
            <v>0</v>
          </cell>
        </row>
        <row r="29">
          <cell r="A29">
            <v>31</v>
          </cell>
          <cell r="B29" t="str">
            <v>Lincoln Parish</v>
          </cell>
          <cell r="C29">
            <v>1.9062490000000001</v>
          </cell>
        </row>
        <row r="30">
          <cell r="A30">
            <v>32</v>
          </cell>
          <cell r="B30" t="str">
            <v>Livingston Parish</v>
          </cell>
          <cell r="C30">
            <v>0.765625</v>
          </cell>
        </row>
        <row r="31">
          <cell r="A31">
            <v>33</v>
          </cell>
          <cell r="B31" t="str">
            <v>Madison Parish</v>
          </cell>
          <cell r="C31">
            <v>2.0364580000000001</v>
          </cell>
        </row>
        <row r="32">
          <cell r="A32">
            <v>34</v>
          </cell>
          <cell r="B32" t="str">
            <v>Morehouse Parish</v>
          </cell>
          <cell r="C32">
            <v>1.5625009999999999</v>
          </cell>
        </row>
        <row r="33">
          <cell r="A33">
            <v>35</v>
          </cell>
          <cell r="B33" t="str">
            <v>Natchitoches Parish</v>
          </cell>
          <cell r="C33">
            <v>0.49479099999999998</v>
          </cell>
        </row>
        <row r="34">
          <cell r="A34">
            <v>36</v>
          </cell>
          <cell r="B34" t="str">
            <v>Orleans Parish</v>
          </cell>
          <cell r="C34">
            <v>32.166671000000001</v>
          </cell>
        </row>
        <row r="35">
          <cell r="A35">
            <v>37</v>
          </cell>
          <cell r="B35" t="str">
            <v>Ouachita Parish</v>
          </cell>
          <cell r="C35">
            <v>9.046875</v>
          </cell>
        </row>
        <row r="36">
          <cell r="A36">
            <v>39</v>
          </cell>
          <cell r="B36" t="str">
            <v>Pointe Coupee Parish</v>
          </cell>
          <cell r="C36">
            <v>3.375</v>
          </cell>
        </row>
        <row r="37">
          <cell r="A37">
            <v>40</v>
          </cell>
          <cell r="B37" t="str">
            <v>Rapides Parish</v>
          </cell>
          <cell r="C37">
            <v>4.8541670000000003</v>
          </cell>
        </row>
        <row r="38">
          <cell r="A38">
            <v>41</v>
          </cell>
          <cell r="B38" t="str">
            <v>Red River Parish</v>
          </cell>
          <cell r="C38">
            <v>0.72395799999999999</v>
          </cell>
        </row>
        <row r="39">
          <cell r="A39">
            <v>42</v>
          </cell>
          <cell r="B39" t="str">
            <v>Richland Parish</v>
          </cell>
          <cell r="C39">
            <v>3.46875</v>
          </cell>
        </row>
        <row r="40">
          <cell r="A40">
            <v>43</v>
          </cell>
          <cell r="B40" t="str">
            <v>Sabine Parish</v>
          </cell>
          <cell r="C40">
            <v>0</v>
          </cell>
        </row>
        <row r="41">
          <cell r="A41">
            <v>44</v>
          </cell>
          <cell r="B41" t="str">
            <v>St. Bernard Parish</v>
          </cell>
          <cell r="C41">
            <v>1.119791</v>
          </cell>
        </row>
        <row r="42">
          <cell r="A42">
            <v>45</v>
          </cell>
          <cell r="B42" t="str">
            <v>St. Charles Parish</v>
          </cell>
          <cell r="C42">
            <v>2.0833000000000001E-2</v>
          </cell>
        </row>
        <row r="43">
          <cell r="A43">
            <v>49</v>
          </cell>
          <cell r="B43" t="str">
            <v>St. Landry Parish</v>
          </cell>
          <cell r="C43">
            <v>1.28125</v>
          </cell>
        </row>
        <row r="44">
          <cell r="A44">
            <v>52</v>
          </cell>
          <cell r="B44" t="str">
            <v>St. Tammany Parish</v>
          </cell>
          <cell r="C44">
            <v>2.6822919999999999</v>
          </cell>
        </row>
        <row r="45">
          <cell r="A45">
            <v>53</v>
          </cell>
          <cell r="B45" t="str">
            <v>Tangipahoa Parish</v>
          </cell>
          <cell r="C45">
            <v>1.057291</v>
          </cell>
        </row>
        <row r="46">
          <cell r="A46">
            <v>55</v>
          </cell>
          <cell r="B46" t="str">
            <v>Terrebonne Parish</v>
          </cell>
          <cell r="C46">
            <v>4.8802079999999997</v>
          </cell>
        </row>
        <row r="47">
          <cell r="A47">
            <v>58</v>
          </cell>
          <cell r="B47" t="str">
            <v>Vernon Parish</v>
          </cell>
          <cell r="C47">
            <v>2.5052080000000001</v>
          </cell>
        </row>
        <row r="48">
          <cell r="A48">
            <v>59</v>
          </cell>
          <cell r="B48" t="str">
            <v>Washington Parish</v>
          </cell>
          <cell r="C48">
            <v>1.494793</v>
          </cell>
        </row>
        <row r="49">
          <cell r="A49">
            <v>60</v>
          </cell>
          <cell r="B49" t="str">
            <v>Webster Parish</v>
          </cell>
          <cell r="C49">
            <v>0.953125</v>
          </cell>
        </row>
        <row r="50">
          <cell r="A50">
            <v>61</v>
          </cell>
          <cell r="B50" t="str">
            <v>West Baton Rouge Parish</v>
          </cell>
          <cell r="C50">
            <v>0.61458299999999999</v>
          </cell>
        </row>
        <row r="51">
          <cell r="A51">
            <v>62</v>
          </cell>
          <cell r="B51" t="str">
            <v>West Carroll Parish</v>
          </cell>
          <cell r="C51">
            <v>1.234375</v>
          </cell>
        </row>
        <row r="52">
          <cell r="A52">
            <v>64</v>
          </cell>
          <cell r="B52" t="str">
            <v>Winn Parish</v>
          </cell>
          <cell r="C52">
            <v>1</v>
          </cell>
        </row>
        <row r="53">
          <cell r="A53">
            <v>65</v>
          </cell>
          <cell r="B53" t="str">
            <v>City of Monroe School District</v>
          </cell>
          <cell r="C53">
            <v>3.453125</v>
          </cell>
        </row>
        <row r="54">
          <cell r="A54">
            <v>67</v>
          </cell>
          <cell r="B54" t="str">
            <v>Zachary Community School District</v>
          </cell>
          <cell r="C54">
            <v>0.35416599999999998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M7">
            <v>-21046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108379</v>
          </cell>
          <cell r="AU11">
            <v>168355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102909</v>
          </cell>
          <cell r="AU15">
            <v>160076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7">
          <cell r="AC7">
            <v>0</v>
          </cell>
        </row>
      </sheetData>
      <sheetData sheetId="54"/>
      <sheetData sheetId="55"/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D3">
            <v>0</v>
          </cell>
          <cell r="G3">
            <v>0</v>
          </cell>
        </row>
        <row r="4">
          <cell r="G4">
            <v>0</v>
          </cell>
        </row>
        <row r="5">
          <cell r="D5">
            <v>0</v>
          </cell>
          <cell r="G5">
            <v>0</v>
          </cell>
        </row>
        <row r="6">
          <cell r="D6">
            <v>-1189</v>
          </cell>
          <cell r="G6">
            <v>1189</v>
          </cell>
        </row>
        <row r="7">
          <cell r="D7">
            <v>0</v>
          </cell>
          <cell r="G7">
            <v>0</v>
          </cell>
        </row>
        <row r="8">
          <cell r="D8">
            <v>0</v>
          </cell>
          <cell r="G8">
            <v>0</v>
          </cell>
        </row>
        <row r="9">
          <cell r="D9">
            <v>0</v>
          </cell>
          <cell r="G9">
            <v>0</v>
          </cell>
        </row>
        <row r="10">
          <cell r="D10">
            <v>0</v>
          </cell>
          <cell r="G10">
            <v>0</v>
          </cell>
        </row>
        <row r="11">
          <cell r="D11">
            <v>0</v>
          </cell>
          <cell r="G11">
            <v>0</v>
          </cell>
        </row>
        <row r="12">
          <cell r="D12">
            <v>0</v>
          </cell>
          <cell r="G12">
            <v>0</v>
          </cell>
        </row>
        <row r="13">
          <cell r="D13">
            <v>0</v>
          </cell>
          <cell r="G13">
            <v>0</v>
          </cell>
        </row>
        <row r="14">
          <cell r="D14">
            <v>0</v>
          </cell>
          <cell r="G14">
            <v>0</v>
          </cell>
        </row>
        <row r="15">
          <cell r="D15">
            <v>0</v>
          </cell>
          <cell r="G15">
            <v>0</v>
          </cell>
        </row>
        <row r="16">
          <cell r="D16">
            <v>0</v>
          </cell>
          <cell r="G16">
            <v>0</v>
          </cell>
        </row>
        <row r="17">
          <cell r="D17">
            <v>0</v>
          </cell>
          <cell r="G17">
            <v>0</v>
          </cell>
        </row>
        <row r="18">
          <cell r="D18">
            <v>0</v>
          </cell>
          <cell r="G18">
            <v>0</v>
          </cell>
        </row>
        <row r="19">
          <cell r="D19">
            <v>0</v>
          </cell>
          <cell r="G19">
            <v>0</v>
          </cell>
        </row>
        <row r="20">
          <cell r="D20">
            <v>0</v>
          </cell>
          <cell r="G20">
            <v>63464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0</v>
          </cell>
          <cell r="G23">
            <v>0</v>
          </cell>
        </row>
        <row r="24">
          <cell r="D24">
            <v>0</v>
          </cell>
          <cell r="G24">
            <v>0</v>
          </cell>
        </row>
        <row r="25">
          <cell r="D25">
            <v>0</v>
          </cell>
          <cell r="G25">
            <v>0</v>
          </cell>
        </row>
        <row r="26">
          <cell r="D26">
            <v>0</v>
          </cell>
          <cell r="G26">
            <v>0</v>
          </cell>
        </row>
        <row r="27">
          <cell r="D27">
            <v>0</v>
          </cell>
          <cell r="G27">
            <v>0</v>
          </cell>
        </row>
        <row r="28">
          <cell r="D28">
            <v>0</v>
          </cell>
          <cell r="G28">
            <v>0</v>
          </cell>
        </row>
        <row r="29">
          <cell r="D29">
            <v>0</v>
          </cell>
          <cell r="G29">
            <v>0</v>
          </cell>
        </row>
        <row r="30">
          <cell r="D30">
            <v>0</v>
          </cell>
          <cell r="G30">
            <v>0</v>
          </cell>
        </row>
        <row r="31">
          <cell r="D31">
            <v>27001</v>
          </cell>
          <cell r="G31">
            <v>0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-162967</v>
          </cell>
        </row>
        <row r="34">
          <cell r="D34">
            <v>0</v>
          </cell>
          <cell r="G34">
            <v>0</v>
          </cell>
        </row>
        <row r="35">
          <cell r="D35">
            <v>0</v>
          </cell>
          <cell r="G35">
            <v>0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0</v>
          </cell>
          <cell r="G39">
            <v>0</v>
          </cell>
        </row>
        <row r="40">
          <cell r="D40">
            <v>0</v>
          </cell>
          <cell r="G40">
            <v>0</v>
          </cell>
        </row>
        <row r="41">
          <cell r="D41">
            <v>0</v>
          </cell>
          <cell r="G41">
            <v>0</v>
          </cell>
        </row>
        <row r="42">
          <cell r="D42">
            <v>0</v>
          </cell>
          <cell r="G42">
            <v>0</v>
          </cell>
        </row>
        <row r="43">
          <cell r="D43">
            <v>0</v>
          </cell>
          <cell r="G43">
            <v>0</v>
          </cell>
        </row>
        <row r="44">
          <cell r="D44">
            <v>0</v>
          </cell>
          <cell r="G44">
            <v>0</v>
          </cell>
        </row>
        <row r="45">
          <cell r="D45">
            <v>0</v>
          </cell>
          <cell r="G45">
            <v>0</v>
          </cell>
        </row>
        <row r="46">
          <cell r="D46">
            <v>0</v>
          </cell>
          <cell r="G46">
            <v>0</v>
          </cell>
        </row>
        <row r="47">
          <cell r="D47">
            <v>0</v>
          </cell>
          <cell r="G47">
            <v>0</v>
          </cell>
        </row>
        <row r="48">
          <cell r="D48">
            <v>0</v>
          </cell>
          <cell r="G48">
            <v>0</v>
          </cell>
        </row>
        <row r="49">
          <cell r="D49">
            <v>0</v>
          </cell>
          <cell r="G49">
            <v>0</v>
          </cell>
        </row>
        <row r="50">
          <cell r="D50">
            <v>-21866</v>
          </cell>
          <cell r="G50">
            <v>0</v>
          </cell>
        </row>
        <row r="51">
          <cell r="D51">
            <v>-40329</v>
          </cell>
          <cell r="G51">
            <v>151845</v>
          </cell>
        </row>
        <row r="52">
          <cell r="D52">
            <v>0</v>
          </cell>
          <cell r="G52">
            <v>0</v>
          </cell>
        </row>
        <row r="53">
          <cell r="D53">
            <v>0</v>
          </cell>
          <cell r="G53">
            <v>0</v>
          </cell>
        </row>
        <row r="54">
          <cell r="D54">
            <v>0</v>
          </cell>
          <cell r="G54">
            <v>0</v>
          </cell>
        </row>
        <row r="55">
          <cell r="D55">
            <v>0</v>
          </cell>
          <cell r="G55">
            <v>0</v>
          </cell>
        </row>
        <row r="56">
          <cell r="D56">
            <v>0</v>
          </cell>
          <cell r="G56">
            <v>0</v>
          </cell>
        </row>
        <row r="57">
          <cell r="D57">
            <v>0</v>
          </cell>
          <cell r="G57">
            <v>0</v>
          </cell>
        </row>
        <row r="58">
          <cell r="D58">
            <v>681.37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  <cell r="G60">
            <v>0</v>
          </cell>
        </row>
        <row r="61">
          <cell r="D61">
            <v>0</v>
          </cell>
          <cell r="G61">
            <v>0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9-20 Final_Type1,1B,2,3,3B,4"/>
      <sheetName val="FY19-20 Final Type 5"/>
      <sheetName val="Detail Calculation exclude debt"/>
      <sheetName val="Detail Calculation for debt"/>
      <sheetName val="Detail"/>
      <sheetName val="10.1.19 SIS"/>
      <sheetName val="19-20 Initial_Type1,1B,2,3,3B,4"/>
      <sheetName val="FY2019-20 FINAL Charter Per Pup"/>
    </sheetNames>
    <sheetDataSet>
      <sheetData sheetId="0"/>
      <sheetData sheetId="1">
        <row r="7">
          <cell r="C7">
            <v>3032.9955832683813</v>
          </cell>
          <cell r="K7">
            <v>2579</v>
          </cell>
          <cell r="N7">
            <v>2579</v>
          </cell>
        </row>
        <row r="8">
          <cell r="K8">
            <v>2658</v>
          </cell>
          <cell r="N8">
            <v>3080</v>
          </cell>
        </row>
        <row r="9">
          <cell r="K9">
            <v>5682</v>
          </cell>
          <cell r="N9">
            <v>6520</v>
          </cell>
        </row>
        <row r="10">
          <cell r="K10">
            <v>4789</v>
          </cell>
          <cell r="N10">
            <v>4789</v>
          </cell>
        </row>
        <row r="11">
          <cell r="K11">
            <v>2227</v>
          </cell>
          <cell r="N11">
            <v>2227</v>
          </cell>
        </row>
        <row r="12">
          <cell r="K12">
            <v>3516</v>
          </cell>
          <cell r="N12">
            <v>4262</v>
          </cell>
        </row>
        <row r="13">
          <cell r="K13">
            <v>11234</v>
          </cell>
          <cell r="N13">
            <v>12278</v>
          </cell>
        </row>
        <row r="14">
          <cell r="K14">
            <v>4289</v>
          </cell>
          <cell r="N14">
            <v>4871</v>
          </cell>
        </row>
        <row r="15">
          <cell r="K15">
            <v>4720</v>
          </cell>
          <cell r="N15">
            <v>5484</v>
          </cell>
        </row>
        <row r="16">
          <cell r="K16">
            <v>6437</v>
          </cell>
          <cell r="N16">
            <v>7255</v>
          </cell>
        </row>
        <row r="17">
          <cell r="K17">
            <v>2966</v>
          </cell>
          <cell r="N17">
            <v>3499</v>
          </cell>
        </row>
        <row r="18">
          <cell r="K18">
            <v>7836</v>
          </cell>
          <cell r="N18">
            <v>7836</v>
          </cell>
        </row>
        <row r="19">
          <cell r="K19">
            <v>2968</v>
          </cell>
          <cell r="N19">
            <v>3003</v>
          </cell>
        </row>
        <row r="20">
          <cell r="K20">
            <v>3775</v>
          </cell>
          <cell r="N20">
            <v>4079</v>
          </cell>
        </row>
        <row r="21">
          <cell r="K21">
            <v>3057</v>
          </cell>
          <cell r="N21">
            <v>3057</v>
          </cell>
        </row>
        <row r="22">
          <cell r="K22">
            <v>12666</v>
          </cell>
          <cell r="N22">
            <v>14225</v>
          </cell>
        </row>
        <row r="23">
          <cell r="K23">
            <v>6617</v>
          </cell>
          <cell r="N23">
            <v>7559</v>
          </cell>
        </row>
        <row r="24">
          <cell r="K24">
            <v>2722</v>
          </cell>
          <cell r="N24">
            <v>2722</v>
          </cell>
        </row>
        <row r="25">
          <cell r="K25">
            <v>4259</v>
          </cell>
          <cell r="N25">
            <v>4259</v>
          </cell>
        </row>
        <row r="26">
          <cell r="K26">
            <v>2595</v>
          </cell>
          <cell r="N26">
            <v>2683</v>
          </cell>
        </row>
        <row r="27">
          <cell r="K27">
            <v>1812</v>
          </cell>
          <cell r="N27">
            <v>2666</v>
          </cell>
        </row>
        <row r="28">
          <cell r="K28">
            <v>1206</v>
          </cell>
          <cell r="N28">
            <v>2015</v>
          </cell>
        </row>
        <row r="29">
          <cell r="K29">
            <v>2667</v>
          </cell>
          <cell r="N29">
            <v>3704</v>
          </cell>
        </row>
        <row r="30">
          <cell r="K30">
            <v>13013</v>
          </cell>
          <cell r="N30">
            <v>13711</v>
          </cell>
        </row>
        <row r="31">
          <cell r="K31">
            <v>4752</v>
          </cell>
          <cell r="N31">
            <v>4752</v>
          </cell>
        </row>
        <row r="32">
          <cell r="K32">
            <v>4804</v>
          </cell>
          <cell r="N32">
            <v>5313</v>
          </cell>
        </row>
        <row r="33">
          <cell r="K33">
            <v>2946</v>
          </cell>
          <cell r="N33">
            <v>3604</v>
          </cell>
        </row>
        <row r="34">
          <cell r="K34">
            <v>5259</v>
          </cell>
          <cell r="N34">
            <v>5787</v>
          </cell>
        </row>
        <row r="35">
          <cell r="K35">
            <v>4287</v>
          </cell>
          <cell r="N35">
            <v>5006</v>
          </cell>
        </row>
        <row r="36">
          <cell r="K36">
            <v>3646</v>
          </cell>
          <cell r="N36">
            <v>4982</v>
          </cell>
        </row>
        <row r="37">
          <cell r="K37">
            <v>5327</v>
          </cell>
          <cell r="N37">
            <v>6062</v>
          </cell>
        </row>
        <row r="38">
          <cell r="K38">
            <v>2226</v>
          </cell>
          <cell r="N38">
            <v>2637</v>
          </cell>
        </row>
        <row r="39">
          <cell r="K39">
            <v>2241</v>
          </cell>
          <cell r="N39">
            <v>3977</v>
          </cell>
        </row>
        <row r="40">
          <cell r="K40">
            <v>2828</v>
          </cell>
          <cell r="N40">
            <v>3226</v>
          </cell>
        </row>
        <row r="41">
          <cell r="K41">
            <v>4063</v>
          </cell>
          <cell r="N41">
            <v>4408</v>
          </cell>
        </row>
        <row r="42">
          <cell r="K42">
            <v>5702</v>
          </cell>
          <cell r="N42">
            <v>6588</v>
          </cell>
        </row>
        <row r="43">
          <cell r="K43">
            <v>3056</v>
          </cell>
          <cell r="N43">
            <v>3962</v>
          </cell>
        </row>
        <row r="44">
          <cell r="K44">
            <v>10963</v>
          </cell>
          <cell r="N44">
            <v>10963</v>
          </cell>
        </row>
        <row r="45">
          <cell r="K45">
            <v>5628</v>
          </cell>
          <cell r="N45">
            <v>5628</v>
          </cell>
        </row>
        <row r="46">
          <cell r="K46">
            <v>3801</v>
          </cell>
          <cell r="N46">
            <v>4197</v>
          </cell>
        </row>
        <row r="47">
          <cell r="K47">
            <v>11199</v>
          </cell>
          <cell r="N47">
            <v>12831</v>
          </cell>
        </row>
        <row r="48">
          <cell r="K48">
            <v>3775</v>
          </cell>
          <cell r="N48">
            <v>4802</v>
          </cell>
        </row>
        <row r="49">
          <cell r="K49">
            <v>3560</v>
          </cell>
          <cell r="N49">
            <v>4380</v>
          </cell>
        </row>
        <row r="50">
          <cell r="K50">
            <v>3791</v>
          </cell>
          <cell r="N50">
            <v>3791</v>
          </cell>
        </row>
        <row r="51">
          <cell r="K51">
            <v>12883</v>
          </cell>
          <cell r="N51">
            <v>14336</v>
          </cell>
        </row>
        <row r="52">
          <cell r="K52">
            <v>1756</v>
          </cell>
          <cell r="N52">
            <v>2984</v>
          </cell>
        </row>
        <row r="53">
          <cell r="K53">
            <v>13410</v>
          </cell>
          <cell r="N53">
            <v>15068</v>
          </cell>
        </row>
        <row r="54">
          <cell r="K54">
            <v>5928</v>
          </cell>
          <cell r="N54">
            <v>7208</v>
          </cell>
        </row>
        <row r="55">
          <cell r="K55">
            <v>2796</v>
          </cell>
          <cell r="N55">
            <v>2796</v>
          </cell>
        </row>
        <row r="56">
          <cell r="K56">
            <v>2772</v>
          </cell>
          <cell r="N56">
            <v>3827</v>
          </cell>
        </row>
        <row r="57">
          <cell r="K57">
            <v>4116</v>
          </cell>
          <cell r="N57">
            <v>4548</v>
          </cell>
        </row>
        <row r="58">
          <cell r="K58">
            <v>5265</v>
          </cell>
          <cell r="N58">
            <v>6096</v>
          </cell>
        </row>
        <row r="59">
          <cell r="K59">
            <v>2596</v>
          </cell>
          <cell r="N59">
            <v>2693</v>
          </cell>
        </row>
        <row r="60">
          <cell r="K60">
            <v>6300</v>
          </cell>
          <cell r="N60">
            <v>6300</v>
          </cell>
        </row>
        <row r="61">
          <cell r="K61">
            <v>3978</v>
          </cell>
          <cell r="N61">
            <v>3978</v>
          </cell>
        </row>
        <row r="62">
          <cell r="K62">
            <v>3423</v>
          </cell>
          <cell r="N62">
            <v>4217</v>
          </cell>
        </row>
        <row r="63">
          <cell r="K63">
            <v>2601</v>
          </cell>
          <cell r="N63">
            <v>2601</v>
          </cell>
        </row>
        <row r="64">
          <cell r="K64">
            <v>1924</v>
          </cell>
          <cell r="N64">
            <v>2405</v>
          </cell>
        </row>
        <row r="65">
          <cell r="K65">
            <v>1366</v>
          </cell>
          <cell r="N65">
            <v>1574</v>
          </cell>
        </row>
        <row r="66">
          <cell r="K66">
            <v>3346</v>
          </cell>
          <cell r="N66">
            <v>4239</v>
          </cell>
        </row>
        <row r="67">
          <cell r="K67">
            <v>8998</v>
          </cell>
          <cell r="N67">
            <v>10841</v>
          </cell>
        </row>
        <row r="68">
          <cell r="K68">
            <v>2314</v>
          </cell>
          <cell r="N68">
            <v>2314</v>
          </cell>
        </row>
        <row r="69">
          <cell r="K69">
            <v>9585</v>
          </cell>
          <cell r="N69">
            <v>9580</v>
          </cell>
        </row>
        <row r="70">
          <cell r="K70">
            <v>2943</v>
          </cell>
          <cell r="N70">
            <v>3466</v>
          </cell>
        </row>
        <row r="71">
          <cell r="K71">
            <v>5035</v>
          </cell>
          <cell r="N71">
            <v>5430</v>
          </cell>
        </row>
        <row r="72">
          <cell r="K72">
            <v>4441</v>
          </cell>
          <cell r="N72">
            <v>4441</v>
          </cell>
        </row>
        <row r="73">
          <cell r="K73">
            <v>4161</v>
          </cell>
          <cell r="N73">
            <v>6041</v>
          </cell>
        </row>
        <row r="74">
          <cell r="K74">
            <v>3066</v>
          </cell>
          <cell r="N74">
            <v>3066</v>
          </cell>
        </row>
        <row r="75">
          <cell r="K75">
            <v>2676</v>
          </cell>
          <cell r="N75">
            <v>3829</v>
          </cell>
        </row>
        <row r="76">
          <cell r="K76">
            <v>4780</v>
          </cell>
          <cell r="N76">
            <v>5423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_Legacy_Res"/>
      <sheetName val="Oct_New Type 2_Res"/>
      <sheetName val="Oct_OPSB Breakout"/>
      <sheetName val="Oct_MidYear Adj"/>
      <sheetName val="Oct_Legacy"/>
      <sheetName val="Oct_New Type 2"/>
      <sheetName val="Oct_LSMSA"/>
      <sheetName val="Oct_NOCCA"/>
      <sheetName val="Oct_Thrive"/>
      <sheetName val="Oct_New Vision"/>
      <sheetName val="Oct_Glencoe"/>
      <sheetName val="Oct_ISL"/>
      <sheetName val="Oct_Avoyelles"/>
      <sheetName val="Oct_Delhi"/>
      <sheetName val="Oct_Belle Chasse"/>
      <sheetName val="Oct_MAX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CFA East"/>
      <sheetName val="Oct_GEO MidCity"/>
      <sheetName val="Oct_Delta"/>
      <sheetName val="Oct_Impact"/>
      <sheetName val="Oct_Advantage"/>
      <sheetName val="Oct_Iberville"/>
      <sheetName val="Oct_LC Col Prep"/>
      <sheetName val="Oct_Northeast"/>
      <sheetName val="Oct_Acadiana Ren"/>
      <sheetName val="Oct_Lafayette Ren"/>
      <sheetName val="Oct_Willow"/>
      <sheetName val="Oct_GEO"/>
      <sheetName val="Oct_Lincoln Prep"/>
      <sheetName val="Oct_Greater"/>
      <sheetName val="Oct_Noble"/>
      <sheetName val="Oct_JCFA Laf"/>
      <sheetName val="Oct_Collegiate"/>
      <sheetName val="Oct_BRUP"/>
      <sheetName val="Oct_Harmony"/>
      <sheetName val="Oct_Athlos"/>
      <sheetName val="Oct_NxtGen"/>
      <sheetName val="Oct_RedRiver"/>
      <sheetName val="Oct_LAVCA"/>
      <sheetName val="Oct_Unv View"/>
      <sheetName val="Source Data"/>
      <sheetName val="LEA Pay Raise"/>
    </sheetNames>
    <sheetDataSet>
      <sheetData sheetId="0" refreshError="1"/>
      <sheetData sheetId="1" refreshError="1"/>
      <sheetData sheetId="2" refreshError="1"/>
      <sheetData sheetId="3">
        <row r="7">
          <cell r="A7">
            <v>1</v>
          </cell>
          <cell r="B7">
            <v>1</v>
          </cell>
          <cell r="C7" t="str">
            <v>Acadia</v>
          </cell>
          <cell r="D7">
            <v>9341</v>
          </cell>
          <cell r="E7">
            <v>9448</v>
          </cell>
          <cell r="F7">
            <v>107</v>
          </cell>
          <cell r="G7">
            <v>107</v>
          </cell>
          <cell r="H7">
            <v>0</v>
          </cell>
          <cell r="I7">
            <v>5769</v>
          </cell>
          <cell r="J7">
            <v>617283</v>
          </cell>
          <cell r="K7">
            <v>617283</v>
          </cell>
          <cell r="L7">
            <v>0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3987</v>
          </cell>
          <cell r="E8">
            <v>3981</v>
          </cell>
          <cell r="F8">
            <v>-6</v>
          </cell>
          <cell r="G8">
            <v>0</v>
          </cell>
          <cell r="H8">
            <v>-6</v>
          </cell>
          <cell r="I8">
            <v>7473</v>
          </cell>
          <cell r="J8">
            <v>-44838</v>
          </cell>
          <cell r="K8">
            <v>0</v>
          </cell>
          <cell r="L8">
            <v>-44838</v>
          </cell>
        </row>
        <row r="9">
          <cell r="A9">
            <v>3</v>
          </cell>
          <cell r="B9">
            <v>3</v>
          </cell>
          <cell r="C9" t="str">
            <v>Ascension*</v>
          </cell>
          <cell r="D9">
            <v>22207</v>
          </cell>
          <cell r="E9">
            <v>22709</v>
          </cell>
          <cell r="F9">
            <v>502</v>
          </cell>
          <cell r="G9">
            <v>502</v>
          </cell>
          <cell r="H9">
            <v>0</v>
          </cell>
          <cell r="I9">
            <v>4793</v>
          </cell>
          <cell r="J9">
            <v>2406086</v>
          </cell>
          <cell r="K9">
            <v>2406086</v>
          </cell>
          <cell r="L9">
            <v>0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3122</v>
          </cell>
          <cell r="E10">
            <v>3038</v>
          </cell>
          <cell r="F10">
            <v>-84</v>
          </cell>
          <cell r="G10">
            <v>0</v>
          </cell>
          <cell r="H10">
            <v>-84</v>
          </cell>
          <cell r="I10">
            <v>6792</v>
          </cell>
          <cell r="J10">
            <v>-570528</v>
          </cell>
          <cell r="K10">
            <v>0</v>
          </cell>
          <cell r="L10">
            <v>-570528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5065</v>
          </cell>
          <cell r="E11">
            <v>4928</v>
          </cell>
          <cell r="F11">
            <v>-137</v>
          </cell>
          <cell r="G11">
            <v>0</v>
          </cell>
          <cell r="H11">
            <v>-137</v>
          </cell>
          <cell r="I11">
            <v>6155</v>
          </cell>
          <cell r="J11">
            <v>-843235</v>
          </cell>
          <cell r="K11">
            <v>0</v>
          </cell>
          <cell r="L11">
            <v>-843235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5763</v>
          </cell>
          <cell r="E12">
            <v>5749</v>
          </cell>
          <cell r="F12">
            <v>-14</v>
          </cell>
          <cell r="G12">
            <v>0</v>
          </cell>
          <cell r="H12">
            <v>-14</v>
          </cell>
          <cell r="I12">
            <v>6333</v>
          </cell>
          <cell r="J12">
            <v>-88662</v>
          </cell>
          <cell r="K12">
            <v>0</v>
          </cell>
          <cell r="L12">
            <v>-88662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2030</v>
          </cell>
          <cell r="E13">
            <v>2077</v>
          </cell>
          <cell r="F13">
            <v>47</v>
          </cell>
          <cell r="G13">
            <v>47</v>
          </cell>
          <cell r="H13">
            <v>0</v>
          </cell>
          <cell r="I13">
            <v>3844</v>
          </cell>
          <cell r="J13">
            <v>180668</v>
          </cell>
          <cell r="K13">
            <v>180668</v>
          </cell>
          <cell r="L13">
            <v>0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22331</v>
          </cell>
          <cell r="E14">
            <v>22393</v>
          </cell>
          <cell r="F14">
            <v>62</v>
          </cell>
          <cell r="G14">
            <v>62</v>
          </cell>
          <cell r="H14">
            <v>0</v>
          </cell>
          <cell r="I14">
            <v>5903</v>
          </cell>
          <cell r="J14">
            <v>365986</v>
          </cell>
          <cell r="K14">
            <v>365986</v>
          </cell>
          <cell r="L14">
            <v>0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37402</v>
          </cell>
          <cell r="E15">
            <v>36871</v>
          </cell>
          <cell r="F15">
            <v>-531</v>
          </cell>
          <cell r="G15">
            <v>0</v>
          </cell>
          <cell r="H15">
            <v>-531</v>
          </cell>
          <cell r="I15">
            <v>5537</v>
          </cell>
          <cell r="J15">
            <v>-2940147</v>
          </cell>
          <cell r="K15">
            <v>0</v>
          </cell>
          <cell r="L15">
            <v>-2940147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30994</v>
          </cell>
          <cell r="E16">
            <v>30685</v>
          </cell>
          <cell r="F16">
            <v>-309</v>
          </cell>
          <cell r="G16">
            <v>0</v>
          </cell>
          <cell r="H16">
            <v>-309</v>
          </cell>
          <cell r="I16">
            <v>4083</v>
          </cell>
          <cell r="J16">
            <v>-1261647</v>
          </cell>
          <cell r="K16">
            <v>0</v>
          </cell>
          <cell r="L16">
            <v>-1261647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1541</v>
          </cell>
          <cell r="E17">
            <v>1541</v>
          </cell>
          <cell r="F17">
            <v>0</v>
          </cell>
          <cell r="G17">
            <v>0</v>
          </cell>
          <cell r="H17">
            <v>0</v>
          </cell>
          <cell r="I17">
            <v>7908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1313</v>
          </cell>
          <cell r="E18">
            <v>1292</v>
          </cell>
          <cell r="F18">
            <v>-21</v>
          </cell>
          <cell r="G18">
            <v>0</v>
          </cell>
          <cell r="H18">
            <v>-21</v>
          </cell>
          <cell r="I18">
            <v>2783</v>
          </cell>
          <cell r="J18">
            <v>-58443</v>
          </cell>
          <cell r="K18">
            <v>0</v>
          </cell>
          <cell r="L18">
            <v>-58443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1165</v>
          </cell>
          <cell r="E19">
            <v>1115</v>
          </cell>
          <cell r="F19">
            <v>-50</v>
          </cell>
          <cell r="G19">
            <v>0</v>
          </cell>
          <cell r="H19">
            <v>-50</v>
          </cell>
          <cell r="I19">
            <v>7497</v>
          </cell>
          <cell r="J19">
            <v>-374850</v>
          </cell>
          <cell r="K19">
            <v>0</v>
          </cell>
          <cell r="L19">
            <v>-374850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1629</v>
          </cell>
          <cell r="E20">
            <v>1595</v>
          </cell>
          <cell r="F20">
            <v>-34</v>
          </cell>
          <cell r="G20">
            <v>0</v>
          </cell>
          <cell r="H20">
            <v>-34</v>
          </cell>
          <cell r="I20">
            <v>7241</v>
          </cell>
          <cell r="J20">
            <v>-246194</v>
          </cell>
          <cell r="K20">
            <v>0</v>
          </cell>
          <cell r="L20">
            <v>-246194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3209</v>
          </cell>
          <cell r="E21">
            <v>3176</v>
          </cell>
          <cell r="F21">
            <v>-33</v>
          </cell>
          <cell r="G21">
            <v>0</v>
          </cell>
          <cell r="H21">
            <v>-33</v>
          </cell>
          <cell r="I21">
            <v>6976</v>
          </cell>
          <cell r="J21">
            <v>-230208</v>
          </cell>
          <cell r="K21">
            <v>0</v>
          </cell>
          <cell r="L21">
            <v>-230208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4796</v>
          </cell>
          <cell r="E22">
            <v>4772</v>
          </cell>
          <cell r="F22">
            <v>-24</v>
          </cell>
          <cell r="G22">
            <v>0</v>
          </cell>
          <cell r="H22">
            <v>-24</v>
          </cell>
          <cell r="I22">
            <v>2869</v>
          </cell>
          <cell r="J22">
            <v>-68856</v>
          </cell>
          <cell r="K22">
            <v>0</v>
          </cell>
          <cell r="L22">
            <v>-68856</v>
          </cell>
        </row>
        <row r="23">
          <cell r="A23">
            <v>17</v>
          </cell>
          <cell r="B23">
            <v>17</v>
          </cell>
          <cell r="C23" t="str">
            <v>East Baton Rouge*</v>
          </cell>
          <cell r="D23">
            <v>39448</v>
          </cell>
          <cell r="E23">
            <v>39667</v>
          </cell>
          <cell r="F23">
            <v>219</v>
          </cell>
          <cell r="G23">
            <v>219</v>
          </cell>
          <cell r="H23">
            <v>0</v>
          </cell>
          <cell r="I23">
            <v>4211</v>
          </cell>
          <cell r="J23">
            <v>922209</v>
          </cell>
          <cell r="K23">
            <v>922209</v>
          </cell>
          <cell r="L23">
            <v>0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893</v>
          </cell>
          <cell r="E24">
            <v>890</v>
          </cell>
          <cell r="F24">
            <v>-3</v>
          </cell>
          <cell r="G24">
            <v>0</v>
          </cell>
          <cell r="H24">
            <v>-3</v>
          </cell>
          <cell r="I24">
            <v>7210</v>
          </cell>
          <cell r="J24">
            <v>-21630</v>
          </cell>
          <cell r="K24">
            <v>0</v>
          </cell>
          <cell r="L24">
            <v>-21630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1793</v>
          </cell>
          <cell r="E25">
            <v>1720</v>
          </cell>
          <cell r="F25">
            <v>-73</v>
          </cell>
          <cell r="G25">
            <v>0</v>
          </cell>
          <cell r="H25">
            <v>-73</v>
          </cell>
          <cell r="I25">
            <v>5907</v>
          </cell>
          <cell r="J25">
            <v>-431211</v>
          </cell>
          <cell r="K25">
            <v>0</v>
          </cell>
          <cell r="L25">
            <v>-431211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5572</v>
          </cell>
          <cell r="E26">
            <v>5523</v>
          </cell>
          <cell r="F26">
            <v>-49</v>
          </cell>
          <cell r="G26">
            <v>0</v>
          </cell>
          <cell r="H26">
            <v>-49</v>
          </cell>
          <cell r="I26">
            <v>6299</v>
          </cell>
          <cell r="J26">
            <v>-308651</v>
          </cell>
          <cell r="K26">
            <v>0</v>
          </cell>
          <cell r="L26">
            <v>-308651</v>
          </cell>
        </row>
        <row r="27">
          <cell r="A27">
            <v>21</v>
          </cell>
          <cell r="B27">
            <v>21</v>
          </cell>
          <cell r="C27" t="str">
            <v>Franklin*</v>
          </cell>
          <cell r="D27">
            <v>2928</v>
          </cell>
          <cell r="E27">
            <v>2876</v>
          </cell>
          <cell r="F27">
            <v>-52</v>
          </cell>
          <cell r="G27">
            <v>0</v>
          </cell>
          <cell r="H27">
            <v>-52</v>
          </cell>
          <cell r="I27">
            <v>7017</v>
          </cell>
          <cell r="J27">
            <v>-364884</v>
          </cell>
          <cell r="K27">
            <v>0</v>
          </cell>
          <cell r="L27">
            <v>-364884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2891</v>
          </cell>
          <cell r="E28">
            <v>2863</v>
          </cell>
          <cell r="F28">
            <v>-28</v>
          </cell>
          <cell r="G28">
            <v>0</v>
          </cell>
          <cell r="H28">
            <v>-28</v>
          </cell>
          <cell r="I28">
            <v>7507</v>
          </cell>
          <cell r="J28">
            <v>-210196</v>
          </cell>
          <cell r="K28">
            <v>0</v>
          </cell>
          <cell r="L28">
            <v>-210196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12103</v>
          </cell>
          <cell r="E29">
            <v>12035</v>
          </cell>
          <cell r="F29">
            <v>-68</v>
          </cell>
          <cell r="G29">
            <v>0</v>
          </cell>
          <cell r="H29">
            <v>-68</v>
          </cell>
          <cell r="I29">
            <v>6124</v>
          </cell>
          <cell r="J29">
            <v>-416432</v>
          </cell>
          <cell r="K29">
            <v>0</v>
          </cell>
          <cell r="L29">
            <v>-416432</v>
          </cell>
        </row>
        <row r="30">
          <cell r="A30">
            <v>24</v>
          </cell>
          <cell r="B30">
            <v>24</v>
          </cell>
          <cell r="C30" t="str">
            <v>Iberville*</v>
          </cell>
          <cell r="D30">
            <v>4316</v>
          </cell>
          <cell r="E30">
            <v>4108</v>
          </cell>
          <cell r="F30">
            <v>-208</v>
          </cell>
          <cell r="G30">
            <v>0</v>
          </cell>
          <cell r="H30">
            <v>-208</v>
          </cell>
          <cell r="I30">
            <v>3333</v>
          </cell>
          <cell r="J30">
            <v>-693264</v>
          </cell>
          <cell r="K30">
            <v>0</v>
          </cell>
          <cell r="L30">
            <v>-693264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2213</v>
          </cell>
          <cell r="E31">
            <v>2195</v>
          </cell>
          <cell r="F31">
            <v>-18</v>
          </cell>
          <cell r="G31">
            <v>0</v>
          </cell>
          <cell r="H31">
            <v>-18</v>
          </cell>
          <cell r="I31">
            <v>5496</v>
          </cell>
          <cell r="J31">
            <v>-98928</v>
          </cell>
          <cell r="K31">
            <v>0</v>
          </cell>
          <cell r="L31">
            <v>-98928</v>
          </cell>
        </row>
        <row r="32">
          <cell r="A32">
            <v>26</v>
          </cell>
          <cell r="B32">
            <v>26</v>
          </cell>
          <cell r="C32" t="str">
            <v>Jefferson*</v>
          </cell>
          <cell r="D32">
            <v>47214</v>
          </cell>
          <cell r="E32">
            <v>48631</v>
          </cell>
          <cell r="F32">
            <v>1417</v>
          </cell>
          <cell r="G32">
            <v>1417</v>
          </cell>
          <cell r="H32">
            <v>0</v>
          </cell>
          <cell r="I32">
            <v>4826</v>
          </cell>
          <cell r="J32">
            <v>6838442</v>
          </cell>
          <cell r="K32">
            <v>6838442</v>
          </cell>
          <cell r="L32">
            <v>0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5505</v>
          </cell>
          <cell r="E33">
            <v>5453</v>
          </cell>
          <cell r="F33">
            <v>-52</v>
          </cell>
          <cell r="G33">
            <v>0</v>
          </cell>
          <cell r="H33">
            <v>-52</v>
          </cell>
          <cell r="I33">
            <v>6677</v>
          </cell>
          <cell r="J33">
            <v>-347204</v>
          </cell>
          <cell r="K33">
            <v>0</v>
          </cell>
          <cell r="L33">
            <v>-347204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30348</v>
          </cell>
          <cell r="E34">
            <v>30878</v>
          </cell>
          <cell r="F34">
            <v>530</v>
          </cell>
          <cell r="G34">
            <v>530</v>
          </cell>
          <cell r="H34">
            <v>0</v>
          </cell>
          <cell r="I34">
            <v>4304</v>
          </cell>
          <cell r="J34">
            <v>2281120</v>
          </cell>
          <cell r="K34">
            <v>2281120</v>
          </cell>
          <cell r="L34">
            <v>0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13809</v>
          </cell>
          <cell r="E35">
            <v>14140</v>
          </cell>
          <cell r="F35">
            <v>331</v>
          </cell>
          <cell r="G35">
            <v>331</v>
          </cell>
          <cell r="H35">
            <v>0</v>
          </cell>
          <cell r="I35">
            <v>5168</v>
          </cell>
          <cell r="J35">
            <v>1710608</v>
          </cell>
          <cell r="K35">
            <v>1710608</v>
          </cell>
          <cell r="L35">
            <v>0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2468</v>
          </cell>
          <cell r="E36">
            <v>2504</v>
          </cell>
          <cell r="F36">
            <v>36</v>
          </cell>
          <cell r="G36">
            <v>36</v>
          </cell>
          <cell r="H36">
            <v>0</v>
          </cell>
          <cell r="I36">
            <v>6848</v>
          </cell>
          <cell r="J36">
            <v>246528</v>
          </cell>
          <cell r="K36">
            <v>246528</v>
          </cell>
          <cell r="L36">
            <v>0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5821</v>
          </cell>
          <cell r="E37">
            <v>5793</v>
          </cell>
          <cell r="F37">
            <v>-28</v>
          </cell>
          <cell r="G37">
            <v>0</v>
          </cell>
          <cell r="H37">
            <v>-28</v>
          </cell>
          <cell r="I37">
            <v>5056</v>
          </cell>
          <cell r="J37">
            <v>-141568</v>
          </cell>
          <cell r="K37">
            <v>0</v>
          </cell>
          <cell r="L37">
            <v>-141568</v>
          </cell>
        </row>
        <row r="38">
          <cell r="A38">
            <v>32</v>
          </cell>
          <cell r="B38">
            <v>32</v>
          </cell>
          <cell r="C38" t="str">
            <v>Livingston*</v>
          </cell>
          <cell r="D38">
            <v>25156</v>
          </cell>
          <cell r="E38">
            <v>25567</v>
          </cell>
          <cell r="F38">
            <v>411</v>
          </cell>
          <cell r="G38">
            <v>411</v>
          </cell>
          <cell r="H38">
            <v>0</v>
          </cell>
          <cell r="I38">
            <v>6469</v>
          </cell>
          <cell r="J38">
            <v>2658759</v>
          </cell>
          <cell r="K38">
            <v>2658759</v>
          </cell>
          <cell r="L38">
            <v>0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1165</v>
          </cell>
          <cell r="E39">
            <v>1119</v>
          </cell>
          <cell r="F39">
            <v>-46</v>
          </cell>
          <cell r="G39">
            <v>0</v>
          </cell>
          <cell r="H39">
            <v>-46</v>
          </cell>
          <cell r="I39">
            <v>6742</v>
          </cell>
          <cell r="J39">
            <v>-310132</v>
          </cell>
          <cell r="K39">
            <v>0</v>
          </cell>
          <cell r="L39">
            <v>-310132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3631</v>
          </cell>
          <cell r="E40">
            <v>3526</v>
          </cell>
          <cell r="F40">
            <v>-105</v>
          </cell>
          <cell r="G40">
            <v>0</v>
          </cell>
          <cell r="H40">
            <v>-105</v>
          </cell>
          <cell r="I40">
            <v>7133</v>
          </cell>
          <cell r="J40">
            <v>-748965</v>
          </cell>
          <cell r="K40">
            <v>0</v>
          </cell>
          <cell r="L40">
            <v>-748965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5763</v>
          </cell>
          <cell r="E41">
            <v>5643</v>
          </cell>
          <cell r="F41">
            <v>-120</v>
          </cell>
          <cell r="G41">
            <v>0</v>
          </cell>
          <cell r="H41">
            <v>-120</v>
          </cell>
          <cell r="I41">
            <v>5609</v>
          </cell>
          <cell r="J41">
            <v>-673080</v>
          </cell>
          <cell r="K41">
            <v>0</v>
          </cell>
          <cell r="L41">
            <v>-673080</v>
          </cell>
        </row>
        <row r="42">
          <cell r="A42">
            <v>36</v>
          </cell>
          <cell r="B42">
            <v>36</v>
          </cell>
          <cell r="C42" t="str">
            <v>Orleans*</v>
          </cell>
          <cell r="D42">
            <v>44750</v>
          </cell>
          <cell r="E42">
            <v>45110</v>
          </cell>
          <cell r="F42">
            <v>360</v>
          </cell>
          <cell r="G42">
            <v>360</v>
          </cell>
          <cell r="H42">
            <v>0</v>
          </cell>
          <cell r="I42">
            <v>4356</v>
          </cell>
          <cell r="J42">
            <v>1568160</v>
          </cell>
          <cell r="K42">
            <v>1568160</v>
          </cell>
          <cell r="L42">
            <v>0</v>
          </cell>
        </row>
        <row r="43">
          <cell r="A43">
            <v>37</v>
          </cell>
          <cell r="B43">
            <v>37</v>
          </cell>
          <cell r="C43" t="str">
            <v>Ouachita*</v>
          </cell>
          <cell r="D43">
            <v>18693</v>
          </cell>
          <cell r="E43">
            <v>18590</v>
          </cell>
          <cell r="F43">
            <v>-103</v>
          </cell>
          <cell r="G43">
            <v>0</v>
          </cell>
          <cell r="H43">
            <v>-103</v>
          </cell>
          <cell r="I43">
            <v>6468</v>
          </cell>
          <cell r="J43">
            <v>-666204</v>
          </cell>
          <cell r="K43">
            <v>0</v>
          </cell>
          <cell r="L43">
            <v>-666204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3832</v>
          </cell>
          <cell r="E44">
            <v>3845</v>
          </cell>
          <cell r="F44">
            <v>13</v>
          </cell>
          <cell r="G44">
            <v>13</v>
          </cell>
          <cell r="H44">
            <v>0</v>
          </cell>
          <cell r="I44">
            <v>2810</v>
          </cell>
          <cell r="J44">
            <v>36530</v>
          </cell>
          <cell r="K44">
            <v>36530</v>
          </cell>
          <cell r="L44">
            <v>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2580</v>
          </cell>
          <cell r="E45">
            <v>2606</v>
          </cell>
          <cell r="F45">
            <v>26</v>
          </cell>
          <cell r="G45">
            <v>26</v>
          </cell>
          <cell r="H45">
            <v>0</v>
          </cell>
          <cell r="I45">
            <v>3755</v>
          </cell>
          <cell r="J45">
            <v>97630</v>
          </cell>
          <cell r="K45">
            <v>97630</v>
          </cell>
          <cell r="L45">
            <v>0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21913</v>
          </cell>
          <cell r="E46">
            <v>21769</v>
          </cell>
          <cell r="F46">
            <v>-144</v>
          </cell>
          <cell r="G46">
            <v>0</v>
          </cell>
          <cell r="H46">
            <v>-144</v>
          </cell>
          <cell r="I46">
            <v>6119</v>
          </cell>
          <cell r="J46">
            <v>-881136</v>
          </cell>
          <cell r="K46">
            <v>0</v>
          </cell>
          <cell r="L46">
            <v>-881136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1374</v>
          </cell>
          <cell r="E47">
            <v>1308</v>
          </cell>
          <cell r="F47">
            <v>-66</v>
          </cell>
          <cell r="G47">
            <v>0</v>
          </cell>
          <cell r="H47">
            <v>-66</v>
          </cell>
          <cell r="I47">
            <v>3792</v>
          </cell>
          <cell r="J47">
            <v>-250272</v>
          </cell>
          <cell r="K47">
            <v>0</v>
          </cell>
          <cell r="L47">
            <v>-250272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2714</v>
          </cell>
          <cell r="E48">
            <v>2711</v>
          </cell>
          <cell r="F48">
            <v>-3</v>
          </cell>
          <cell r="G48">
            <v>0</v>
          </cell>
          <cell r="H48">
            <v>-3</v>
          </cell>
          <cell r="I48">
            <v>5582</v>
          </cell>
          <cell r="J48">
            <v>-16746</v>
          </cell>
          <cell r="K48">
            <v>0</v>
          </cell>
          <cell r="L48">
            <v>-16746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4048</v>
          </cell>
          <cell r="E49">
            <v>4033</v>
          </cell>
          <cell r="F49">
            <v>-15</v>
          </cell>
          <cell r="G49">
            <v>0</v>
          </cell>
          <cell r="H49">
            <v>-15</v>
          </cell>
          <cell r="I49">
            <v>6744</v>
          </cell>
          <cell r="J49">
            <v>-101160</v>
          </cell>
          <cell r="K49">
            <v>0</v>
          </cell>
          <cell r="L49">
            <v>-101160</v>
          </cell>
        </row>
        <row r="50">
          <cell r="A50">
            <v>44</v>
          </cell>
          <cell r="B50">
            <v>44</v>
          </cell>
          <cell r="C50" t="str">
            <v>St. Bernard*</v>
          </cell>
          <cell r="D50">
            <v>7368</v>
          </cell>
          <cell r="E50">
            <v>7514</v>
          </cell>
          <cell r="F50">
            <v>146</v>
          </cell>
          <cell r="G50">
            <v>146</v>
          </cell>
          <cell r="H50">
            <v>0</v>
          </cell>
          <cell r="I50">
            <v>5899</v>
          </cell>
          <cell r="J50">
            <v>861254</v>
          </cell>
          <cell r="K50">
            <v>861254</v>
          </cell>
          <cell r="L50">
            <v>0</v>
          </cell>
        </row>
        <row r="51">
          <cell r="A51">
            <v>45</v>
          </cell>
          <cell r="B51">
            <v>45</v>
          </cell>
          <cell r="C51" t="str">
            <v>St. Charles*</v>
          </cell>
          <cell r="D51">
            <v>9318</v>
          </cell>
          <cell r="E51">
            <v>9421</v>
          </cell>
          <cell r="F51">
            <v>103</v>
          </cell>
          <cell r="G51">
            <v>103</v>
          </cell>
          <cell r="H51">
            <v>0</v>
          </cell>
          <cell r="I51">
            <v>3180</v>
          </cell>
          <cell r="J51">
            <v>327540</v>
          </cell>
          <cell r="K51">
            <v>327540</v>
          </cell>
          <cell r="L51">
            <v>0</v>
          </cell>
        </row>
        <row r="52">
          <cell r="A52">
            <v>46</v>
          </cell>
          <cell r="B52">
            <v>46</v>
          </cell>
          <cell r="C52" t="str">
            <v>St. Helena*</v>
          </cell>
          <cell r="D52">
            <v>1164</v>
          </cell>
          <cell r="E52">
            <v>1156</v>
          </cell>
          <cell r="F52">
            <v>-8</v>
          </cell>
          <cell r="G52">
            <v>0</v>
          </cell>
          <cell r="H52">
            <v>-8</v>
          </cell>
          <cell r="I52">
            <v>8145</v>
          </cell>
          <cell r="J52">
            <v>-65160</v>
          </cell>
          <cell r="K52">
            <v>0</v>
          </cell>
          <cell r="L52">
            <v>-65160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3491</v>
          </cell>
          <cell r="E53">
            <v>3451</v>
          </cell>
          <cell r="F53">
            <v>-40</v>
          </cell>
          <cell r="G53">
            <v>0</v>
          </cell>
          <cell r="H53">
            <v>-40</v>
          </cell>
          <cell r="I53">
            <v>3405</v>
          </cell>
          <cell r="J53">
            <v>-136200</v>
          </cell>
          <cell r="K53">
            <v>0</v>
          </cell>
          <cell r="L53">
            <v>-136200</v>
          </cell>
        </row>
        <row r="54">
          <cell r="A54">
            <v>48</v>
          </cell>
          <cell r="B54">
            <v>48</v>
          </cell>
          <cell r="C54" t="str">
            <v>St. John the Baptist*</v>
          </cell>
          <cell r="D54">
            <v>5754</v>
          </cell>
          <cell r="E54">
            <v>5696</v>
          </cell>
          <cell r="F54">
            <v>-58</v>
          </cell>
          <cell r="G54">
            <v>0</v>
          </cell>
          <cell r="H54">
            <v>-58</v>
          </cell>
          <cell r="I54">
            <v>5280</v>
          </cell>
          <cell r="J54">
            <v>-306240</v>
          </cell>
          <cell r="K54">
            <v>0</v>
          </cell>
          <cell r="L54">
            <v>-306240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12852</v>
          </cell>
          <cell r="E55">
            <v>12530</v>
          </cell>
          <cell r="F55">
            <v>-322</v>
          </cell>
          <cell r="G55">
            <v>0</v>
          </cell>
          <cell r="H55">
            <v>-322</v>
          </cell>
          <cell r="I55">
            <v>5940</v>
          </cell>
          <cell r="J55">
            <v>-1912680</v>
          </cell>
          <cell r="K55">
            <v>0</v>
          </cell>
          <cell r="L55">
            <v>-1912680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7387</v>
          </cell>
          <cell r="E56">
            <v>7329</v>
          </cell>
          <cell r="F56">
            <v>-58</v>
          </cell>
          <cell r="G56">
            <v>0</v>
          </cell>
          <cell r="H56">
            <v>-58</v>
          </cell>
          <cell r="I56">
            <v>5825</v>
          </cell>
          <cell r="J56">
            <v>-337850</v>
          </cell>
          <cell r="K56">
            <v>0</v>
          </cell>
          <cell r="L56">
            <v>-337850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8235</v>
          </cell>
          <cell r="E57">
            <v>8173</v>
          </cell>
          <cell r="F57">
            <v>-62</v>
          </cell>
          <cell r="G57">
            <v>0</v>
          </cell>
          <cell r="H57">
            <v>-62</v>
          </cell>
          <cell r="I57">
            <v>5972</v>
          </cell>
          <cell r="J57">
            <v>-370264</v>
          </cell>
          <cell r="K57">
            <v>0</v>
          </cell>
          <cell r="L57">
            <v>-370264</v>
          </cell>
        </row>
        <row r="58">
          <cell r="A58">
            <v>52</v>
          </cell>
          <cell r="B58">
            <v>52</v>
          </cell>
          <cell r="C58" t="str">
            <v>St. Tammany*</v>
          </cell>
          <cell r="D58">
            <v>37355</v>
          </cell>
          <cell r="E58">
            <v>37682</v>
          </cell>
          <cell r="F58">
            <v>327</v>
          </cell>
          <cell r="G58">
            <v>327</v>
          </cell>
          <cell r="H58">
            <v>0</v>
          </cell>
          <cell r="I58">
            <v>5841</v>
          </cell>
          <cell r="J58">
            <v>1910007</v>
          </cell>
          <cell r="K58">
            <v>1910007</v>
          </cell>
          <cell r="L58">
            <v>0</v>
          </cell>
        </row>
        <row r="59">
          <cell r="A59">
            <v>53</v>
          </cell>
          <cell r="B59">
            <v>53</v>
          </cell>
          <cell r="C59" t="str">
            <v>Tangipahoa*</v>
          </cell>
          <cell r="D59">
            <v>19230</v>
          </cell>
          <cell r="E59">
            <v>19078</v>
          </cell>
          <cell r="F59">
            <v>-152</v>
          </cell>
          <cell r="G59">
            <v>0</v>
          </cell>
          <cell r="H59">
            <v>-152</v>
          </cell>
          <cell r="I59">
            <v>5983</v>
          </cell>
          <cell r="J59">
            <v>-909416</v>
          </cell>
          <cell r="K59">
            <v>0</v>
          </cell>
          <cell r="L59">
            <v>-909416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434</v>
          </cell>
          <cell r="E60">
            <v>393</v>
          </cell>
          <cell r="F60">
            <v>-41</v>
          </cell>
          <cell r="G60">
            <v>0</v>
          </cell>
          <cell r="H60">
            <v>-41</v>
          </cell>
          <cell r="I60">
            <v>6607</v>
          </cell>
          <cell r="J60">
            <v>-270887</v>
          </cell>
          <cell r="K60">
            <v>0</v>
          </cell>
          <cell r="L60">
            <v>-270887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16556</v>
          </cell>
          <cell r="E61">
            <v>16329</v>
          </cell>
          <cell r="F61">
            <v>-227</v>
          </cell>
          <cell r="G61">
            <v>0</v>
          </cell>
          <cell r="H61">
            <v>-227</v>
          </cell>
          <cell r="I61">
            <v>5554</v>
          </cell>
          <cell r="J61">
            <v>-1260758</v>
          </cell>
          <cell r="K61">
            <v>0</v>
          </cell>
          <cell r="L61">
            <v>-1260758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1909</v>
          </cell>
          <cell r="E62">
            <v>1912</v>
          </cell>
          <cell r="F62">
            <v>3</v>
          </cell>
          <cell r="G62">
            <v>3</v>
          </cell>
          <cell r="H62">
            <v>0</v>
          </cell>
          <cell r="I62">
            <v>7077</v>
          </cell>
          <cell r="J62">
            <v>21231</v>
          </cell>
          <cell r="K62">
            <v>21231</v>
          </cell>
          <cell r="L62">
            <v>0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9186</v>
          </cell>
          <cell r="E63">
            <v>9292</v>
          </cell>
          <cell r="F63">
            <v>106</v>
          </cell>
          <cell r="G63">
            <v>106</v>
          </cell>
          <cell r="H63">
            <v>0</v>
          </cell>
          <cell r="I63">
            <v>6038</v>
          </cell>
          <cell r="J63">
            <v>640028</v>
          </cell>
          <cell r="K63">
            <v>640028</v>
          </cell>
          <cell r="L63">
            <v>0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8029</v>
          </cell>
          <cell r="E64">
            <v>8029</v>
          </cell>
          <cell r="F64">
            <v>0</v>
          </cell>
          <cell r="G64">
            <v>0</v>
          </cell>
          <cell r="H64">
            <v>0</v>
          </cell>
          <cell r="I64">
            <v>6732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59</v>
          </cell>
          <cell r="B65">
            <v>59</v>
          </cell>
          <cell r="C65" t="str">
            <v>Washington*</v>
          </cell>
          <cell r="D65">
            <v>4995</v>
          </cell>
          <cell r="E65">
            <v>4883</v>
          </cell>
          <cell r="F65">
            <v>-112</v>
          </cell>
          <cell r="G65">
            <v>0</v>
          </cell>
          <cell r="H65">
            <v>-112</v>
          </cell>
          <cell r="I65">
            <v>7322</v>
          </cell>
          <cell r="J65">
            <v>-820064</v>
          </cell>
          <cell r="K65">
            <v>0</v>
          </cell>
          <cell r="L65">
            <v>-820064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5927</v>
          </cell>
          <cell r="E66">
            <v>5797</v>
          </cell>
          <cell r="F66">
            <v>-130</v>
          </cell>
          <cell r="G66">
            <v>0</v>
          </cell>
          <cell r="H66">
            <v>-130</v>
          </cell>
          <cell r="I66">
            <v>6225</v>
          </cell>
          <cell r="J66">
            <v>-809250</v>
          </cell>
          <cell r="K66">
            <v>0</v>
          </cell>
          <cell r="L66">
            <v>-809250</v>
          </cell>
        </row>
        <row r="67">
          <cell r="A67">
            <v>61</v>
          </cell>
          <cell r="B67">
            <v>61</v>
          </cell>
          <cell r="C67" t="str">
            <v>West Baton Rouge*</v>
          </cell>
          <cell r="D67">
            <v>3531</v>
          </cell>
          <cell r="E67">
            <v>3662</v>
          </cell>
          <cell r="F67">
            <v>131</v>
          </cell>
          <cell r="G67">
            <v>131</v>
          </cell>
          <cell r="H67">
            <v>0</v>
          </cell>
          <cell r="I67">
            <v>3777</v>
          </cell>
          <cell r="J67">
            <v>494787</v>
          </cell>
          <cell r="K67">
            <v>494787</v>
          </cell>
          <cell r="L67">
            <v>0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1959</v>
          </cell>
          <cell r="E68">
            <v>1884</v>
          </cell>
          <cell r="F68">
            <v>-75</v>
          </cell>
          <cell r="G68">
            <v>0</v>
          </cell>
          <cell r="H68">
            <v>-75</v>
          </cell>
          <cell r="I68">
            <v>6802</v>
          </cell>
          <cell r="J68">
            <v>-510150</v>
          </cell>
          <cell r="K68">
            <v>0</v>
          </cell>
          <cell r="L68">
            <v>-510150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2103</v>
          </cell>
          <cell r="E69">
            <v>2115</v>
          </cell>
          <cell r="F69">
            <v>12</v>
          </cell>
          <cell r="G69">
            <v>12</v>
          </cell>
          <cell r="H69">
            <v>0</v>
          </cell>
          <cell r="I69">
            <v>4675</v>
          </cell>
          <cell r="J69">
            <v>56100</v>
          </cell>
          <cell r="K69">
            <v>56100</v>
          </cell>
          <cell r="L69">
            <v>0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2089</v>
          </cell>
          <cell r="E70">
            <v>2040</v>
          </cell>
          <cell r="F70">
            <v>-49</v>
          </cell>
          <cell r="G70">
            <v>0</v>
          </cell>
          <cell r="H70">
            <v>-49</v>
          </cell>
          <cell r="I70">
            <v>7122</v>
          </cell>
          <cell r="J70">
            <v>-348978</v>
          </cell>
          <cell r="K70">
            <v>0</v>
          </cell>
          <cell r="L70">
            <v>-348978</v>
          </cell>
        </row>
        <row r="71">
          <cell r="A71">
            <v>65</v>
          </cell>
          <cell r="B71">
            <v>65</v>
          </cell>
          <cell r="C71" t="str">
            <v>City of Monroe*</v>
          </cell>
          <cell r="D71">
            <v>7932</v>
          </cell>
          <cell r="E71">
            <v>7832</v>
          </cell>
          <cell r="F71">
            <v>-100</v>
          </cell>
          <cell r="G71">
            <v>0</v>
          </cell>
          <cell r="H71">
            <v>-100</v>
          </cell>
          <cell r="I71">
            <v>5807</v>
          </cell>
          <cell r="J71">
            <v>-580700</v>
          </cell>
          <cell r="K71">
            <v>0</v>
          </cell>
          <cell r="L71">
            <v>-580700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1877</v>
          </cell>
          <cell r="E72">
            <v>1838</v>
          </cell>
          <cell r="F72">
            <v>-39</v>
          </cell>
          <cell r="G72">
            <v>0</v>
          </cell>
          <cell r="H72">
            <v>-39</v>
          </cell>
          <cell r="I72">
            <v>7548</v>
          </cell>
          <cell r="J72">
            <v>-294372</v>
          </cell>
          <cell r="K72">
            <v>0</v>
          </cell>
          <cell r="L72">
            <v>-294372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5350</v>
          </cell>
          <cell r="E73">
            <v>5372</v>
          </cell>
          <cell r="F73">
            <v>22</v>
          </cell>
          <cell r="G73">
            <v>22</v>
          </cell>
          <cell r="H73">
            <v>0</v>
          </cell>
          <cell r="I73">
            <v>5973</v>
          </cell>
          <cell r="J73">
            <v>131406</v>
          </cell>
          <cell r="K73">
            <v>131406</v>
          </cell>
          <cell r="L73">
            <v>0</v>
          </cell>
        </row>
        <row r="74">
          <cell r="A74">
            <v>68</v>
          </cell>
          <cell r="B74">
            <v>68</v>
          </cell>
          <cell r="C74" t="str">
            <v>City of Baker*</v>
          </cell>
          <cell r="D74">
            <v>1272</v>
          </cell>
          <cell r="E74">
            <v>1242</v>
          </cell>
          <cell r="F74">
            <v>-30</v>
          </cell>
          <cell r="G74">
            <v>0</v>
          </cell>
          <cell r="H74">
            <v>-30</v>
          </cell>
          <cell r="I74">
            <v>7659</v>
          </cell>
          <cell r="J74">
            <v>-229770</v>
          </cell>
          <cell r="K74">
            <v>0</v>
          </cell>
          <cell r="L74">
            <v>-229770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4652</v>
          </cell>
          <cell r="E75">
            <v>4708</v>
          </cell>
          <cell r="F75">
            <v>56</v>
          </cell>
          <cell r="G75">
            <v>56</v>
          </cell>
          <cell r="H75">
            <v>0</v>
          </cell>
          <cell r="I75">
            <v>6780</v>
          </cell>
          <cell r="J75">
            <v>379680</v>
          </cell>
          <cell r="K75">
            <v>379680</v>
          </cell>
          <cell r="L75">
            <v>0</v>
          </cell>
        </row>
        <row r="76">
          <cell r="C76" t="str">
            <v>Total City/Parish</v>
          </cell>
          <cell r="D76">
            <v>658791</v>
          </cell>
          <cell r="E76">
            <v>659831</v>
          </cell>
          <cell r="F76">
            <v>1040</v>
          </cell>
          <cell r="G76">
            <v>4967</v>
          </cell>
          <cell r="H76">
            <v>-3927</v>
          </cell>
          <cell r="J76">
            <v>2180032</v>
          </cell>
          <cell r="K76">
            <v>24752042</v>
          </cell>
          <cell r="L76">
            <v>-22572010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1427</v>
          </cell>
          <cell r="E78">
            <v>1416</v>
          </cell>
          <cell r="F78">
            <v>-11</v>
          </cell>
          <cell r="G78">
            <v>0</v>
          </cell>
          <cell r="H78">
            <v>-11</v>
          </cell>
          <cell r="I78">
            <v>5267.8029481652884</v>
          </cell>
          <cell r="J78">
            <v>-57946</v>
          </cell>
          <cell r="K78">
            <v>0</v>
          </cell>
          <cell r="L78">
            <v>-57946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557</v>
          </cell>
          <cell r="E79">
            <v>569</v>
          </cell>
          <cell r="F79">
            <v>12</v>
          </cell>
          <cell r="G79">
            <v>12</v>
          </cell>
          <cell r="H79">
            <v>0</v>
          </cell>
          <cell r="I79">
            <v>5361.7329481652878</v>
          </cell>
          <cell r="J79">
            <v>64341</v>
          </cell>
          <cell r="K79">
            <v>64341</v>
          </cell>
          <cell r="L79">
            <v>0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345</v>
          </cell>
          <cell r="E80">
            <v>358</v>
          </cell>
          <cell r="F80">
            <v>13</v>
          </cell>
          <cell r="G80">
            <v>13</v>
          </cell>
          <cell r="H80">
            <v>0</v>
          </cell>
          <cell r="J80">
            <v>117421</v>
          </cell>
          <cell r="K80">
            <v>117421</v>
          </cell>
          <cell r="L80">
            <v>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236</v>
          </cell>
          <cell r="E81">
            <v>234</v>
          </cell>
          <cell r="F81">
            <v>-2</v>
          </cell>
          <cell r="G81">
            <v>0</v>
          </cell>
          <cell r="H81">
            <v>-2</v>
          </cell>
          <cell r="J81">
            <v>-18460</v>
          </cell>
          <cell r="K81">
            <v>0</v>
          </cell>
          <cell r="L81">
            <v>-18460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175</v>
          </cell>
          <cell r="E82">
            <v>173</v>
          </cell>
          <cell r="F82">
            <v>-2</v>
          </cell>
          <cell r="G82">
            <v>0</v>
          </cell>
          <cell r="H82">
            <v>-2</v>
          </cell>
          <cell r="J82">
            <v>-16656</v>
          </cell>
          <cell r="K82">
            <v>0</v>
          </cell>
          <cell r="L82">
            <v>-16656</v>
          </cell>
        </row>
        <row r="84">
          <cell r="C84" t="str">
            <v>Total Lab &amp; State Approved Schools</v>
          </cell>
          <cell r="D84">
            <v>2740</v>
          </cell>
          <cell r="E84">
            <v>2750</v>
          </cell>
          <cell r="F84">
            <v>10</v>
          </cell>
          <cell r="G84">
            <v>25</v>
          </cell>
          <cell r="H84">
            <v>-15</v>
          </cell>
          <cell r="J84">
            <v>88700</v>
          </cell>
          <cell r="K84">
            <v>181762</v>
          </cell>
          <cell r="L84">
            <v>-93062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253</v>
          </cell>
          <cell r="E86">
            <v>269</v>
          </cell>
          <cell r="F86">
            <v>16</v>
          </cell>
          <cell r="G86">
            <v>16</v>
          </cell>
          <cell r="H86">
            <v>0</v>
          </cell>
          <cell r="J86">
            <v>185765</v>
          </cell>
          <cell r="K86">
            <v>185765</v>
          </cell>
          <cell r="L86">
            <v>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329</v>
          </cell>
          <cell r="E87">
            <v>348</v>
          </cell>
          <cell r="F87">
            <v>19</v>
          </cell>
          <cell r="G87">
            <v>19</v>
          </cell>
          <cell r="H87">
            <v>0</v>
          </cell>
          <cell r="J87">
            <v>194825</v>
          </cell>
          <cell r="K87">
            <v>194825</v>
          </cell>
          <cell r="L87">
            <v>0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1387</v>
          </cell>
          <cell r="E88">
            <v>1401</v>
          </cell>
          <cell r="F88">
            <v>14</v>
          </cell>
          <cell r="G88">
            <v>14</v>
          </cell>
          <cell r="H88">
            <v>0</v>
          </cell>
          <cell r="J88">
            <v>139296</v>
          </cell>
          <cell r="K88">
            <v>139296</v>
          </cell>
          <cell r="L88">
            <v>0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718</v>
          </cell>
          <cell r="E89">
            <v>737</v>
          </cell>
          <cell r="F89">
            <v>19</v>
          </cell>
          <cell r="G89">
            <v>19</v>
          </cell>
          <cell r="H89">
            <v>0</v>
          </cell>
          <cell r="J89">
            <v>188321</v>
          </cell>
          <cell r="K89">
            <v>188321</v>
          </cell>
          <cell r="L89">
            <v>0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870</v>
          </cell>
          <cell r="E90">
            <v>846</v>
          </cell>
          <cell r="F90">
            <v>-24</v>
          </cell>
          <cell r="G90">
            <v>0</v>
          </cell>
          <cell r="H90">
            <v>-24</v>
          </cell>
          <cell r="J90">
            <v>-146984</v>
          </cell>
          <cell r="K90">
            <v>0</v>
          </cell>
          <cell r="L90">
            <v>-146984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960</v>
          </cell>
          <cell r="E91">
            <v>912</v>
          </cell>
          <cell r="F91">
            <v>-48</v>
          </cell>
          <cell r="G91">
            <v>0</v>
          </cell>
          <cell r="H91">
            <v>-48</v>
          </cell>
          <cell r="J91">
            <v>-604420</v>
          </cell>
          <cell r="K91">
            <v>0</v>
          </cell>
          <cell r="L91">
            <v>-604420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120</v>
          </cell>
          <cell r="E92">
            <v>120</v>
          </cell>
          <cell r="F92">
            <v>0</v>
          </cell>
          <cell r="G92">
            <v>0</v>
          </cell>
          <cell r="H92">
            <v>0</v>
          </cell>
          <cell r="J92">
            <v>-2375</v>
          </cell>
          <cell r="K92">
            <v>0</v>
          </cell>
          <cell r="L92">
            <v>-2375</v>
          </cell>
        </row>
        <row r="93">
          <cell r="C93" t="str">
            <v>Total Legacy Type 2 Charter Schools</v>
          </cell>
          <cell r="D93">
            <v>4637</v>
          </cell>
          <cell r="E93">
            <v>4633</v>
          </cell>
          <cell r="F93">
            <v>-4</v>
          </cell>
          <cell r="G93">
            <v>68</v>
          </cell>
          <cell r="H93">
            <v>-72</v>
          </cell>
          <cell r="J93">
            <v>-45572</v>
          </cell>
          <cell r="K93">
            <v>708207</v>
          </cell>
          <cell r="L93">
            <v>-753779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948</v>
          </cell>
          <cell r="E95">
            <v>977</v>
          </cell>
          <cell r="F95">
            <v>29</v>
          </cell>
          <cell r="G95">
            <v>29</v>
          </cell>
          <cell r="H95">
            <v>0</v>
          </cell>
          <cell r="J95">
            <v>260791</v>
          </cell>
          <cell r="K95">
            <v>260791</v>
          </cell>
          <cell r="L95">
            <v>0</v>
          </cell>
          <cell r="N95">
            <v>124365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552</v>
          </cell>
          <cell r="E96">
            <v>570</v>
          </cell>
          <cell r="F96">
            <v>18</v>
          </cell>
          <cell r="G96">
            <v>18</v>
          </cell>
          <cell r="H96">
            <v>0</v>
          </cell>
          <cell r="J96">
            <v>62625</v>
          </cell>
          <cell r="K96">
            <v>62625</v>
          </cell>
          <cell r="L96">
            <v>0</v>
          </cell>
          <cell r="N96">
            <v>152767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508</v>
          </cell>
          <cell r="E97">
            <v>456</v>
          </cell>
          <cell r="F97">
            <v>-52</v>
          </cell>
          <cell r="G97">
            <v>0</v>
          </cell>
          <cell r="H97">
            <v>-52</v>
          </cell>
          <cell r="J97">
            <v>-230479</v>
          </cell>
          <cell r="K97">
            <v>0</v>
          </cell>
          <cell r="L97">
            <v>-230479</v>
          </cell>
          <cell r="N97">
            <v>-298741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3000</v>
          </cell>
          <cell r="E98">
            <v>3191</v>
          </cell>
          <cell r="F98">
            <v>191</v>
          </cell>
          <cell r="G98">
            <v>191</v>
          </cell>
          <cell r="H98">
            <v>0</v>
          </cell>
          <cell r="J98">
            <v>1076501</v>
          </cell>
          <cell r="K98">
            <v>1076501</v>
          </cell>
          <cell r="L98">
            <v>0</v>
          </cell>
          <cell r="N98">
            <v>757996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920</v>
          </cell>
          <cell r="E99">
            <v>941</v>
          </cell>
          <cell r="F99">
            <v>21</v>
          </cell>
          <cell r="G99">
            <v>21</v>
          </cell>
          <cell r="H99">
            <v>0</v>
          </cell>
          <cell r="J99">
            <v>63835</v>
          </cell>
          <cell r="K99">
            <v>63835</v>
          </cell>
          <cell r="L99">
            <v>0</v>
          </cell>
          <cell r="N99">
            <v>149557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852</v>
          </cell>
          <cell r="E100">
            <v>955</v>
          </cell>
          <cell r="F100">
            <v>103</v>
          </cell>
          <cell r="G100">
            <v>103</v>
          </cell>
          <cell r="H100">
            <v>0</v>
          </cell>
          <cell r="J100">
            <v>455040</v>
          </cell>
          <cell r="K100">
            <v>455040</v>
          </cell>
          <cell r="L100">
            <v>0</v>
          </cell>
          <cell r="N100">
            <v>602996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870</v>
          </cell>
          <cell r="E101">
            <v>939</v>
          </cell>
          <cell r="F101">
            <v>69</v>
          </cell>
          <cell r="G101">
            <v>69</v>
          </cell>
          <cell r="H101">
            <v>0</v>
          </cell>
          <cell r="J101">
            <v>376432</v>
          </cell>
          <cell r="K101">
            <v>376432</v>
          </cell>
          <cell r="L101">
            <v>0</v>
          </cell>
          <cell r="N101">
            <v>324776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67</v>
          </cell>
          <cell r="E102">
            <v>103</v>
          </cell>
          <cell r="F102">
            <v>36</v>
          </cell>
          <cell r="G102">
            <v>36</v>
          </cell>
          <cell r="H102">
            <v>0</v>
          </cell>
          <cell r="J102">
            <v>128668</v>
          </cell>
          <cell r="K102">
            <v>128668</v>
          </cell>
          <cell r="L102">
            <v>0</v>
          </cell>
          <cell r="N102">
            <v>226474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264</v>
          </cell>
          <cell r="E103">
            <v>229</v>
          </cell>
          <cell r="F103">
            <v>-35</v>
          </cell>
          <cell r="G103">
            <v>0</v>
          </cell>
          <cell r="H103">
            <v>-35</v>
          </cell>
          <cell r="J103">
            <v>-160452</v>
          </cell>
          <cell r="K103">
            <v>0</v>
          </cell>
          <cell r="L103">
            <v>-160452</v>
          </cell>
          <cell r="N103">
            <v>-210246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602</v>
          </cell>
          <cell r="E104">
            <v>491</v>
          </cell>
          <cell r="F104">
            <v>-111</v>
          </cell>
          <cell r="G104">
            <v>0</v>
          </cell>
          <cell r="H104">
            <v>-111</v>
          </cell>
          <cell r="J104">
            <v>-618536</v>
          </cell>
          <cell r="K104">
            <v>0</v>
          </cell>
          <cell r="L104">
            <v>-618536</v>
          </cell>
          <cell r="N104">
            <v>-575525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64</v>
          </cell>
          <cell r="E105">
            <v>68</v>
          </cell>
          <cell r="F105">
            <v>4</v>
          </cell>
          <cell r="G105">
            <v>4</v>
          </cell>
          <cell r="H105">
            <v>0</v>
          </cell>
          <cell r="J105">
            <v>8634</v>
          </cell>
          <cell r="K105">
            <v>8634</v>
          </cell>
          <cell r="L105">
            <v>0</v>
          </cell>
          <cell r="N105">
            <v>27864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599</v>
          </cell>
          <cell r="E106">
            <v>612</v>
          </cell>
          <cell r="F106">
            <v>13</v>
          </cell>
          <cell r="G106">
            <v>13</v>
          </cell>
          <cell r="H106">
            <v>0</v>
          </cell>
          <cell r="J106">
            <v>62651</v>
          </cell>
          <cell r="K106">
            <v>62651</v>
          </cell>
          <cell r="L106">
            <v>0</v>
          </cell>
          <cell r="N106">
            <v>81247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456</v>
          </cell>
          <cell r="E107">
            <v>477</v>
          </cell>
          <cell r="F107">
            <v>21</v>
          </cell>
          <cell r="G107">
            <v>21</v>
          </cell>
          <cell r="H107">
            <v>0</v>
          </cell>
          <cell r="J107">
            <v>120053</v>
          </cell>
          <cell r="K107">
            <v>120053</v>
          </cell>
          <cell r="L107">
            <v>0</v>
          </cell>
          <cell r="N107">
            <v>159455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79</v>
          </cell>
          <cell r="E108">
            <v>76</v>
          </cell>
          <cell r="F108">
            <v>-3</v>
          </cell>
          <cell r="G108">
            <v>0</v>
          </cell>
          <cell r="H108">
            <v>-3</v>
          </cell>
          <cell r="J108">
            <v>8353</v>
          </cell>
          <cell r="K108">
            <v>8353</v>
          </cell>
          <cell r="L108">
            <v>0</v>
          </cell>
          <cell r="N108">
            <v>-101050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270</v>
          </cell>
          <cell r="E109">
            <v>392</v>
          </cell>
          <cell r="F109">
            <v>122</v>
          </cell>
          <cell r="G109">
            <v>122</v>
          </cell>
          <cell r="H109">
            <v>0</v>
          </cell>
          <cell r="J109">
            <v>617601</v>
          </cell>
          <cell r="K109">
            <v>617601</v>
          </cell>
          <cell r="L109">
            <v>0</v>
          </cell>
          <cell r="N109">
            <v>504318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482</v>
          </cell>
          <cell r="E110">
            <v>474</v>
          </cell>
          <cell r="F110">
            <v>-8</v>
          </cell>
          <cell r="G110">
            <v>0</v>
          </cell>
          <cell r="H110">
            <v>-8</v>
          </cell>
          <cell r="J110">
            <v>-19551</v>
          </cell>
          <cell r="K110">
            <v>0</v>
          </cell>
          <cell r="L110">
            <v>-19551</v>
          </cell>
          <cell r="N110">
            <v>-18024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453</v>
          </cell>
          <cell r="E111">
            <v>504</v>
          </cell>
          <cell r="F111">
            <v>51</v>
          </cell>
          <cell r="G111">
            <v>51</v>
          </cell>
          <cell r="H111">
            <v>0</v>
          </cell>
          <cell r="J111">
            <v>188555</v>
          </cell>
          <cell r="K111">
            <v>188555</v>
          </cell>
          <cell r="L111">
            <v>0</v>
          </cell>
          <cell r="N111">
            <v>365830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180</v>
          </cell>
          <cell r="E112">
            <v>180</v>
          </cell>
          <cell r="F112">
            <v>0</v>
          </cell>
          <cell r="G112">
            <v>0</v>
          </cell>
          <cell r="H112">
            <v>0</v>
          </cell>
          <cell r="J112">
            <v>-23073</v>
          </cell>
          <cell r="K112">
            <v>0</v>
          </cell>
          <cell r="L112">
            <v>-23073</v>
          </cell>
          <cell r="N112">
            <v>3690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892</v>
          </cell>
          <cell r="E113">
            <v>896</v>
          </cell>
          <cell r="F113">
            <v>4</v>
          </cell>
          <cell r="G113">
            <v>4</v>
          </cell>
          <cell r="H113">
            <v>0</v>
          </cell>
          <cell r="J113">
            <v>20863</v>
          </cell>
          <cell r="K113">
            <v>20863</v>
          </cell>
          <cell r="L113">
            <v>0</v>
          </cell>
          <cell r="N113">
            <v>6900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348</v>
          </cell>
          <cell r="E114">
            <v>380</v>
          </cell>
          <cell r="F114">
            <v>32</v>
          </cell>
          <cell r="G114">
            <v>32</v>
          </cell>
          <cell r="H114">
            <v>0</v>
          </cell>
          <cell r="J114">
            <v>175960</v>
          </cell>
          <cell r="K114">
            <v>175960</v>
          </cell>
          <cell r="L114">
            <v>0</v>
          </cell>
          <cell r="N114">
            <v>201475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906</v>
          </cell>
          <cell r="E115">
            <v>979</v>
          </cell>
          <cell r="F115">
            <v>73</v>
          </cell>
          <cell r="G115">
            <v>73</v>
          </cell>
          <cell r="H115">
            <v>0</v>
          </cell>
          <cell r="J115">
            <v>323099</v>
          </cell>
          <cell r="K115">
            <v>323099</v>
          </cell>
          <cell r="L115">
            <v>0</v>
          </cell>
          <cell r="N115">
            <v>455366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337</v>
          </cell>
          <cell r="E116">
            <v>394</v>
          </cell>
          <cell r="F116">
            <v>57</v>
          </cell>
          <cell r="G116">
            <v>57</v>
          </cell>
          <cell r="H116">
            <v>0</v>
          </cell>
          <cell r="J116">
            <v>296201</v>
          </cell>
          <cell r="K116">
            <v>296201</v>
          </cell>
          <cell r="L116">
            <v>0</v>
          </cell>
          <cell r="N116">
            <v>250160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1911</v>
          </cell>
          <cell r="E117">
            <v>1920</v>
          </cell>
          <cell r="F117">
            <v>9</v>
          </cell>
          <cell r="G117">
            <v>9</v>
          </cell>
          <cell r="H117">
            <v>0</v>
          </cell>
          <cell r="J117">
            <v>63350</v>
          </cell>
          <cell r="K117">
            <v>63350</v>
          </cell>
          <cell r="L117">
            <v>0</v>
          </cell>
          <cell r="N117">
            <v>24898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661</v>
          </cell>
          <cell r="E118">
            <v>694</v>
          </cell>
          <cell r="F118">
            <v>33</v>
          </cell>
          <cell r="G118">
            <v>33</v>
          </cell>
          <cell r="H118">
            <v>0</v>
          </cell>
          <cell r="J118">
            <v>122705</v>
          </cell>
          <cell r="K118">
            <v>122705</v>
          </cell>
          <cell r="L118">
            <v>0</v>
          </cell>
          <cell r="N118">
            <v>233856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224</v>
          </cell>
          <cell r="E119">
            <v>249</v>
          </cell>
          <cell r="F119">
            <v>25</v>
          </cell>
          <cell r="G119">
            <v>25</v>
          </cell>
          <cell r="H119">
            <v>0</v>
          </cell>
          <cell r="J119">
            <v>120941</v>
          </cell>
          <cell r="K119">
            <v>120941</v>
          </cell>
          <cell r="L119">
            <v>0</v>
          </cell>
          <cell r="N119">
            <v>70004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306</v>
          </cell>
          <cell r="E120">
            <v>374</v>
          </cell>
          <cell r="F120">
            <v>68</v>
          </cell>
          <cell r="G120">
            <v>68</v>
          </cell>
          <cell r="H120">
            <v>0</v>
          </cell>
          <cell r="J120">
            <v>326943</v>
          </cell>
          <cell r="K120">
            <v>326943</v>
          </cell>
          <cell r="L120">
            <v>0</v>
          </cell>
          <cell r="N120">
            <v>467564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513</v>
          </cell>
          <cell r="E121">
            <v>677</v>
          </cell>
          <cell r="F121">
            <v>164</v>
          </cell>
          <cell r="G121">
            <v>164</v>
          </cell>
          <cell r="H121">
            <v>0</v>
          </cell>
          <cell r="J121">
            <v>665163</v>
          </cell>
          <cell r="K121">
            <v>665163</v>
          </cell>
          <cell r="L121">
            <v>0</v>
          </cell>
          <cell r="N121">
            <v>1254367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45</v>
          </cell>
          <cell r="E122">
            <v>102</v>
          </cell>
          <cell r="F122">
            <v>57</v>
          </cell>
          <cell r="G122">
            <v>57</v>
          </cell>
          <cell r="H122">
            <v>0</v>
          </cell>
          <cell r="J122">
            <v>250363</v>
          </cell>
          <cell r="K122">
            <v>250363</v>
          </cell>
          <cell r="L122">
            <v>0</v>
          </cell>
          <cell r="N122">
            <v>376791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974</v>
          </cell>
          <cell r="E123">
            <v>1131</v>
          </cell>
          <cell r="F123">
            <v>157</v>
          </cell>
          <cell r="G123">
            <v>157</v>
          </cell>
          <cell r="H123">
            <v>0</v>
          </cell>
          <cell r="J123">
            <v>705204</v>
          </cell>
          <cell r="K123">
            <v>705204</v>
          </cell>
          <cell r="L123">
            <v>0</v>
          </cell>
          <cell r="N123">
            <v>860201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>
            <v>251</v>
          </cell>
          <cell r="E124">
            <v>419</v>
          </cell>
          <cell r="F124">
            <v>168</v>
          </cell>
          <cell r="G124">
            <v>168</v>
          </cell>
          <cell r="H124">
            <v>0</v>
          </cell>
          <cell r="J124">
            <v>747070</v>
          </cell>
          <cell r="K124">
            <v>747070</v>
          </cell>
          <cell r="L124">
            <v>0</v>
          </cell>
          <cell r="N124">
            <v>1200999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>
            <v>636</v>
          </cell>
          <cell r="E125">
            <v>715</v>
          </cell>
          <cell r="F125">
            <v>79</v>
          </cell>
          <cell r="G125">
            <v>79</v>
          </cell>
          <cell r="H125">
            <v>0</v>
          </cell>
          <cell r="J125">
            <v>344078</v>
          </cell>
          <cell r="K125">
            <v>344078</v>
          </cell>
          <cell r="L125">
            <v>0</v>
          </cell>
          <cell r="N125">
            <v>570289</v>
          </cell>
        </row>
        <row r="126">
          <cell r="A126" t="str">
            <v>WBX001</v>
          </cell>
          <cell r="B126" t="str">
            <v>WBX001</v>
          </cell>
          <cell r="C126" t="str">
            <v>GEO Next Generation HS</v>
          </cell>
          <cell r="D126">
            <v>0</v>
          </cell>
          <cell r="E126">
            <v>96</v>
          </cell>
          <cell r="F126">
            <v>96</v>
          </cell>
          <cell r="G126">
            <v>96</v>
          </cell>
          <cell r="H126">
            <v>0</v>
          </cell>
          <cell r="J126">
            <v>392069</v>
          </cell>
          <cell r="N126">
            <v>707692</v>
          </cell>
        </row>
        <row r="127">
          <cell r="A127" t="str">
            <v>WBY001</v>
          </cell>
          <cell r="B127" t="str">
            <v>WBY001</v>
          </cell>
          <cell r="C127" t="str">
            <v>Red River Charter Academy</v>
          </cell>
          <cell r="D127">
            <v>0</v>
          </cell>
          <cell r="E127">
            <v>196</v>
          </cell>
          <cell r="F127">
            <v>196</v>
          </cell>
          <cell r="G127">
            <v>196</v>
          </cell>
          <cell r="H127">
            <v>0</v>
          </cell>
          <cell r="J127">
            <v>1059222</v>
          </cell>
          <cell r="N127">
            <v>441001</v>
          </cell>
        </row>
        <row r="128">
          <cell r="C128" t="str">
            <v>Total New Type 2 Charter Schools</v>
          </cell>
          <cell r="D128">
            <v>19170</v>
          </cell>
          <cell r="E128">
            <v>20857</v>
          </cell>
          <cell r="F128">
            <v>1687</v>
          </cell>
          <cell r="G128">
            <v>1896</v>
          </cell>
          <cell r="H128">
            <v>-209</v>
          </cell>
          <cell r="J128">
            <v>7990879</v>
          </cell>
          <cell r="K128">
            <v>7591679</v>
          </cell>
          <cell r="L128">
            <v>-1052091</v>
          </cell>
          <cell r="N128">
            <v>9399312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960</v>
          </cell>
          <cell r="E130">
            <v>980</v>
          </cell>
          <cell r="F130">
            <v>20</v>
          </cell>
          <cell r="G130">
            <v>20</v>
          </cell>
          <cell r="H130">
            <v>0</v>
          </cell>
          <cell r="I130">
            <v>5537.1593824117081</v>
          </cell>
          <cell r="J130">
            <v>110743</v>
          </cell>
          <cell r="K130">
            <v>110743</v>
          </cell>
          <cell r="L130">
            <v>0</v>
          </cell>
          <cell r="M130">
            <v>4720</v>
          </cell>
          <cell r="N130">
            <v>94400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382</v>
          </cell>
          <cell r="E131">
            <v>354</v>
          </cell>
          <cell r="F131">
            <v>-28</v>
          </cell>
          <cell r="G131">
            <v>0</v>
          </cell>
          <cell r="H131">
            <v>-28</v>
          </cell>
          <cell r="I131">
            <v>4216.700896189519</v>
          </cell>
          <cell r="J131">
            <v>-118068</v>
          </cell>
          <cell r="K131">
            <v>0</v>
          </cell>
          <cell r="L131">
            <v>-118068</v>
          </cell>
          <cell r="M131">
            <v>6617</v>
          </cell>
          <cell r="N131">
            <v>-185276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305</v>
          </cell>
          <cell r="E132">
            <v>275</v>
          </cell>
          <cell r="F132">
            <v>-30</v>
          </cell>
          <cell r="G132">
            <v>0</v>
          </cell>
          <cell r="H132">
            <v>-30</v>
          </cell>
          <cell r="I132">
            <v>4216.700896189519</v>
          </cell>
          <cell r="J132">
            <v>-126501</v>
          </cell>
          <cell r="K132">
            <v>0</v>
          </cell>
          <cell r="L132">
            <v>-126501</v>
          </cell>
          <cell r="M132">
            <v>6617</v>
          </cell>
          <cell r="N132">
            <v>-198510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260</v>
          </cell>
          <cell r="E133">
            <v>265</v>
          </cell>
          <cell r="F133">
            <v>5</v>
          </cell>
          <cell r="G133">
            <v>5</v>
          </cell>
          <cell r="H133">
            <v>0</v>
          </cell>
          <cell r="I133">
            <v>4216.700896189519</v>
          </cell>
          <cell r="J133">
            <v>21084</v>
          </cell>
          <cell r="K133">
            <v>21084</v>
          </cell>
          <cell r="L133">
            <v>0</v>
          </cell>
          <cell r="M133">
            <v>6617</v>
          </cell>
          <cell r="N133">
            <v>33085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522</v>
          </cell>
          <cell r="E134">
            <v>547</v>
          </cell>
          <cell r="F134">
            <v>25</v>
          </cell>
          <cell r="G134">
            <v>25</v>
          </cell>
          <cell r="H134">
            <v>0</v>
          </cell>
          <cell r="I134">
            <v>4216.700896189519</v>
          </cell>
          <cell r="J134">
            <v>105418</v>
          </cell>
          <cell r="K134">
            <v>105418</v>
          </cell>
          <cell r="L134">
            <v>0</v>
          </cell>
          <cell r="M134">
            <v>6617</v>
          </cell>
          <cell r="N134">
            <v>165425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381</v>
          </cell>
          <cell r="E135">
            <v>402</v>
          </cell>
          <cell r="F135">
            <v>21</v>
          </cell>
          <cell r="G135">
            <v>21</v>
          </cell>
          <cell r="H135">
            <v>0</v>
          </cell>
          <cell r="I135">
            <v>4216.700896189519</v>
          </cell>
          <cell r="J135">
            <v>88551</v>
          </cell>
          <cell r="K135">
            <v>88551</v>
          </cell>
          <cell r="L135">
            <v>0</v>
          </cell>
          <cell r="M135">
            <v>6617</v>
          </cell>
          <cell r="N135">
            <v>138957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0</v>
          </cell>
          <cell r="E136">
            <v>280</v>
          </cell>
          <cell r="F136">
            <v>280</v>
          </cell>
          <cell r="G136">
            <v>280</v>
          </cell>
          <cell r="H136">
            <v>0</v>
          </cell>
          <cell r="I136">
            <v>4216.700896189519</v>
          </cell>
          <cell r="J136">
            <v>1180676</v>
          </cell>
          <cell r="M136">
            <v>6617</v>
          </cell>
          <cell r="N136">
            <v>1852760</v>
          </cell>
        </row>
        <row r="137">
          <cell r="C137" t="str">
            <v>Placeholder for Closed LEAs</v>
          </cell>
          <cell r="D137">
            <v>317</v>
          </cell>
          <cell r="E137">
            <v>0</v>
          </cell>
          <cell r="F137">
            <v>-317</v>
          </cell>
          <cell r="G137">
            <v>0</v>
          </cell>
          <cell r="H137">
            <v>-317</v>
          </cell>
          <cell r="I137">
            <v>4216.700896189519</v>
          </cell>
          <cell r="J137">
            <v>-1336694</v>
          </cell>
          <cell r="K137">
            <v>0</v>
          </cell>
          <cell r="L137">
            <v>-1336694</v>
          </cell>
        </row>
      </sheetData>
      <sheetData sheetId="4" refreshError="1"/>
      <sheetData sheetId="5" refreshError="1"/>
      <sheetData sheetId="6">
        <row r="7">
          <cell r="G7">
            <v>8365</v>
          </cell>
        </row>
        <row r="8">
          <cell r="G8">
            <v>-20652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8450</v>
          </cell>
        </row>
        <row r="12">
          <cell r="G12">
            <v>-19325</v>
          </cell>
        </row>
        <row r="13">
          <cell r="G13">
            <v>0</v>
          </cell>
        </row>
        <row r="14">
          <cell r="G14">
            <v>9348</v>
          </cell>
        </row>
        <row r="15">
          <cell r="G15">
            <v>0</v>
          </cell>
        </row>
        <row r="16">
          <cell r="G16">
            <v>70101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19754</v>
          </cell>
        </row>
        <row r="22">
          <cell r="G22">
            <v>-8539</v>
          </cell>
        </row>
        <row r="23">
          <cell r="G23">
            <v>-125331</v>
          </cell>
        </row>
        <row r="24">
          <cell r="G24">
            <v>0</v>
          </cell>
        </row>
        <row r="25">
          <cell r="G25">
            <v>19100</v>
          </cell>
        </row>
        <row r="26">
          <cell r="G26">
            <v>8990</v>
          </cell>
        </row>
        <row r="27">
          <cell r="G27">
            <v>9624</v>
          </cell>
        </row>
        <row r="28">
          <cell r="G28">
            <v>18926</v>
          </cell>
        </row>
        <row r="29">
          <cell r="G29">
            <v>-28785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9381</v>
          </cell>
        </row>
        <row r="33">
          <cell r="G33">
            <v>0</v>
          </cell>
        </row>
        <row r="34">
          <cell r="G34">
            <v>17091</v>
          </cell>
        </row>
        <row r="35">
          <cell r="G35">
            <v>-17713</v>
          </cell>
        </row>
        <row r="36">
          <cell r="G36">
            <v>0</v>
          </cell>
        </row>
        <row r="37">
          <cell r="G37">
            <v>28274</v>
          </cell>
        </row>
        <row r="38">
          <cell r="G38">
            <v>-54823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-37484</v>
          </cell>
        </row>
        <row r="42">
          <cell r="G42">
            <v>0</v>
          </cell>
        </row>
        <row r="43">
          <cell r="G43">
            <v>9604</v>
          </cell>
        </row>
        <row r="44">
          <cell r="G44">
            <v>0</v>
          </cell>
        </row>
        <row r="45">
          <cell r="G45">
            <v>9496</v>
          </cell>
        </row>
        <row r="46">
          <cell r="G46">
            <v>47524</v>
          </cell>
        </row>
        <row r="47">
          <cell r="G47">
            <v>0</v>
          </cell>
        </row>
        <row r="48">
          <cell r="G48">
            <v>9814</v>
          </cell>
        </row>
        <row r="49">
          <cell r="G49">
            <v>40738</v>
          </cell>
        </row>
        <row r="50">
          <cell r="G50">
            <v>27731</v>
          </cell>
        </row>
        <row r="51">
          <cell r="G51">
            <v>25697</v>
          </cell>
        </row>
        <row r="52">
          <cell r="G52">
            <v>0</v>
          </cell>
        </row>
        <row r="53">
          <cell r="G53">
            <v>9560</v>
          </cell>
        </row>
        <row r="54">
          <cell r="G54">
            <v>19388</v>
          </cell>
        </row>
        <row r="55">
          <cell r="G55">
            <v>52298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-28977</v>
          </cell>
        </row>
        <row r="59">
          <cell r="G59">
            <v>25896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10185</v>
          </cell>
        </row>
        <row r="63">
          <cell r="G63">
            <v>-8695</v>
          </cell>
        </row>
        <row r="64">
          <cell r="G64">
            <v>-36574</v>
          </cell>
        </row>
        <row r="65">
          <cell r="G65">
            <v>0</v>
          </cell>
        </row>
        <row r="66">
          <cell r="G66">
            <v>-9784</v>
          </cell>
        </row>
        <row r="67">
          <cell r="G67">
            <v>0</v>
          </cell>
        </row>
        <row r="68">
          <cell r="G68">
            <v>18086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-19945</v>
          </cell>
        </row>
        <row r="72">
          <cell r="G72">
            <v>0</v>
          </cell>
        </row>
        <row r="73">
          <cell r="G73">
            <v>-18751</v>
          </cell>
        </row>
        <row r="74">
          <cell r="G74">
            <v>0</v>
          </cell>
        </row>
        <row r="75">
          <cell r="G75">
            <v>19378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-8952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-84425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54826</v>
          </cell>
        </row>
        <row r="43">
          <cell r="G43">
            <v>0</v>
          </cell>
        </row>
        <row r="44">
          <cell r="G44">
            <v>28738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27731</v>
          </cell>
        </row>
        <row r="51">
          <cell r="G51">
            <v>-17131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19388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-38635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-8485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-35809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36613</v>
          </cell>
        </row>
        <row r="31">
          <cell r="G31">
            <v>0</v>
          </cell>
        </row>
        <row r="32">
          <cell r="G32">
            <v>-28142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-9137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-9138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11078</v>
          </cell>
        </row>
        <row r="53">
          <cell r="G53">
            <v>0</v>
          </cell>
        </row>
        <row r="54">
          <cell r="G54">
            <v>9694</v>
          </cell>
        </row>
        <row r="55">
          <cell r="G55">
            <v>0</v>
          </cell>
        </row>
        <row r="56">
          <cell r="G56">
            <v>-9289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17264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27605</v>
          </cell>
        </row>
        <row r="68">
          <cell r="G68">
            <v>0</v>
          </cell>
        </row>
        <row r="69">
          <cell r="G69">
            <v>-19507</v>
          </cell>
        </row>
        <row r="70">
          <cell r="G70">
            <v>0</v>
          </cell>
        </row>
        <row r="71">
          <cell r="G71">
            <v>9973</v>
          </cell>
        </row>
        <row r="72">
          <cell r="G72">
            <v>0</v>
          </cell>
        </row>
        <row r="73">
          <cell r="G73">
            <v>-9376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-1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-1</v>
          </cell>
        </row>
      </sheetData>
      <sheetData sheetId="34">
        <row r="7">
          <cell r="E7">
            <v>-9</v>
          </cell>
        </row>
      </sheetData>
      <sheetData sheetId="35">
        <row r="7">
          <cell r="E7">
            <v>-1</v>
          </cell>
        </row>
      </sheetData>
      <sheetData sheetId="36">
        <row r="7">
          <cell r="E7">
            <v>0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-1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0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-18</v>
          </cell>
        </row>
      </sheetData>
      <sheetData sheetId="48">
        <row r="7">
          <cell r="E7">
            <v>10</v>
          </cell>
        </row>
      </sheetData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_Legacy_Res"/>
      <sheetName val="Feb_New Type 2_Res"/>
      <sheetName val="Feb_OPSB Breakout"/>
      <sheetName val="Feb_MidYear Adj"/>
      <sheetName val="Feb_Legacy"/>
      <sheetName val="Feb_New Type 2"/>
      <sheetName val="Feb_LSMSA"/>
      <sheetName val="Feb_NOCCA"/>
      <sheetName val="Feb_Thrive"/>
      <sheetName val="Feb_New Vision"/>
      <sheetName val="Feb_Glencoe"/>
      <sheetName val="Feb_ISL"/>
      <sheetName val="Feb_Avoyelles"/>
      <sheetName val="Feb_Delhi"/>
      <sheetName val="Feb_Belle Chasse"/>
      <sheetName val="Feb_MAX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CFA East"/>
      <sheetName val="Feb_GEO MidCity"/>
      <sheetName val="Feb_Delta"/>
      <sheetName val="Feb_Impact"/>
      <sheetName val="Feb_Advantage"/>
      <sheetName val="Feb_Iberville"/>
      <sheetName val="Feb_LC Col Prep"/>
      <sheetName val="Feb_Northeast"/>
      <sheetName val="Feb_Acadiana Ren"/>
      <sheetName val="Feb_Lafayette Ren"/>
      <sheetName val="Feb_Willow"/>
      <sheetName val="Feb_GEO"/>
      <sheetName val="Feb_Lincoln Prep"/>
      <sheetName val="Feb_Greater"/>
      <sheetName val="Feb_Noble"/>
      <sheetName val="Feb_JCFA Laf"/>
      <sheetName val="Feb_Collegiate"/>
      <sheetName val="Feb_BRUP"/>
      <sheetName val="Feb_Harmony"/>
      <sheetName val="Feb_Athlos"/>
      <sheetName val="Feb_NxtGen"/>
      <sheetName val="Feb_RedRiver"/>
      <sheetName val="Feb_LAVCA"/>
      <sheetName val="Feb_Unv View"/>
      <sheetName val="Source Data"/>
      <sheetName val="LEA Pay Raise"/>
    </sheetNames>
    <sheetDataSet>
      <sheetData sheetId="0" refreshError="1"/>
      <sheetData sheetId="1" refreshError="1"/>
      <sheetData sheetId="2" refreshError="1"/>
      <sheetData sheetId="3">
        <row r="7">
          <cell r="A7">
            <v>1</v>
          </cell>
          <cell r="B7">
            <v>1</v>
          </cell>
          <cell r="C7" t="str">
            <v>Acadia</v>
          </cell>
          <cell r="D7">
            <v>9448</v>
          </cell>
          <cell r="E7">
            <v>9345</v>
          </cell>
          <cell r="F7">
            <v>-103</v>
          </cell>
          <cell r="G7">
            <v>0</v>
          </cell>
          <cell r="H7">
            <v>-103</v>
          </cell>
          <cell r="I7">
            <v>2884.5</v>
          </cell>
          <cell r="J7">
            <v>-297104</v>
          </cell>
          <cell r="K7">
            <v>0</v>
          </cell>
          <cell r="L7">
            <v>-297104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3981</v>
          </cell>
          <cell r="E8">
            <v>3918</v>
          </cell>
          <cell r="F8">
            <v>-63</v>
          </cell>
          <cell r="G8">
            <v>0</v>
          </cell>
          <cell r="H8">
            <v>-63</v>
          </cell>
          <cell r="I8">
            <v>3736.5</v>
          </cell>
          <cell r="J8">
            <v>-235400</v>
          </cell>
          <cell r="K8">
            <v>0</v>
          </cell>
          <cell r="L8">
            <v>-235400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22709</v>
          </cell>
          <cell r="E9">
            <v>22555</v>
          </cell>
          <cell r="F9">
            <v>-154</v>
          </cell>
          <cell r="G9">
            <v>0</v>
          </cell>
          <cell r="H9">
            <v>-154</v>
          </cell>
          <cell r="I9">
            <v>2396.5</v>
          </cell>
          <cell r="J9">
            <v>-369061</v>
          </cell>
          <cell r="K9">
            <v>0</v>
          </cell>
          <cell r="L9">
            <v>-369061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3038</v>
          </cell>
          <cell r="E10">
            <v>3039</v>
          </cell>
          <cell r="F10">
            <v>1</v>
          </cell>
          <cell r="G10">
            <v>1</v>
          </cell>
          <cell r="H10">
            <v>0</v>
          </cell>
          <cell r="I10">
            <v>3396</v>
          </cell>
          <cell r="J10">
            <v>3396</v>
          </cell>
          <cell r="K10">
            <v>3396</v>
          </cell>
          <cell r="L10">
            <v>0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4928</v>
          </cell>
          <cell r="E11">
            <v>4904</v>
          </cell>
          <cell r="F11">
            <v>-24</v>
          </cell>
          <cell r="G11">
            <v>0</v>
          </cell>
          <cell r="H11">
            <v>-24</v>
          </cell>
          <cell r="I11">
            <v>3077.5</v>
          </cell>
          <cell r="J11">
            <v>-73860</v>
          </cell>
          <cell r="K11">
            <v>0</v>
          </cell>
          <cell r="L11">
            <v>-73860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5749</v>
          </cell>
          <cell r="E12">
            <v>5746</v>
          </cell>
          <cell r="F12">
            <v>-3</v>
          </cell>
          <cell r="G12">
            <v>0</v>
          </cell>
          <cell r="H12">
            <v>-3</v>
          </cell>
          <cell r="I12">
            <v>3166.5</v>
          </cell>
          <cell r="J12">
            <v>-9500</v>
          </cell>
          <cell r="K12">
            <v>0</v>
          </cell>
          <cell r="L12">
            <v>-9500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2077</v>
          </cell>
          <cell r="E13">
            <v>2029</v>
          </cell>
          <cell r="F13">
            <v>-48</v>
          </cell>
          <cell r="G13">
            <v>0</v>
          </cell>
          <cell r="H13">
            <v>-48</v>
          </cell>
          <cell r="I13">
            <v>1922</v>
          </cell>
          <cell r="J13">
            <v>-92256</v>
          </cell>
          <cell r="K13">
            <v>0</v>
          </cell>
          <cell r="L13">
            <v>-92256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22393</v>
          </cell>
          <cell r="E14">
            <v>22266</v>
          </cell>
          <cell r="F14">
            <v>-127</v>
          </cell>
          <cell r="G14">
            <v>0</v>
          </cell>
          <cell r="H14">
            <v>-127</v>
          </cell>
          <cell r="I14">
            <v>2951.5</v>
          </cell>
          <cell r="J14">
            <v>-374841</v>
          </cell>
          <cell r="K14">
            <v>0</v>
          </cell>
          <cell r="L14">
            <v>-374841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36871</v>
          </cell>
          <cell r="E15">
            <v>36752</v>
          </cell>
          <cell r="F15">
            <v>-119</v>
          </cell>
          <cell r="G15">
            <v>0</v>
          </cell>
          <cell r="H15">
            <v>-119</v>
          </cell>
          <cell r="I15">
            <v>2768.5</v>
          </cell>
          <cell r="J15">
            <v>-329452</v>
          </cell>
          <cell r="K15">
            <v>0</v>
          </cell>
          <cell r="L15">
            <v>-329452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30685</v>
          </cell>
          <cell r="E16">
            <v>30476</v>
          </cell>
          <cell r="F16">
            <v>-209</v>
          </cell>
          <cell r="G16">
            <v>0</v>
          </cell>
          <cell r="H16">
            <v>-209</v>
          </cell>
          <cell r="I16">
            <v>2041.5</v>
          </cell>
          <cell r="J16">
            <v>-426674</v>
          </cell>
          <cell r="K16">
            <v>0</v>
          </cell>
          <cell r="L16">
            <v>-426674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1541</v>
          </cell>
          <cell r="E17">
            <v>1536</v>
          </cell>
          <cell r="F17">
            <v>-5</v>
          </cell>
          <cell r="G17">
            <v>0</v>
          </cell>
          <cell r="H17">
            <v>-5</v>
          </cell>
          <cell r="I17">
            <v>3954</v>
          </cell>
          <cell r="J17">
            <v>-19770</v>
          </cell>
          <cell r="K17">
            <v>0</v>
          </cell>
          <cell r="L17">
            <v>-19770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1292</v>
          </cell>
          <cell r="E18">
            <v>1278</v>
          </cell>
          <cell r="F18">
            <v>-14</v>
          </cell>
          <cell r="G18">
            <v>0</v>
          </cell>
          <cell r="H18">
            <v>-14</v>
          </cell>
          <cell r="I18">
            <v>1391.5</v>
          </cell>
          <cell r="J18">
            <v>-19481</v>
          </cell>
          <cell r="K18">
            <v>0</v>
          </cell>
          <cell r="L18">
            <v>-19481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1115</v>
          </cell>
          <cell r="E19">
            <v>1101</v>
          </cell>
          <cell r="F19">
            <v>-14</v>
          </cell>
          <cell r="G19">
            <v>0</v>
          </cell>
          <cell r="H19">
            <v>-14</v>
          </cell>
          <cell r="I19">
            <v>3748.5</v>
          </cell>
          <cell r="J19">
            <v>-52479</v>
          </cell>
          <cell r="K19">
            <v>0</v>
          </cell>
          <cell r="L19">
            <v>-52479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1595</v>
          </cell>
          <cell r="E20">
            <v>1603</v>
          </cell>
          <cell r="F20">
            <v>8</v>
          </cell>
          <cell r="G20">
            <v>8</v>
          </cell>
          <cell r="H20">
            <v>0</v>
          </cell>
          <cell r="I20">
            <v>3620.5</v>
          </cell>
          <cell r="J20">
            <v>28964</v>
          </cell>
          <cell r="K20">
            <v>28964</v>
          </cell>
          <cell r="L20">
            <v>0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3176</v>
          </cell>
          <cell r="E21">
            <v>3177</v>
          </cell>
          <cell r="F21">
            <v>1</v>
          </cell>
          <cell r="G21">
            <v>1</v>
          </cell>
          <cell r="H21">
            <v>0</v>
          </cell>
          <cell r="I21">
            <v>3488</v>
          </cell>
          <cell r="J21">
            <v>3488</v>
          </cell>
          <cell r="K21">
            <v>3488</v>
          </cell>
          <cell r="L21">
            <v>0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4772</v>
          </cell>
          <cell r="E22">
            <v>4783</v>
          </cell>
          <cell r="F22">
            <v>11</v>
          </cell>
          <cell r="G22">
            <v>11</v>
          </cell>
          <cell r="H22">
            <v>0</v>
          </cell>
          <cell r="I22">
            <v>1434.5</v>
          </cell>
          <cell r="J22">
            <v>15780</v>
          </cell>
          <cell r="K22">
            <v>15780</v>
          </cell>
          <cell r="L22">
            <v>0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39667</v>
          </cell>
          <cell r="E23">
            <v>39459</v>
          </cell>
          <cell r="F23">
            <v>-208</v>
          </cell>
          <cell r="G23">
            <v>0</v>
          </cell>
          <cell r="H23">
            <v>-208</v>
          </cell>
          <cell r="I23">
            <v>2105.5</v>
          </cell>
          <cell r="J23">
            <v>-437944</v>
          </cell>
          <cell r="K23">
            <v>0</v>
          </cell>
          <cell r="L23">
            <v>-437944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890</v>
          </cell>
          <cell r="E24">
            <v>871</v>
          </cell>
          <cell r="F24">
            <v>-19</v>
          </cell>
          <cell r="G24">
            <v>0</v>
          </cell>
          <cell r="H24">
            <v>-19</v>
          </cell>
          <cell r="I24">
            <v>3605</v>
          </cell>
          <cell r="J24">
            <v>-68495</v>
          </cell>
          <cell r="K24">
            <v>0</v>
          </cell>
          <cell r="L24">
            <v>-68495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1720</v>
          </cell>
          <cell r="E25">
            <v>1724</v>
          </cell>
          <cell r="F25">
            <v>4</v>
          </cell>
          <cell r="G25">
            <v>4</v>
          </cell>
          <cell r="H25">
            <v>0</v>
          </cell>
          <cell r="I25">
            <v>2953.5</v>
          </cell>
          <cell r="J25">
            <v>11814</v>
          </cell>
          <cell r="K25">
            <v>11814</v>
          </cell>
          <cell r="L25">
            <v>0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5523</v>
          </cell>
          <cell r="E26">
            <v>5516</v>
          </cell>
          <cell r="F26">
            <v>-7</v>
          </cell>
          <cell r="G26">
            <v>0</v>
          </cell>
          <cell r="H26">
            <v>-7</v>
          </cell>
          <cell r="I26">
            <v>3149.5</v>
          </cell>
          <cell r="J26">
            <v>-22047</v>
          </cell>
          <cell r="K26">
            <v>0</v>
          </cell>
          <cell r="L26">
            <v>-22047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2876</v>
          </cell>
          <cell r="E27">
            <v>2859</v>
          </cell>
          <cell r="F27">
            <v>-17</v>
          </cell>
          <cell r="G27">
            <v>0</v>
          </cell>
          <cell r="H27">
            <v>-17</v>
          </cell>
          <cell r="I27">
            <v>3508.5</v>
          </cell>
          <cell r="J27">
            <v>-59645</v>
          </cell>
          <cell r="K27">
            <v>0</v>
          </cell>
          <cell r="L27">
            <v>-59645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2863</v>
          </cell>
          <cell r="E28">
            <v>2813</v>
          </cell>
          <cell r="F28">
            <v>-50</v>
          </cell>
          <cell r="G28">
            <v>0</v>
          </cell>
          <cell r="H28">
            <v>-50</v>
          </cell>
          <cell r="I28">
            <v>3753.5</v>
          </cell>
          <cell r="J28">
            <v>-187675</v>
          </cell>
          <cell r="K28">
            <v>0</v>
          </cell>
          <cell r="L28">
            <v>-187675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12035</v>
          </cell>
          <cell r="E29">
            <v>11902</v>
          </cell>
          <cell r="F29">
            <v>-133</v>
          </cell>
          <cell r="G29">
            <v>0</v>
          </cell>
          <cell r="H29">
            <v>-133</v>
          </cell>
          <cell r="I29">
            <v>3062</v>
          </cell>
          <cell r="J29">
            <v>-407246</v>
          </cell>
          <cell r="K29">
            <v>0</v>
          </cell>
          <cell r="L29">
            <v>-407246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4108</v>
          </cell>
          <cell r="E30">
            <v>4120</v>
          </cell>
          <cell r="F30">
            <v>12</v>
          </cell>
          <cell r="G30">
            <v>12</v>
          </cell>
          <cell r="H30">
            <v>0</v>
          </cell>
          <cell r="I30">
            <v>1666.5</v>
          </cell>
          <cell r="J30">
            <v>19998</v>
          </cell>
          <cell r="K30">
            <v>19998</v>
          </cell>
          <cell r="L30">
            <v>0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2195</v>
          </cell>
          <cell r="E31">
            <v>2168</v>
          </cell>
          <cell r="F31">
            <v>-27</v>
          </cell>
          <cell r="G31">
            <v>0</v>
          </cell>
          <cell r="H31">
            <v>-27</v>
          </cell>
          <cell r="I31">
            <v>2748</v>
          </cell>
          <cell r="J31">
            <v>-74196</v>
          </cell>
          <cell r="K31">
            <v>0</v>
          </cell>
          <cell r="L31">
            <v>-74196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48631</v>
          </cell>
          <cell r="E32">
            <v>48318</v>
          </cell>
          <cell r="F32">
            <v>-313</v>
          </cell>
          <cell r="G32">
            <v>0</v>
          </cell>
          <cell r="H32">
            <v>-313</v>
          </cell>
          <cell r="I32">
            <v>2413</v>
          </cell>
          <cell r="J32">
            <v>-755269</v>
          </cell>
          <cell r="K32">
            <v>0</v>
          </cell>
          <cell r="L32">
            <v>-755269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5453</v>
          </cell>
          <cell r="E33">
            <v>5466</v>
          </cell>
          <cell r="F33">
            <v>13</v>
          </cell>
          <cell r="G33">
            <v>13</v>
          </cell>
          <cell r="H33">
            <v>0</v>
          </cell>
          <cell r="I33">
            <v>3338.5</v>
          </cell>
          <cell r="J33">
            <v>43401</v>
          </cell>
          <cell r="K33">
            <v>43401</v>
          </cell>
          <cell r="L33">
            <v>0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30878</v>
          </cell>
          <cell r="E34">
            <v>30996</v>
          </cell>
          <cell r="F34">
            <v>118</v>
          </cell>
          <cell r="G34">
            <v>118</v>
          </cell>
          <cell r="H34">
            <v>0</v>
          </cell>
          <cell r="I34">
            <v>2152</v>
          </cell>
          <cell r="J34">
            <v>253936</v>
          </cell>
          <cell r="K34">
            <v>253936</v>
          </cell>
          <cell r="L34">
            <v>0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14140</v>
          </cell>
          <cell r="E35">
            <v>13945</v>
          </cell>
          <cell r="F35">
            <v>-195</v>
          </cell>
          <cell r="G35">
            <v>0</v>
          </cell>
          <cell r="H35">
            <v>-195</v>
          </cell>
          <cell r="I35">
            <v>2584</v>
          </cell>
          <cell r="J35">
            <v>-503880</v>
          </cell>
          <cell r="K35">
            <v>0</v>
          </cell>
          <cell r="L35">
            <v>-503880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2504</v>
          </cell>
          <cell r="E36">
            <v>2499</v>
          </cell>
          <cell r="F36">
            <v>-5</v>
          </cell>
          <cell r="G36">
            <v>0</v>
          </cell>
          <cell r="H36">
            <v>-5</v>
          </cell>
          <cell r="I36">
            <v>3424</v>
          </cell>
          <cell r="J36">
            <v>-17120</v>
          </cell>
          <cell r="K36">
            <v>0</v>
          </cell>
          <cell r="L36">
            <v>-17120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5793</v>
          </cell>
          <cell r="E37">
            <v>5767</v>
          </cell>
          <cell r="F37">
            <v>-26</v>
          </cell>
          <cell r="G37">
            <v>0</v>
          </cell>
          <cell r="H37">
            <v>-26</v>
          </cell>
          <cell r="I37">
            <v>2528</v>
          </cell>
          <cell r="J37">
            <v>-65728</v>
          </cell>
          <cell r="K37">
            <v>0</v>
          </cell>
          <cell r="L37">
            <v>-65728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25567</v>
          </cell>
          <cell r="E38">
            <v>25546</v>
          </cell>
          <cell r="F38">
            <v>-21</v>
          </cell>
          <cell r="G38">
            <v>0</v>
          </cell>
          <cell r="H38">
            <v>-21</v>
          </cell>
          <cell r="I38">
            <v>3234.5</v>
          </cell>
          <cell r="J38">
            <v>-67925</v>
          </cell>
          <cell r="K38">
            <v>0</v>
          </cell>
          <cell r="L38">
            <v>-67925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1119</v>
          </cell>
          <cell r="E39">
            <v>1108</v>
          </cell>
          <cell r="F39">
            <v>-11</v>
          </cell>
          <cell r="G39">
            <v>0</v>
          </cell>
          <cell r="H39">
            <v>-11</v>
          </cell>
          <cell r="I39">
            <v>3371</v>
          </cell>
          <cell r="J39">
            <v>-37081</v>
          </cell>
          <cell r="K39">
            <v>0</v>
          </cell>
          <cell r="L39">
            <v>-37081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3526</v>
          </cell>
          <cell r="E40">
            <v>3528</v>
          </cell>
          <cell r="F40">
            <v>2</v>
          </cell>
          <cell r="G40">
            <v>2</v>
          </cell>
          <cell r="H40">
            <v>0</v>
          </cell>
          <cell r="I40">
            <v>3566.5</v>
          </cell>
          <cell r="J40">
            <v>7133</v>
          </cell>
          <cell r="K40">
            <v>7133</v>
          </cell>
          <cell r="L40">
            <v>0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5643</v>
          </cell>
          <cell r="E41">
            <v>5585</v>
          </cell>
          <cell r="F41">
            <v>-58</v>
          </cell>
          <cell r="G41">
            <v>0</v>
          </cell>
          <cell r="H41">
            <v>-58</v>
          </cell>
          <cell r="I41">
            <v>2804.5</v>
          </cell>
          <cell r="J41">
            <v>-162661</v>
          </cell>
          <cell r="K41">
            <v>0</v>
          </cell>
          <cell r="L41">
            <v>-162661</v>
          </cell>
        </row>
        <row r="42">
          <cell r="A42">
            <v>36</v>
          </cell>
          <cell r="B42">
            <v>36</v>
          </cell>
          <cell r="C42" t="str">
            <v>Orleans</v>
          </cell>
          <cell r="D42">
            <v>45110</v>
          </cell>
          <cell r="E42">
            <v>45001</v>
          </cell>
          <cell r="F42">
            <v>-109</v>
          </cell>
          <cell r="G42">
            <v>0</v>
          </cell>
          <cell r="H42">
            <v>-109</v>
          </cell>
          <cell r="I42">
            <v>2178</v>
          </cell>
          <cell r="J42">
            <v>-237402</v>
          </cell>
          <cell r="K42">
            <v>0</v>
          </cell>
          <cell r="L42">
            <v>-237402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18590</v>
          </cell>
          <cell r="E43">
            <v>18472</v>
          </cell>
          <cell r="F43">
            <v>-118</v>
          </cell>
          <cell r="G43">
            <v>0</v>
          </cell>
          <cell r="H43">
            <v>-118</v>
          </cell>
          <cell r="I43">
            <v>3234</v>
          </cell>
          <cell r="J43">
            <v>-381612</v>
          </cell>
          <cell r="K43">
            <v>0</v>
          </cell>
          <cell r="L43">
            <v>-381612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3845</v>
          </cell>
          <cell r="E44">
            <v>3827</v>
          </cell>
          <cell r="F44">
            <v>-18</v>
          </cell>
          <cell r="G44">
            <v>0</v>
          </cell>
          <cell r="H44">
            <v>-18</v>
          </cell>
          <cell r="I44">
            <v>1405</v>
          </cell>
          <cell r="J44">
            <v>-25290</v>
          </cell>
          <cell r="K44">
            <v>0</v>
          </cell>
          <cell r="L44">
            <v>-25290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2606</v>
          </cell>
          <cell r="E45">
            <v>2605</v>
          </cell>
          <cell r="F45">
            <v>-1</v>
          </cell>
          <cell r="G45">
            <v>0</v>
          </cell>
          <cell r="H45">
            <v>-1</v>
          </cell>
          <cell r="I45">
            <v>1877.5</v>
          </cell>
          <cell r="J45">
            <v>-1878</v>
          </cell>
          <cell r="K45">
            <v>0</v>
          </cell>
          <cell r="L45">
            <v>-1878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21769</v>
          </cell>
          <cell r="E46">
            <v>21699</v>
          </cell>
          <cell r="F46">
            <v>-70</v>
          </cell>
          <cell r="G46">
            <v>0</v>
          </cell>
          <cell r="H46">
            <v>-70</v>
          </cell>
          <cell r="I46">
            <v>3059.5</v>
          </cell>
          <cell r="J46">
            <v>-214165</v>
          </cell>
          <cell r="K46">
            <v>0</v>
          </cell>
          <cell r="L46">
            <v>-214165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1308</v>
          </cell>
          <cell r="E47">
            <v>1291</v>
          </cell>
          <cell r="F47">
            <v>-17</v>
          </cell>
          <cell r="G47">
            <v>0</v>
          </cell>
          <cell r="H47">
            <v>-17</v>
          </cell>
          <cell r="I47">
            <v>1896</v>
          </cell>
          <cell r="J47">
            <v>-32232</v>
          </cell>
          <cell r="K47">
            <v>0</v>
          </cell>
          <cell r="L47">
            <v>-32232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2711</v>
          </cell>
          <cell r="E48">
            <v>2705</v>
          </cell>
          <cell r="F48">
            <v>-6</v>
          </cell>
          <cell r="G48">
            <v>0</v>
          </cell>
          <cell r="H48">
            <v>-6</v>
          </cell>
          <cell r="I48">
            <v>2791</v>
          </cell>
          <cell r="J48">
            <v>-16746</v>
          </cell>
          <cell r="K48">
            <v>0</v>
          </cell>
          <cell r="L48">
            <v>-16746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4033</v>
          </cell>
          <cell r="E49">
            <v>3998</v>
          </cell>
          <cell r="F49">
            <v>-35</v>
          </cell>
          <cell r="G49">
            <v>0</v>
          </cell>
          <cell r="H49">
            <v>-35</v>
          </cell>
          <cell r="I49">
            <v>3372</v>
          </cell>
          <cell r="J49">
            <v>-118020</v>
          </cell>
          <cell r="K49">
            <v>0</v>
          </cell>
          <cell r="L49">
            <v>-118020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7514</v>
          </cell>
          <cell r="E50">
            <v>7398</v>
          </cell>
          <cell r="F50">
            <v>-116</v>
          </cell>
          <cell r="G50">
            <v>0</v>
          </cell>
          <cell r="H50">
            <v>-116</v>
          </cell>
          <cell r="I50">
            <v>2949.5</v>
          </cell>
          <cell r="J50">
            <v>-342142</v>
          </cell>
          <cell r="K50">
            <v>0</v>
          </cell>
          <cell r="L50">
            <v>-342142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9421</v>
          </cell>
          <cell r="E51">
            <v>9433</v>
          </cell>
          <cell r="F51">
            <v>12</v>
          </cell>
          <cell r="G51">
            <v>12</v>
          </cell>
          <cell r="H51">
            <v>0</v>
          </cell>
          <cell r="I51">
            <v>1590</v>
          </cell>
          <cell r="J51">
            <v>19080</v>
          </cell>
          <cell r="K51">
            <v>19080</v>
          </cell>
          <cell r="L51">
            <v>0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1156</v>
          </cell>
          <cell r="E52">
            <v>1165</v>
          </cell>
          <cell r="F52">
            <v>9</v>
          </cell>
          <cell r="G52">
            <v>9</v>
          </cell>
          <cell r="H52">
            <v>0</v>
          </cell>
          <cell r="I52">
            <v>4072.5</v>
          </cell>
          <cell r="J52">
            <v>36653</v>
          </cell>
          <cell r="K52">
            <v>36653</v>
          </cell>
          <cell r="L52">
            <v>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3451</v>
          </cell>
          <cell r="E53">
            <v>3450</v>
          </cell>
          <cell r="F53">
            <v>-1</v>
          </cell>
          <cell r="G53">
            <v>0</v>
          </cell>
          <cell r="H53">
            <v>-1</v>
          </cell>
          <cell r="I53">
            <v>1702.5</v>
          </cell>
          <cell r="J53">
            <v>-1703</v>
          </cell>
          <cell r="K53">
            <v>0</v>
          </cell>
          <cell r="L53">
            <v>-1703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5696</v>
          </cell>
          <cell r="E54">
            <v>5715</v>
          </cell>
          <cell r="F54">
            <v>19</v>
          </cell>
          <cell r="G54">
            <v>19</v>
          </cell>
          <cell r="H54">
            <v>0</v>
          </cell>
          <cell r="I54">
            <v>2640</v>
          </cell>
          <cell r="J54">
            <v>50160</v>
          </cell>
          <cell r="K54">
            <v>50160</v>
          </cell>
          <cell r="L54">
            <v>0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12530</v>
          </cell>
          <cell r="E55">
            <v>12453</v>
          </cell>
          <cell r="F55">
            <v>-77</v>
          </cell>
          <cell r="G55">
            <v>0</v>
          </cell>
          <cell r="H55">
            <v>-77</v>
          </cell>
          <cell r="I55">
            <v>2970</v>
          </cell>
          <cell r="J55">
            <v>-228690</v>
          </cell>
          <cell r="K55">
            <v>0</v>
          </cell>
          <cell r="L55">
            <v>-228690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7329</v>
          </cell>
          <cell r="E56">
            <v>7236</v>
          </cell>
          <cell r="F56">
            <v>-93</v>
          </cell>
          <cell r="G56">
            <v>0</v>
          </cell>
          <cell r="H56">
            <v>-93</v>
          </cell>
          <cell r="I56">
            <v>2912.5</v>
          </cell>
          <cell r="J56">
            <v>-270863</v>
          </cell>
          <cell r="K56">
            <v>0</v>
          </cell>
          <cell r="L56">
            <v>-270863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8173</v>
          </cell>
          <cell r="E57">
            <v>8145</v>
          </cell>
          <cell r="F57">
            <v>-28</v>
          </cell>
          <cell r="G57">
            <v>0</v>
          </cell>
          <cell r="H57">
            <v>-28</v>
          </cell>
          <cell r="I57">
            <v>2986</v>
          </cell>
          <cell r="J57">
            <v>-83608</v>
          </cell>
          <cell r="K57">
            <v>0</v>
          </cell>
          <cell r="L57">
            <v>-83608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37682</v>
          </cell>
          <cell r="E58">
            <v>37603</v>
          </cell>
          <cell r="F58">
            <v>-79</v>
          </cell>
          <cell r="G58">
            <v>0</v>
          </cell>
          <cell r="H58">
            <v>-79</v>
          </cell>
          <cell r="I58">
            <v>2920.5</v>
          </cell>
          <cell r="J58">
            <v>-230720</v>
          </cell>
          <cell r="K58">
            <v>0</v>
          </cell>
          <cell r="L58">
            <v>-230720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19078</v>
          </cell>
          <cell r="E59">
            <v>19019</v>
          </cell>
          <cell r="F59">
            <v>-59</v>
          </cell>
          <cell r="G59">
            <v>0</v>
          </cell>
          <cell r="H59">
            <v>-59</v>
          </cell>
          <cell r="I59">
            <v>2991.5</v>
          </cell>
          <cell r="J59">
            <v>-176499</v>
          </cell>
          <cell r="K59">
            <v>0</v>
          </cell>
          <cell r="L59">
            <v>-176499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393</v>
          </cell>
          <cell r="E60">
            <v>403</v>
          </cell>
          <cell r="F60">
            <v>10</v>
          </cell>
          <cell r="G60">
            <v>10</v>
          </cell>
          <cell r="H60">
            <v>0</v>
          </cell>
          <cell r="I60">
            <v>3303.5</v>
          </cell>
          <cell r="J60">
            <v>33035</v>
          </cell>
          <cell r="K60">
            <v>33035</v>
          </cell>
          <cell r="L60">
            <v>0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16329</v>
          </cell>
          <cell r="E61">
            <v>16352</v>
          </cell>
          <cell r="F61">
            <v>23</v>
          </cell>
          <cell r="G61">
            <v>23</v>
          </cell>
          <cell r="H61">
            <v>0</v>
          </cell>
          <cell r="I61">
            <v>2777</v>
          </cell>
          <cell r="J61">
            <v>63871</v>
          </cell>
          <cell r="K61">
            <v>63871</v>
          </cell>
          <cell r="L61">
            <v>0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1912</v>
          </cell>
          <cell r="E62">
            <v>1916</v>
          </cell>
          <cell r="F62">
            <v>4</v>
          </cell>
          <cell r="G62">
            <v>4</v>
          </cell>
          <cell r="H62">
            <v>0</v>
          </cell>
          <cell r="I62">
            <v>3538.5</v>
          </cell>
          <cell r="J62">
            <v>14154</v>
          </cell>
          <cell r="K62">
            <v>14154</v>
          </cell>
          <cell r="L62">
            <v>0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9292</v>
          </cell>
          <cell r="E63">
            <v>9253</v>
          </cell>
          <cell r="F63">
            <v>-39</v>
          </cell>
          <cell r="G63">
            <v>0</v>
          </cell>
          <cell r="H63">
            <v>-39</v>
          </cell>
          <cell r="I63">
            <v>3019</v>
          </cell>
          <cell r="J63">
            <v>-117741</v>
          </cell>
          <cell r="K63">
            <v>0</v>
          </cell>
          <cell r="L63">
            <v>-117741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8029</v>
          </cell>
          <cell r="E64">
            <v>7971</v>
          </cell>
          <cell r="F64">
            <v>-58</v>
          </cell>
          <cell r="G64">
            <v>0</v>
          </cell>
          <cell r="H64">
            <v>-58</v>
          </cell>
          <cell r="I64">
            <v>3366</v>
          </cell>
          <cell r="J64">
            <v>-195228</v>
          </cell>
          <cell r="K64">
            <v>0</v>
          </cell>
          <cell r="L64">
            <v>-195228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4883</v>
          </cell>
          <cell r="E65">
            <v>4937</v>
          </cell>
          <cell r="F65">
            <v>54</v>
          </cell>
          <cell r="G65">
            <v>54</v>
          </cell>
          <cell r="H65">
            <v>0</v>
          </cell>
          <cell r="I65">
            <v>3661</v>
          </cell>
          <cell r="J65">
            <v>197694</v>
          </cell>
          <cell r="K65">
            <v>197694</v>
          </cell>
          <cell r="L65">
            <v>0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5797</v>
          </cell>
          <cell r="E66">
            <v>5795</v>
          </cell>
          <cell r="F66">
            <v>-2</v>
          </cell>
          <cell r="G66">
            <v>0</v>
          </cell>
          <cell r="H66">
            <v>-2</v>
          </cell>
          <cell r="I66">
            <v>3112.5</v>
          </cell>
          <cell r="J66">
            <v>-6225</v>
          </cell>
          <cell r="K66">
            <v>0</v>
          </cell>
          <cell r="L66">
            <v>-6225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3662</v>
          </cell>
          <cell r="E67">
            <v>3654</v>
          </cell>
          <cell r="F67">
            <v>-8</v>
          </cell>
          <cell r="G67">
            <v>0</v>
          </cell>
          <cell r="H67">
            <v>-8</v>
          </cell>
          <cell r="I67">
            <v>1888.5</v>
          </cell>
          <cell r="J67">
            <v>-15108</v>
          </cell>
          <cell r="K67">
            <v>0</v>
          </cell>
          <cell r="L67">
            <v>-15108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1884</v>
          </cell>
          <cell r="E68">
            <v>1892</v>
          </cell>
          <cell r="F68">
            <v>8</v>
          </cell>
          <cell r="G68">
            <v>8</v>
          </cell>
          <cell r="H68">
            <v>0</v>
          </cell>
          <cell r="I68">
            <v>3401</v>
          </cell>
          <cell r="J68">
            <v>27208</v>
          </cell>
          <cell r="K68">
            <v>27208</v>
          </cell>
          <cell r="L68">
            <v>0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2115</v>
          </cell>
          <cell r="E69">
            <v>2090</v>
          </cell>
          <cell r="F69">
            <v>-25</v>
          </cell>
          <cell r="G69">
            <v>0</v>
          </cell>
          <cell r="H69">
            <v>-25</v>
          </cell>
          <cell r="I69">
            <v>2337.5</v>
          </cell>
          <cell r="J69">
            <v>-58438</v>
          </cell>
          <cell r="K69">
            <v>0</v>
          </cell>
          <cell r="L69">
            <v>-58438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2040</v>
          </cell>
          <cell r="E70">
            <v>2019</v>
          </cell>
          <cell r="F70">
            <v>-21</v>
          </cell>
          <cell r="G70">
            <v>0</v>
          </cell>
          <cell r="H70">
            <v>-21</v>
          </cell>
          <cell r="I70">
            <v>3561</v>
          </cell>
          <cell r="J70">
            <v>-74781</v>
          </cell>
          <cell r="K70">
            <v>0</v>
          </cell>
          <cell r="L70">
            <v>-74781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7832</v>
          </cell>
          <cell r="E71">
            <v>7928</v>
          </cell>
          <cell r="F71">
            <v>96</v>
          </cell>
          <cell r="G71">
            <v>96</v>
          </cell>
          <cell r="H71">
            <v>0</v>
          </cell>
          <cell r="I71">
            <v>2903.5</v>
          </cell>
          <cell r="J71">
            <v>278736</v>
          </cell>
          <cell r="K71">
            <v>278736</v>
          </cell>
          <cell r="L71">
            <v>0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1838</v>
          </cell>
          <cell r="E72">
            <v>1822</v>
          </cell>
          <cell r="F72">
            <v>-16</v>
          </cell>
          <cell r="G72">
            <v>0</v>
          </cell>
          <cell r="H72">
            <v>-16</v>
          </cell>
          <cell r="I72">
            <v>3774</v>
          </cell>
          <cell r="J72">
            <v>-60384</v>
          </cell>
          <cell r="K72">
            <v>0</v>
          </cell>
          <cell r="L72">
            <v>-60384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5372</v>
          </cell>
          <cell r="E73">
            <v>5366</v>
          </cell>
          <cell r="F73">
            <v>-6</v>
          </cell>
          <cell r="G73">
            <v>0</v>
          </cell>
          <cell r="H73">
            <v>-6</v>
          </cell>
          <cell r="I73">
            <v>2986.5</v>
          </cell>
          <cell r="J73">
            <v>-17919</v>
          </cell>
          <cell r="K73">
            <v>0</v>
          </cell>
          <cell r="L73">
            <v>-17919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1242</v>
          </cell>
          <cell r="E74">
            <v>1208</v>
          </cell>
          <cell r="F74">
            <v>-34</v>
          </cell>
          <cell r="G74">
            <v>0</v>
          </cell>
          <cell r="H74">
            <v>-34</v>
          </cell>
          <cell r="I74">
            <v>3829.5</v>
          </cell>
          <cell r="J74">
            <v>-130203</v>
          </cell>
          <cell r="K74">
            <v>0</v>
          </cell>
          <cell r="L74">
            <v>-130203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4708</v>
          </cell>
          <cell r="E75">
            <v>4749</v>
          </cell>
          <cell r="F75">
            <v>41</v>
          </cell>
          <cell r="G75">
            <v>41</v>
          </cell>
          <cell r="H75">
            <v>0</v>
          </cell>
          <cell r="I75">
            <v>3390</v>
          </cell>
          <cell r="J75">
            <v>138990</v>
          </cell>
          <cell r="K75">
            <v>138990</v>
          </cell>
          <cell r="L75">
            <v>0</v>
          </cell>
        </row>
        <row r="76">
          <cell r="C76" t="str">
            <v>Total City/Parish</v>
          </cell>
          <cell r="D76">
            <v>659831</v>
          </cell>
          <cell r="E76">
            <v>657268</v>
          </cell>
          <cell r="F76">
            <v>-2563</v>
          </cell>
          <cell r="G76">
            <v>446</v>
          </cell>
          <cell r="H76">
            <v>-3009</v>
          </cell>
          <cell r="J76">
            <v>-6956896</v>
          </cell>
          <cell r="K76">
            <v>1247491</v>
          </cell>
          <cell r="L76">
            <v>-8204387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1416</v>
          </cell>
          <cell r="E78">
            <v>1420</v>
          </cell>
          <cell r="F78">
            <v>4</v>
          </cell>
          <cell r="G78">
            <v>4</v>
          </cell>
          <cell r="H78">
            <v>0</v>
          </cell>
          <cell r="I78">
            <v>2633.9014740826442</v>
          </cell>
          <cell r="J78">
            <v>10536</v>
          </cell>
          <cell r="K78">
            <v>10536</v>
          </cell>
          <cell r="L78">
            <v>0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569</v>
          </cell>
          <cell r="E79">
            <v>513</v>
          </cell>
          <cell r="F79">
            <v>-56</v>
          </cell>
          <cell r="G79">
            <v>0</v>
          </cell>
          <cell r="H79">
            <v>-56</v>
          </cell>
          <cell r="I79">
            <v>2680.8664740826439</v>
          </cell>
          <cell r="J79">
            <v>-150129</v>
          </cell>
          <cell r="K79">
            <v>0</v>
          </cell>
          <cell r="L79">
            <v>-150129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358</v>
          </cell>
          <cell r="E80">
            <v>330</v>
          </cell>
          <cell r="F80">
            <v>-28</v>
          </cell>
          <cell r="G80">
            <v>0</v>
          </cell>
          <cell r="H80">
            <v>-28</v>
          </cell>
          <cell r="J80">
            <v>-130222</v>
          </cell>
          <cell r="K80">
            <v>0</v>
          </cell>
          <cell r="L80">
            <v>-130222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234</v>
          </cell>
          <cell r="E81">
            <v>229</v>
          </cell>
          <cell r="F81">
            <v>-5</v>
          </cell>
          <cell r="G81">
            <v>0</v>
          </cell>
          <cell r="H81">
            <v>-5</v>
          </cell>
          <cell r="J81">
            <v>-23302</v>
          </cell>
          <cell r="K81">
            <v>0</v>
          </cell>
          <cell r="L81">
            <v>-23302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173</v>
          </cell>
          <cell r="E82">
            <v>170</v>
          </cell>
          <cell r="F82">
            <v>-3</v>
          </cell>
          <cell r="G82">
            <v>0</v>
          </cell>
          <cell r="H82">
            <v>-3</v>
          </cell>
          <cell r="J82">
            <v>-15841</v>
          </cell>
          <cell r="K82">
            <v>0</v>
          </cell>
          <cell r="L82">
            <v>-15841</v>
          </cell>
        </row>
        <row r="84">
          <cell r="C84" t="str">
            <v>Total Lab &amp; State Approved Schools</v>
          </cell>
          <cell r="D84">
            <v>2750</v>
          </cell>
          <cell r="E84">
            <v>2662</v>
          </cell>
          <cell r="F84">
            <v>-88</v>
          </cell>
          <cell r="G84">
            <v>4</v>
          </cell>
          <cell r="H84">
            <v>-92</v>
          </cell>
          <cell r="J84">
            <v>-308958</v>
          </cell>
          <cell r="K84">
            <v>10536</v>
          </cell>
          <cell r="L84">
            <v>-319494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269</v>
          </cell>
          <cell r="E86">
            <v>256</v>
          </cell>
          <cell r="F86">
            <v>-13</v>
          </cell>
          <cell r="G86">
            <v>0</v>
          </cell>
          <cell r="H86">
            <v>-13</v>
          </cell>
          <cell r="J86">
            <v>-72200</v>
          </cell>
          <cell r="K86">
            <v>0</v>
          </cell>
          <cell r="L86">
            <v>-72200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348</v>
          </cell>
          <cell r="E87">
            <v>346</v>
          </cell>
          <cell r="F87">
            <v>-2</v>
          </cell>
          <cell r="G87">
            <v>0</v>
          </cell>
          <cell r="H87">
            <v>-2</v>
          </cell>
          <cell r="J87">
            <v>-9589</v>
          </cell>
          <cell r="K87">
            <v>0</v>
          </cell>
          <cell r="L87">
            <v>-9589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1401</v>
          </cell>
          <cell r="E88">
            <v>1376</v>
          </cell>
          <cell r="F88">
            <v>-25</v>
          </cell>
          <cell r="G88">
            <v>0</v>
          </cell>
          <cell r="H88">
            <v>-25</v>
          </cell>
          <cell r="J88">
            <v>-105782</v>
          </cell>
          <cell r="K88">
            <v>0</v>
          </cell>
          <cell r="L88">
            <v>-105782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737</v>
          </cell>
          <cell r="E89">
            <v>722</v>
          </cell>
          <cell r="F89">
            <v>-15</v>
          </cell>
          <cell r="G89">
            <v>0</v>
          </cell>
          <cell r="H89">
            <v>-15</v>
          </cell>
          <cell r="J89">
            <v>-58312</v>
          </cell>
          <cell r="K89">
            <v>0</v>
          </cell>
          <cell r="L89">
            <v>-58312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846</v>
          </cell>
          <cell r="E90">
            <v>821</v>
          </cell>
          <cell r="F90">
            <v>-25</v>
          </cell>
          <cell r="G90">
            <v>0</v>
          </cell>
          <cell r="H90">
            <v>-25</v>
          </cell>
          <cell r="J90">
            <v>-116776</v>
          </cell>
          <cell r="K90">
            <v>0</v>
          </cell>
          <cell r="L90">
            <v>-116776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912</v>
          </cell>
          <cell r="E91">
            <v>931</v>
          </cell>
          <cell r="F91">
            <v>19</v>
          </cell>
          <cell r="G91">
            <v>19</v>
          </cell>
          <cell r="H91">
            <v>0</v>
          </cell>
          <cell r="J91">
            <v>119265</v>
          </cell>
          <cell r="K91">
            <v>119265</v>
          </cell>
          <cell r="L91">
            <v>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120</v>
          </cell>
          <cell r="E92">
            <v>119</v>
          </cell>
          <cell r="F92">
            <v>-1</v>
          </cell>
          <cell r="G92">
            <v>0</v>
          </cell>
          <cell r="H92">
            <v>-1</v>
          </cell>
          <cell r="J92">
            <v>-13684</v>
          </cell>
          <cell r="K92">
            <v>0</v>
          </cell>
          <cell r="L92">
            <v>-13684</v>
          </cell>
        </row>
        <row r="93">
          <cell r="C93" t="str">
            <v>Total Legacy Type 2 Charter Schools</v>
          </cell>
          <cell r="D93">
            <v>4633</v>
          </cell>
          <cell r="E93">
            <v>4571</v>
          </cell>
          <cell r="F93">
            <v>-62</v>
          </cell>
          <cell r="G93">
            <v>19</v>
          </cell>
          <cell r="H93">
            <v>-81</v>
          </cell>
          <cell r="J93">
            <v>-257078</v>
          </cell>
          <cell r="K93">
            <v>119265</v>
          </cell>
          <cell r="L93">
            <v>-376343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977</v>
          </cell>
          <cell r="E95">
            <v>973</v>
          </cell>
          <cell r="F95">
            <v>-4</v>
          </cell>
          <cell r="G95">
            <v>0</v>
          </cell>
          <cell r="H95">
            <v>-4</v>
          </cell>
          <cell r="J95">
            <v>6757</v>
          </cell>
          <cell r="K95">
            <v>6757</v>
          </cell>
          <cell r="L95">
            <v>0</v>
          </cell>
          <cell r="N95">
            <v>-7257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570</v>
          </cell>
          <cell r="E96">
            <v>569</v>
          </cell>
          <cell r="F96">
            <v>-1</v>
          </cell>
          <cell r="G96">
            <v>0</v>
          </cell>
          <cell r="H96">
            <v>-1</v>
          </cell>
          <cell r="J96">
            <v>9472</v>
          </cell>
          <cell r="K96">
            <v>9472</v>
          </cell>
          <cell r="L96">
            <v>0</v>
          </cell>
          <cell r="N96">
            <v>-17435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456</v>
          </cell>
          <cell r="E97">
            <v>443</v>
          </cell>
          <cell r="F97">
            <v>-13</v>
          </cell>
          <cell r="G97">
            <v>0</v>
          </cell>
          <cell r="H97">
            <v>-13</v>
          </cell>
          <cell r="J97">
            <v>-24375</v>
          </cell>
          <cell r="K97">
            <v>0</v>
          </cell>
          <cell r="L97">
            <v>-24375</v>
          </cell>
          <cell r="N97">
            <v>-35914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3191</v>
          </cell>
          <cell r="E98">
            <v>3227</v>
          </cell>
          <cell r="F98">
            <v>36</v>
          </cell>
          <cell r="G98">
            <v>36</v>
          </cell>
          <cell r="H98">
            <v>0</v>
          </cell>
          <cell r="J98">
            <v>109060</v>
          </cell>
          <cell r="K98">
            <v>109060</v>
          </cell>
          <cell r="L98">
            <v>0</v>
          </cell>
          <cell r="N98">
            <v>85405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941</v>
          </cell>
          <cell r="E99">
            <v>917</v>
          </cell>
          <cell r="F99">
            <v>-24</v>
          </cell>
          <cell r="G99">
            <v>0</v>
          </cell>
          <cell r="H99">
            <v>-24</v>
          </cell>
          <cell r="J99">
            <v>-51549</v>
          </cell>
          <cell r="K99">
            <v>0</v>
          </cell>
          <cell r="L99">
            <v>-51549</v>
          </cell>
          <cell r="N99">
            <v>-87060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955</v>
          </cell>
          <cell r="E100">
            <v>939</v>
          </cell>
          <cell r="F100">
            <v>-16</v>
          </cell>
          <cell r="G100">
            <v>0</v>
          </cell>
          <cell r="H100">
            <v>-16</v>
          </cell>
          <cell r="J100">
            <v>-9255</v>
          </cell>
          <cell r="K100">
            <v>0</v>
          </cell>
          <cell r="L100">
            <v>-9255</v>
          </cell>
          <cell r="N100">
            <v>-48100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939</v>
          </cell>
          <cell r="E101">
            <v>957</v>
          </cell>
          <cell r="F101">
            <v>18</v>
          </cell>
          <cell r="G101">
            <v>18</v>
          </cell>
          <cell r="H101">
            <v>0</v>
          </cell>
          <cell r="J101">
            <v>45046</v>
          </cell>
          <cell r="K101">
            <v>45046</v>
          </cell>
          <cell r="L101">
            <v>0</v>
          </cell>
          <cell r="N101">
            <v>62915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103</v>
          </cell>
          <cell r="E102">
            <v>97</v>
          </cell>
          <cell r="F102">
            <v>-6</v>
          </cell>
          <cell r="G102">
            <v>0</v>
          </cell>
          <cell r="H102">
            <v>-6</v>
          </cell>
          <cell r="J102">
            <v>11973</v>
          </cell>
          <cell r="K102">
            <v>11973</v>
          </cell>
          <cell r="L102">
            <v>0</v>
          </cell>
          <cell r="N102">
            <v>-14403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229</v>
          </cell>
          <cell r="E103">
            <v>217</v>
          </cell>
          <cell r="F103">
            <v>-12</v>
          </cell>
          <cell r="G103">
            <v>0</v>
          </cell>
          <cell r="H103">
            <v>-12</v>
          </cell>
          <cell r="J103">
            <v>-11371</v>
          </cell>
          <cell r="K103">
            <v>0</v>
          </cell>
          <cell r="L103">
            <v>-11371</v>
          </cell>
          <cell r="N103">
            <v>-31988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491</v>
          </cell>
          <cell r="E104">
            <v>488</v>
          </cell>
          <cell r="F104">
            <v>-3</v>
          </cell>
          <cell r="G104">
            <v>0</v>
          </cell>
          <cell r="H104">
            <v>-3</v>
          </cell>
          <cell r="J104">
            <v>5997</v>
          </cell>
          <cell r="K104">
            <v>5997</v>
          </cell>
          <cell r="L104">
            <v>0</v>
          </cell>
          <cell r="N104">
            <v>-6292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68</v>
          </cell>
          <cell r="E105">
            <v>65</v>
          </cell>
          <cell r="F105">
            <v>-3</v>
          </cell>
          <cell r="G105">
            <v>0</v>
          </cell>
          <cell r="H105">
            <v>-3</v>
          </cell>
          <cell r="J105">
            <v>-7946</v>
          </cell>
          <cell r="K105">
            <v>0</v>
          </cell>
          <cell r="L105">
            <v>-7946</v>
          </cell>
          <cell r="N105">
            <v>-3642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612</v>
          </cell>
          <cell r="E106">
            <v>595</v>
          </cell>
          <cell r="F106">
            <v>-17</v>
          </cell>
          <cell r="G106">
            <v>0</v>
          </cell>
          <cell r="H106">
            <v>-17</v>
          </cell>
          <cell r="J106">
            <v>-41700</v>
          </cell>
          <cell r="K106">
            <v>0</v>
          </cell>
          <cell r="L106">
            <v>-41700</v>
          </cell>
          <cell r="N106">
            <v>-40566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477</v>
          </cell>
          <cell r="E107">
            <v>475</v>
          </cell>
          <cell r="F107">
            <v>-2</v>
          </cell>
          <cell r="G107">
            <v>0</v>
          </cell>
          <cell r="H107">
            <v>-2</v>
          </cell>
          <cell r="J107">
            <v>27044</v>
          </cell>
          <cell r="K107">
            <v>27044</v>
          </cell>
          <cell r="L107">
            <v>0</v>
          </cell>
          <cell r="N107">
            <v>-21897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76</v>
          </cell>
          <cell r="E108">
            <v>69</v>
          </cell>
          <cell r="F108">
            <v>-7</v>
          </cell>
          <cell r="G108">
            <v>0</v>
          </cell>
          <cell r="H108">
            <v>-7</v>
          </cell>
          <cell r="J108">
            <v>-15387</v>
          </cell>
          <cell r="K108">
            <v>0</v>
          </cell>
          <cell r="L108">
            <v>-15387</v>
          </cell>
          <cell r="N108">
            <v>-31643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392</v>
          </cell>
          <cell r="E109">
            <v>396</v>
          </cell>
          <cell r="F109">
            <v>4</v>
          </cell>
          <cell r="G109">
            <v>4</v>
          </cell>
          <cell r="H109">
            <v>0</v>
          </cell>
          <cell r="J109">
            <v>13494</v>
          </cell>
          <cell r="K109">
            <v>13494</v>
          </cell>
          <cell r="L109">
            <v>0</v>
          </cell>
          <cell r="N109">
            <v>-10310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474</v>
          </cell>
          <cell r="E110">
            <v>464</v>
          </cell>
          <cell r="F110">
            <v>-10</v>
          </cell>
          <cell r="G110">
            <v>0</v>
          </cell>
          <cell r="H110">
            <v>-10</v>
          </cell>
          <cell r="J110">
            <v>-28955</v>
          </cell>
          <cell r="K110">
            <v>0</v>
          </cell>
          <cell r="L110">
            <v>-28955</v>
          </cell>
          <cell r="N110">
            <v>-19617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504</v>
          </cell>
          <cell r="E111">
            <v>494</v>
          </cell>
          <cell r="F111">
            <v>-10</v>
          </cell>
          <cell r="G111">
            <v>0</v>
          </cell>
          <cell r="H111">
            <v>-10</v>
          </cell>
          <cell r="J111">
            <v>-24284</v>
          </cell>
          <cell r="K111">
            <v>0</v>
          </cell>
          <cell r="L111">
            <v>-24284</v>
          </cell>
          <cell r="N111">
            <v>-36275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180</v>
          </cell>
          <cell r="E112">
            <v>184</v>
          </cell>
          <cell r="F112">
            <v>4</v>
          </cell>
          <cell r="G112">
            <v>4</v>
          </cell>
          <cell r="H112">
            <v>0</v>
          </cell>
          <cell r="J112">
            <v>20490</v>
          </cell>
          <cell r="K112">
            <v>20490</v>
          </cell>
          <cell r="L112">
            <v>0</v>
          </cell>
          <cell r="N112">
            <v>8434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896</v>
          </cell>
          <cell r="E113">
            <v>896</v>
          </cell>
          <cell r="F113">
            <v>0</v>
          </cell>
          <cell r="G113">
            <v>0</v>
          </cell>
          <cell r="H113">
            <v>0</v>
          </cell>
          <cell r="J113">
            <v>-6714</v>
          </cell>
          <cell r="K113">
            <v>0</v>
          </cell>
          <cell r="L113">
            <v>-6714</v>
          </cell>
          <cell r="N113">
            <v>5010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380</v>
          </cell>
          <cell r="E114">
            <v>390</v>
          </cell>
          <cell r="F114">
            <v>10</v>
          </cell>
          <cell r="G114">
            <v>10</v>
          </cell>
          <cell r="H114">
            <v>0</v>
          </cell>
          <cell r="J114">
            <v>57300</v>
          </cell>
          <cell r="K114">
            <v>57300</v>
          </cell>
          <cell r="L114">
            <v>0</v>
          </cell>
          <cell r="N114">
            <v>37256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979</v>
          </cell>
          <cell r="E115">
            <v>968</v>
          </cell>
          <cell r="F115">
            <v>-11</v>
          </cell>
          <cell r="G115">
            <v>0</v>
          </cell>
          <cell r="H115">
            <v>-11</v>
          </cell>
          <cell r="J115">
            <v>-25958</v>
          </cell>
          <cell r="K115">
            <v>0</v>
          </cell>
          <cell r="L115">
            <v>-25958</v>
          </cell>
          <cell r="N115">
            <v>-33168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394</v>
          </cell>
          <cell r="E116">
            <v>401</v>
          </cell>
          <cell r="F116">
            <v>7</v>
          </cell>
          <cell r="G116">
            <v>7</v>
          </cell>
          <cell r="H116">
            <v>0</v>
          </cell>
          <cell r="J116">
            <v>-267</v>
          </cell>
          <cell r="K116">
            <v>0</v>
          </cell>
          <cell r="L116">
            <v>-267</v>
          </cell>
          <cell r="N116">
            <v>54311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1920</v>
          </cell>
          <cell r="E117">
            <v>1920</v>
          </cell>
          <cell r="F117">
            <v>0</v>
          </cell>
          <cell r="G117">
            <v>0</v>
          </cell>
          <cell r="H117">
            <v>0</v>
          </cell>
          <cell r="J117">
            <v>14215</v>
          </cell>
          <cell r="K117">
            <v>14215</v>
          </cell>
          <cell r="L117">
            <v>0</v>
          </cell>
          <cell r="N117">
            <v>20405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694</v>
          </cell>
          <cell r="E118">
            <v>685</v>
          </cell>
          <cell r="F118">
            <v>-9</v>
          </cell>
          <cell r="G118">
            <v>0</v>
          </cell>
          <cell r="H118">
            <v>-9</v>
          </cell>
          <cell r="J118">
            <v>-13029</v>
          </cell>
          <cell r="K118">
            <v>0</v>
          </cell>
          <cell r="L118">
            <v>-13029</v>
          </cell>
          <cell r="N118">
            <v>-33453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249</v>
          </cell>
          <cell r="E119">
            <v>244</v>
          </cell>
          <cell r="F119">
            <v>-5</v>
          </cell>
          <cell r="G119">
            <v>0</v>
          </cell>
          <cell r="H119">
            <v>-5</v>
          </cell>
          <cell r="J119">
            <v>-24303</v>
          </cell>
          <cell r="K119">
            <v>0</v>
          </cell>
          <cell r="L119">
            <v>-24303</v>
          </cell>
          <cell r="N119">
            <v>-6934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374</v>
          </cell>
          <cell r="E120">
            <v>350</v>
          </cell>
          <cell r="F120">
            <v>-24</v>
          </cell>
          <cell r="G120">
            <v>0</v>
          </cell>
          <cell r="H120">
            <v>-24</v>
          </cell>
          <cell r="J120">
            <v>-56390</v>
          </cell>
          <cell r="K120">
            <v>0</v>
          </cell>
          <cell r="L120">
            <v>-56390</v>
          </cell>
          <cell r="N120">
            <v>-83969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677</v>
          </cell>
          <cell r="E121">
            <v>668</v>
          </cell>
          <cell r="F121">
            <v>-9</v>
          </cell>
          <cell r="G121">
            <v>0</v>
          </cell>
          <cell r="H121">
            <v>-9</v>
          </cell>
          <cell r="J121">
            <v>-13497</v>
          </cell>
          <cell r="K121">
            <v>0</v>
          </cell>
          <cell r="L121">
            <v>-13497</v>
          </cell>
          <cell r="N121">
            <v>-36356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102</v>
          </cell>
          <cell r="E122">
            <v>103</v>
          </cell>
          <cell r="F122">
            <v>1</v>
          </cell>
          <cell r="G122">
            <v>1</v>
          </cell>
          <cell r="H122">
            <v>0</v>
          </cell>
          <cell r="J122">
            <v>5571</v>
          </cell>
          <cell r="K122">
            <v>5571</v>
          </cell>
          <cell r="L122">
            <v>0</v>
          </cell>
          <cell r="N122">
            <v>2657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1131</v>
          </cell>
          <cell r="E123">
            <v>1121</v>
          </cell>
          <cell r="F123">
            <v>-10</v>
          </cell>
          <cell r="G123">
            <v>0</v>
          </cell>
          <cell r="H123">
            <v>-10</v>
          </cell>
          <cell r="J123">
            <v>-22153</v>
          </cell>
          <cell r="K123">
            <v>0</v>
          </cell>
          <cell r="L123">
            <v>-22153</v>
          </cell>
          <cell r="N123">
            <v>-26841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>
            <v>419</v>
          </cell>
          <cell r="E124">
            <v>399</v>
          </cell>
          <cell r="F124">
            <v>-20</v>
          </cell>
          <cell r="G124">
            <v>0</v>
          </cell>
          <cell r="H124">
            <v>-20</v>
          </cell>
          <cell r="J124">
            <v>-43456</v>
          </cell>
          <cell r="K124">
            <v>0</v>
          </cell>
          <cell r="L124">
            <v>-43456</v>
          </cell>
          <cell r="N124">
            <v>-67329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>
            <v>715</v>
          </cell>
          <cell r="E125">
            <v>707</v>
          </cell>
          <cell r="F125">
            <v>-8</v>
          </cell>
          <cell r="G125">
            <v>0</v>
          </cell>
          <cell r="H125">
            <v>-8</v>
          </cell>
          <cell r="J125">
            <v>-5764</v>
          </cell>
          <cell r="K125">
            <v>0</v>
          </cell>
          <cell r="L125">
            <v>-5764</v>
          </cell>
          <cell r="N125">
            <v>-24536</v>
          </cell>
        </row>
        <row r="126">
          <cell r="A126" t="str">
            <v>WBX001</v>
          </cell>
          <cell r="B126" t="str">
            <v>WBX001</v>
          </cell>
          <cell r="C126" t="str">
            <v>GEO Next Generation HS</v>
          </cell>
          <cell r="D126">
            <v>96</v>
          </cell>
          <cell r="E126">
            <v>90</v>
          </cell>
          <cell r="F126">
            <v>-6</v>
          </cell>
          <cell r="G126">
            <v>0</v>
          </cell>
          <cell r="H126">
            <v>-6</v>
          </cell>
          <cell r="J126">
            <v>-13454</v>
          </cell>
          <cell r="N126">
            <v>-15938</v>
          </cell>
        </row>
        <row r="127">
          <cell r="A127" t="str">
            <v>WBY001</v>
          </cell>
          <cell r="B127" t="str">
            <v>WBY001</v>
          </cell>
          <cell r="C127" t="str">
            <v>Red River Charter Academy</v>
          </cell>
          <cell r="D127">
            <v>196</v>
          </cell>
          <cell r="E127">
            <v>198</v>
          </cell>
          <cell r="F127">
            <v>2</v>
          </cell>
          <cell r="G127">
            <v>2</v>
          </cell>
          <cell r="H127">
            <v>0</v>
          </cell>
          <cell r="J127">
            <v>6609</v>
          </cell>
          <cell r="N127">
            <v>257</v>
          </cell>
        </row>
        <row r="128">
          <cell r="C128" t="str">
            <v>Total New Type 2 Charter Schools</v>
          </cell>
          <cell r="D128">
            <v>20857</v>
          </cell>
          <cell r="E128">
            <v>20709</v>
          </cell>
          <cell r="F128">
            <v>-148</v>
          </cell>
          <cell r="G128">
            <v>82</v>
          </cell>
          <cell r="H128">
            <v>-230</v>
          </cell>
          <cell r="J128">
            <v>-106779</v>
          </cell>
          <cell r="K128">
            <v>326419</v>
          </cell>
          <cell r="L128">
            <v>-426353</v>
          </cell>
          <cell r="N128">
            <v>-464273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980</v>
          </cell>
          <cell r="E130">
            <v>952</v>
          </cell>
          <cell r="F130">
            <v>-28</v>
          </cell>
          <cell r="G130">
            <v>0</v>
          </cell>
          <cell r="H130">
            <v>-28</v>
          </cell>
          <cell r="I130">
            <v>2768.579691205854</v>
          </cell>
          <cell r="J130">
            <v>-77520</v>
          </cell>
          <cell r="K130">
            <v>0</v>
          </cell>
          <cell r="L130">
            <v>-77520</v>
          </cell>
          <cell r="M130">
            <v>2360</v>
          </cell>
          <cell r="N130">
            <v>-66080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354</v>
          </cell>
          <cell r="E131">
            <v>360</v>
          </cell>
          <cell r="F131">
            <v>6</v>
          </cell>
          <cell r="G131">
            <v>6</v>
          </cell>
          <cell r="H131">
            <v>0</v>
          </cell>
          <cell r="I131">
            <v>2108.3504480947595</v>
          </cell>
          <cell r="J131">
            <v>12650</v>
          </cell>
          <cell r="K131">
            <v>12650</v>
          </cell>
          <cell r="L131">
            <v>0</v>
          </cell>
          <cell r="M131">
            <v>3308.5</v>
          </cell>
          <cell r="N131">
            <v>19851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275</v>
          </cell>
          <cell r="E132">
            <v>259</v>
          </cell>
          <cell r="F132">
            <v>-16</v>
          </cell>
          <cell r="G132">
            <v>0</v>
          </cell>
          <cell r="H132">
            <v>-16</v>
          </cell>
          <cell r="I132">
            <v>2108.3504480947595</v>
          </cell>
          <cell r="J132">
            <v>-33734</v>
          </cell>
          <cell r="K132">
            <v>0</v>
          </cell>
          <cell r="L132">
            <v>-33734</v>
          </cell>
          <cell r="M132">
            <v>3308.5</v>
          </cell>
          <cell r="N132">
            <v>-52936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265</v>
          </cell>
          <cell r="E133">
            <v>252</v>
          </cell>
          <cell r="F133">
            <v>-13</v>
          </cell>
          <cell r="G133">
            <v>0</v>
          </cell>
          <cell r="H133">
            <v>-13</v>
          </cell>
          <cell r="I133">
            <v>2108.3504480947595</v>
          </cell>
          <cell r="J133">
            <v>-27409</v>
          </cell>
          <cell r="K133">
            <v>0</v>
          </cell>
          <cell r="L133">
            <v>-27409</v>
          </cell>
          <cell r="M133">
            <v>3308.5</v>
          </cell>
          <cell r="N133">
            <v>-43011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547</v>
          </cell>
          <cell r="E134">
            <v>539</v>
          </cell>
          <cell r="F134">
            <v>-8</v>
          </cell>
          <cell r="G134">
            <v>0</v>
          </cell>
          <cell r="H134">
            <v>-8</v>
          </cell>
          <cell r="I134">
            <v>2108.3504480947595</v>
          </cell>
          <cell r="J134">
            <v>-16867</v>
          </cell>
          <cell r="K134">
            <v>0</v>
          </cell>
          <cell r="L134">
            <v>-16867</v>
          </cell>
          <cell r="M134">
            <v>3308.5</v>
          </cell>
          <cell r="N134">
            <v>-26468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402</v>
          </cell>
          <cell r="E135">
            <v>402</v>
          </cell>
          <cell r="F135">
            <v>0</v>
          </cell>
          <cell r="G135">
            <v>0</v>
          </cell>
          <cell r="H135">
            <v>0</v>
          </cell>
          <cell r="I135">
            <v>2108.3504480947595</v>
          </cell>
          <cell r="J135">
            <v>0</v>
          </cell>
          <cell r="K135">
            <v>0</v>
          </cell>
          <cell r="L135">
            <v>0</v>
          </cell>
          <cell r="M135">
            <v>3308.5</v>
          </cell>
          <cell r="N135">
            <v>0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280</v>
          </cell>
          <cell r="E136">
            <v>258</v>
          </cell>
          <cell r="F136">
            <v>-22</v>
          </cell>
          <cell r="G136">
            <v>0</v>
          </cell>
          <cell r="H136">
            <v>-22</v>
          </cell>
          <cell r="I136">
            <v>2108.3504480947595</v>
          </cell>
          <cell r="J136">
            <v>-46384</v>
          </cell>
          <cell r="M136">
            <v>3308.5</v>
          </cell>
          <cell r="N136">
            <v>-72787</v>
          </cell>
        </row>
        <row r="137">
          <cell r="C137" t="str">
            <v>Placeholder for Closed LEAs</v>
          </cell>
          <cell r="G137">
            <v>0</v>
          </cell>
          <cell r="H137">
            <v>0</v>
          </cell>
          <cell r="K137">
            <v>0</v>
          </cell>
          <cell r="L137">
            <v>0</v>
          </cell>
        </row>
      </sheetData>
      <sheetData sheetId="4" refreshError="1"/>
      <sheetData sheetId="5" refreshError="1"/>
      <sheetData sheetId="6">
        <row r="7">
          <cell r="G7">
            <v>-12548</v>
          </cell>
        </row>
        <row r="8">
          <cell r="G8">
            <v>-5163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-4381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-5315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-4476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-9938</v>
          </cell>
        </row>
        <row r="34">
          <cell r="G34">
            <v>-4273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-4712</v>
          </cell>
        </row>
        <row r="38">
          <cell r="G38">
            <v>-4569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-14057</v>
          </cell>
        </row>
        <row r="42">
          <cell r="G42">
            <v>0</v>
          </cell>
        </row>
        <row r="43">
          <cell r="G43">
            <v>-4802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-9505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-5092</v>
          </cell>
        </row>
        <row r="50">
          <cell r="G50">
            <v>0</v>
          </cell>
        </row>
        <row r="51">
          <cell r="G51">
            <v>-4283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-4847</v>
          </cell>
        </row>
        <row r="55">
          <cell r="G55">
            <v>-8716</v>
          </cell>
        </row>
        <row r="56">
          <cell r="G56">
            <v>0</v>
          </cell>
        </row>
        <row r="57">
          <cell r="G57">
            <v>-4922</v>
          </cell>
        </row>
        <row r="58">
          <cell r="G58">
            <v>0</v>
          </cell>
        </row>
        <row r="59">
          <cell r="G59">
            <v>-4316</v>
          </cell>
        </row>
        <row r="60">
          <cell r="G60">
            <v>0</v>
          </cell>
        </row>
        <row r="61">
          <cell r="G61">
            <v>-4642</v>
          </cell>
        </row>
        <row r="62">
          <cell r="G62">
            <v>-5093</v>
          </cell>
        </row>
        <row r="63">
          <cell r="G63">
            <v>0</v>
          </cell>
        </row>
        <row r="64">
          <cell r="G64">
            <v>-4572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9381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-18275</v>
          </cell>
        </row>
        <row r="43">
          <cell r="G43">
            <v>0</v>
          </cell>
        </row>
        <row r="44">
          <cell r="G44">
            <v>-9579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-4829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8485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-22380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-4577</v>
          </cell>
        </row>
        <row r="31">
          <cell r="G31">
            <v>0</v>
          </cell>
        </row>
        <row r="32">
          <cell r="G32">
            <v>-4690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4622</v>
          </cell>
        </row>
        <row r="51">
          <cell r="G51">
            <v>0</v>
          </cell>
        </row>
        <row r="52">
          <cell r="G52">
            <v>-5539</v>
          </cell>
        </row>
        <row r="53">
          <cell r="G53">
            <v>0</v>
          </cell>
        </row>
        <row r="54">
          <cell r="G54">
            <v>-4847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9659</v>
          </cell>
        </row>
        <row r="59">
          <cell r="G59">
            <v>4316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9202</v>
          </cell>
        </row>
        <row r="68">
          <cell r="G68">
            <v>0</v>
          </cell>
        </row>
        <row r="69">
          <cell r="G69">
            <v>-4877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-5215</v>
          </cell>
        </row>
        <row r="75">
          <cell r="G75">
            <v>0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0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0</v>
          </cell>
        </row>
      </sheetData>
      <sheetData sheetId="34">
        <row r="7">
          <cell r="E7">
            <v>5</v>
          </cell>
        </row>
      </sheetData>
      <sheetData sheetId="35">
        <row r="7">
          <cell r="E7">
            <v>-2</v>
          </cell>
        </row>
      </sheetData>
      <sheetData sheetId="36">
        <row r="7">
          <cell r="E7">
            <v>0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1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0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4</v>
          </cell>
        </row>
      </sheetData>
      <sheetData sheetId="48">
        <row r="7">
          <cell r="E7">
            <v>-3</v>
          </cell>
        </row>
      </sheetData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State Schls Res Summary"/>
      <sheetName val="5C1AA_Laurel"/>
      <sheetName val="5C1AC_Smothers"/>
      <sheetName val="FY2019-20 MFP Budget Letter_Jul"/>
      <sheetName val=" 2A-2_EFT (Monthly)"/>
    </sheetNames>
    <sheetDataSet>
      <sheetData sheetId="0"/>
      <sheetData sheetId="1"/>
      <sheetData sheetId="2"/>
      <sheetData sheetId="3"/>
      <sheetData sheetId="4"/>
      <sheetData sheetId="5">
        <row r="7">
          <cell r="AL7">
            <v>5769</v>
          </cell>
          <cell r="AZ7">
            <v>4620687</v>
          </cell>
        </row>
        <row r="8">
          <cell r="AZ8">
            <v>2553070</v>
          </cell>
        </row>
        <row r="9">
          <cell r="AZ9">
            <v>9160851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11296339</v>
          </cell>
        </row>
        <row r="15">
          <cell r="AZ15">
            <v>17764843</v>
          </cell>
        </row>
        <row r="16">
          <cell r="AZ16">
            <v>11088638</v>
          </cell>
        </row>
        <row r="17">
          <cell r="AZ17">
            <v>1043308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1918307</v>
          </cell>
        </row>
        <row r="22">
          <cell r="AZ22">
            <v>1218233</v>
          </cell>
        </row>
        <row r="23">
          <cell r="AZ23">
            <v>14514925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3007104</v>
          </cell>
        </row>
        <row r="27">
          <cell r="AZ27">
            <v>1756362</v>
          </cell>
        </row>
        <row r="28">
          <cell r="AZ28">
            <v>1850251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1046285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11371564</v>
          </cell>
        </row>
        <row r="35">
          <cell r="AZ35">
            <v>6157496</v>
          </cell>
        </row>
        <row r="36">
          <cell r="AZ36">
            <v>1446702</v>
          </cell>
        </row>
        <row r="37">
          <cell r="AZ37">
            <v>2541311</v>
          </cell>
        </row>
        <row r="38">
          <cell r="AZ38">
            <v>13892183</v>
          </cell>
        </row>
        <row r="39">
          <cell r="AZ39">
            <v>666934</v>
          </cell>
        </row>
        <row r="40">
          <cell r="AZ40">
            <v>2215070</v>
          </cell>
        </row>
        <row r="41">
          <cell r="AZ41">
            <v>2763031</v>
          </cell>
        </row>
        <row r="42">
          <cell r="AZ42">
            <v>16909296</v>
          </cell>
        </row>
        <row r="43">
          <cell r="AZ43">
            <v>10340098</v>
          </cell>
        </row>
        <row r="44">
          <cell r="AZ44">
            <v>957045</v>
          </cell>
        </row>
        <row r="45">
          <cell r="AZ45">
            <v>845401</v>
          </cell>
        </row>
        <row r="46">
          <cell r="AZ46">
            <v>11481458</v>
          </cell>
        </row>
        <row r="47">
          <cell r="AZ47">
            <v>457983</v>
          </cell>
        </row>
        <row r="48">
          <cell r="AZ48">
            <v>1301225</v>
          </cell>
        </row>
        <row r="49">
          <cell r="AZ49">
            <v>2338712</v>
          </cell>
        </row>
        <row r="50">
          <cell r="AZ50">
            <v>3713006</v>
          </cell>
        </row>
        <row r="51">
          <cell r="AZ51">
            <v>2630338</v>
          </cell>
        </row>
        <row r="52">
          <cell r="AZ52">
            <v>801460</v>
          </cell>
        </row>
        <row r="53">
          <cell r="AZ53">
            <v>1047719</v>
          </cell>
        </row>
        <row r="54">
          <cell r="AZ54">
            <v>2619853</v>
          </cell>
        </row>
        <row r="55">
          <cell r="AZ55">
            <v>6544559</v>
          </cell>
        </row>
        <row r="56">
          <cell r="AZ56">
            <v>3703595</v>
          </cell>
        </row>
        <row r="57">
          <cell r="AZ57">
            <v>4214282</v>
          </cell>
        </row>
        <row r="58">
          <cell r="AZ58">
            <v>18739273</v>
          </cell>
        </row>
        <row r="59">
          <cell r="AZ59">
            <v>9859077</v>
          </cell>
        </row>
        <row r="60">
          <cell r="AZ60">
            <v>247390</v>
          </cell>
        </row>
        <row r="61">
          <cell r="AZ61">
            <v>7885968</v>
          </cell>
        </row>
        <row r="62">
          <cell r="AZ62">
            <v>1156742</v>
          </cell>
        </row>
        <row r="63">
          <cell r="AZ63">
            <v>4752938</v>
          </cell>
        </row>
        <row r="64">
          <cell r="AZ64">
            <v>4623745</v>
          </cell>
        </row>
        <row r="65">
          <cell r="AZ65">
            <v>3123760</v>
          </cell>
        </row>
        <row r="66">
          <cell r="AZ66">
            <v>3152913</v>
          </cell>
        </row>
        <row r="67">
          <cell r="AZ67">
            <v>1174530</v>
          </cell>
        </row>
        <row r="68">
          <cell r="AZ68">
            <v>1135618</v>
          </cell>
        </row>
        <row r="69">
          <cell r="AZ69">
            <v>856557</v>
          </cell>
        </row>
        <row r="70">
          <cell r="AZ70">
            <v>1272784</v>
          </cell>
        </row>
        <row r="71">
          <cell r="AZ71">
            <v>3958759</v>
          </cell>
        </row>
        <row r="72">
          <cell r="AZ72">
            <v>1210172</v>
          </cell>
        </row>
        <row r="73">
          <cell r="AZ73">
            <v>2736781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/>
      <sheetData sheetId="7">
        <row r="7">
          <cell r="AM7">
            <v>-21046</v>
          </cell>
        </row>
      </sheetData>
      <sheetData sheetId="8">
        <row r="7">
          <cell r="AF7">
            <v>734</v>
          </cell>
        </row>
      </sheetData>
      <sheetData sheetId="9"/>
      <sheetData sheetId="10"/>
      <sheetData sheetId="11"/>
      <sheetData sheetId="12">
        <row r="7">
          <cell r="U7">
            <v>640771</v>
          </cell>
        </row>
        <row r="8">
          <cell r="U8">
            <v>249849</v>
          </cell>
        </row>
      </sheetData>
      <sheetData sheetId="13"/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AE7">
            <v>0</v>
          </cell>
        </row>
      </sheetData>
      <sheetData sheetId="21">
        <row r="7">
          <cell r="J7">
            <v>1027</v>
          </cell>
          <cell r="S7">
            <v>294</v>
          </cell>
        </row>
        <row r="8">
          <cell r="J8">
            <v>0</v>
          </cell>
          <cell r="S8">
            <v>0</v>
          </cell>
        </row>
        <row r="9">
          <cell r="J9">
            <v>976</v>
          </cell>
          <cell r="S9">
            <v>463</v>
          </cell>
        </row>
        <row r="10">
          <cell r="J10">
            <v>0</v>
          </cell>
          <cell r="S10">
            <v>0</v>
          </cell>
        </row>
        <row r="11">
          <cell r="J11">
            <v>1336</v>
          </cell>
          <cell r="S11">
            <v>322</v>
          </cell>
        </row>
        <row r="12">
          <cell r="J12">
            <v>460</v>
          </cell>
          <cell r="S12">
            <v>156</v>
          </cell>
        </row>
        <row r="13">
          <cell r="J13">
            <v>544</v>
          </cell>
          <cell r="S13">
            <v>462</v>
          </cell>
        </row>
        <row r="14">
          <cell r="J14">
            <v>2130</v>
          </cell>
          <cell r="S14">
            <v>794</v>
          </cell>
        </row>
        <row r="15">
          <cell r="J15">
            <v>18469</v>
          </cell>
          <cell r="S15">
            <v>7635</v>
          </cell>
        </row>
        <row r="16">
          <cell r="J16">
            <v>7319</v>
          </cell>
          <cell r="S16">
            <v>5008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649</v>
          </cell>
          <cell r="S20">
            <v>205</v>
          </cell>
        </row>
        <row r="21">
          <cell r="J21">
            <v>879</v>
          </cell>
          <cell r="S21">
            <v>249</v>
          </cell>
        </row>
        <row r="22">
          <cell r="J22">
            <v>512</v>
          </cell>
          <cell r="S22">
            <v>554</v>
          </cell>
        </row>
        <row r="23">
          <cell r="J23">
            <v>15133</v>
          </cell>
          <cell r="S23">
            <v>10201</v>
          </cell>
        </row>
        <row r="24">
          <cell r="J24">
            <v>1013</v>
          </cell>
          <cell r="S24">
            <v>338</v>
          </cell>
        </row>
        <row r="25">
          <cell r="J25">
            <v>0</v>
          </cell>
          <cell r="S25">
            <v>0</v>
          </cell>
        </row>
        <row r="26">
          <cell r="J26">
            <v>2475</v>
          </cell>
          <cell r="S26">
            <v>681</v>
          </cell>
        </row>
        <row r="27">
          <cell r="J27">
            <v>3960</v>
          </cell>
          <cell r="S27">
            <v>967</v>
          </cell>
        </row>
        <row r="28">
          <cell r="J28">
            <v>586</v>
          </cell>
          <cell r="S28">
            <v>102</v>
          </cell>
        </row>
        <row r="29">
          <cell r="J29">
            <v>885</v>
          </cell>
          <cell r="S29">
            <v>322</v>
          </cell>
        </row>
        <row r="30">
          <cell r="J30">
            <v>511</v>
          </cell>
          <cell r="S30">
            <v>508</v>
          </cell>
        </row>
        <row r="31">
          <cell r="J31">
            <v>725</v>
          </cell>
          <cell r="S31">
            <v>353</v>
          </cell>
        </row>
        <row r="32">
          <cell r="J32">
            <v>5357</v>
          </cell>
          <cell r="S32">
            <v>3129</v>
          </cell>
        </row>
        <row r="33">
          <cell r="J33">
            <v>432</v>
          </cell>
          <cell r="S33">
            <v>137</v>
          </cell>
        </row>
        <row r="34">
          <cell r="J34">
            <v>2546</v>
          </cell>
          <cell r="S34">
            <v>1517</v>
          </cell>
        </row>
        <row r="35">
          <cell r="J35">
            <v>1852</v>
          </cell>
          <cell r="S35">
            <v>826</v>
          </cell>
        </row>
        <row r="36">
          <cell r="J36">
            <v>0</v>
          </cell>
          <cell r="S36">
            <v>0</v>
          </cell>
        </row>
        <row r="37">
          <cell r="J37">
            <v>1289</v>
          </cell>
          <cell r="S37">
            <v>695</v>
          </cell>
        </row>
        <row r="38">
          <cell r="J38">
            <v>637</v>
          </cell>
          <cell r="S38">
            <v>170</v>
          </cell>
        </row>
        <row r="39">
          <cell r="J39">
            <v>1719</v>
          </cell>
          <cell r="S39">
            <v>640</v>
          </cell>
        </row>
        <row r="40">
          <cell r="J40">
            <v>1415</v>
          </cell>
          <cell r="S40">
            <v>413</v>
          </cell>
        </row>
        <row r="41">
          <cell r="J41">
            <v>365</v>
          </cell>
          <cell r="S41">
            <v>155</v>
          </cell>
        </row>
        <row r="42">
          <cell r="J42">
            <v>18959</v>
          </cell>
          <cell r="S42">
            <v>12579</v>
          </cell>
        </row>
        <row r="43">
          <cell r="J43">
            <v>6926</v>
          </cell>
          <cell r="S43">
            <v>2174</v>
          </cell>
        </row>
        <row r="44">
          <cell r="J44">
            <v>0</v>
          </cell>
          <cell r="S44">
            <v>0</v>
          </cell>
        </row>
        <row r="45">
          <cell r="J45">
            <v>1806</v>
          </cell>
          <cell r="S45">
            <v>1611</v>
          </cell>
        </row>
        <row r="46">
          <cell r="J46">
            <v>3394</v>
          </cell>
          <cell r="S46">
            <v>1206</v>
          </cell>
        </row>
        <row r="47">
          <cell r="J47">
            <v>390</v>
          </cell>
          <cell r="S47">
            <v>360</v>
          </cell>
        </row>
        <row r="48">
          <cell r="J48">
            <v>2547</v>
          </cell>
          <cell r="S48">
            <v>1224</v>
          </cell>
        </row>
        <row r="49">
          <cell r="J49">
            <v>0</v>
          </cell>
          <cell r="S49">
            <v>0</v>
          </cell>
        </row>
        <row r="50">
          <cell r="J50">
            <v>862</v>
          </cell>
          <cell r="S50">
            <v>312</v>
          </cell>
        </row>
        <row r="51">
          <cell r="J51">
            <v>10</v>
          </cell>
          <cell r="S51">
            <v>9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990</v>
          </cell>
          <cell r="S55">
            <v>298</v>
          </cell>
        </row>
        <row r="56">
          <cell r="J56">
            <v>0</v>
          </cell>
          <cell r="S56">
            <v>0</v>
          </cell>
        </row>
        <row r="57">
          <cell r="J57">
            <v>0</v>
          </cell>
          <cell r="S57">
            <v>0</v>
          </cell>
        </row>
        <row r="58">
          <cell r="J58">
            <v>2046</v>
          </cell>
          <cell r="S58">
            <v>854</v>
          </cell>
        </row>
        <row r="59">
          <cell r="J59">
            <v>823</v>
          </cell>
          <cell r="S59">
            <v>233</v>
          </cell>
        </row>
        <row r="60">
          <cell r="J60">
            <v>0</v>
          </cell>
          <cell r="S60">
            <v>0</v>
          </cell>
        </row>
        <row r="61">
          <cell r="J61">
            <v>3571</v>
          </cell>
          <cell r="S61">
            <v>1517</v>
          </cell>
        </row>
        <row r="62">
          <cell r="J62">
            <v>0</v>
          </cell>
          <cell r="S62">
            <v>0</v>
          </cell>
        </row>
        <row r="63">
          <cell r="J63">
            <v>0</v>
          </cell>
          <cell r="S63">
            <v>0</v>
          </cell>
        </row>
        <row r="64">
          <cell r="J64">
            <v>2157</v>
          </cell>
          <cell r="S64">
            <v>503</v>
          </cell>
        </row>
        <row r="65">
          <cell r="J65">
            <v>1384</v>
          </cell>
          <cell r="S65">
            <v>197</v>
          </cell>
        </row>
        <row r="66">
          <cell r="J66">
            <v>768</v>
          </cell>
          <cell r="S66">
            <v>283</v>
          </cell>
        </row>
        <row r="67">
          <cell r="J67">
            <v>330</v>
          </cell>
          <cell r="S67">
            <v>278</v>
          </cell>
        </row>
        <row r="68">
          <cell r="J68">
            <v>1072</v>
          </cell>
          <cell r="S68">
            <v>230</v>
          </cell>
        </row>
        <row r="69">
          <cell r="J69">
            <v>0</v>
          </cell>
          <cell r="S69">
            <v>0</v>
          </cell>
        </row>
        <row r="70">
          <cell r="J70">
            <v>904</v>
          </cell>
          <cell r="S70">
            <v>267</v>
          </cell>
        </row>
        <row r="71">
          <cell r="J71">
            <v>3173</v>
          </cell>
          <cell r="S71">
            <v>1449</v>
          </cell>
        </row>
        <row r="72">
          <cell r="J72">
            <v>0</v>
          </cell>
          <cell r="S72">
            <v>0</v>
          </cell>
        </row>
        <row r="73">
          <cell r="J73">
            <v>1054</v>
          </cell>
          <cell r="S73">
            <v>384</v>
          </cell>
        </row>
        <row r="74">
          <cell r="J74">
            <v>758</v>
          </cell>
          <cell r="S74">
            <v>206</v>
          </cell>
        </row>
        <row r="75">
          <cell r="J75">
            <v>0</v>
          </cell>
          <cell r="S75">
            <v>0</v>
          </cell>
        </row>
        <row r="77">
          <cell r="J77">
            <v>5014</v>
          </cell>
        </row>
        <row r="79">
          <cell r="J79">
            <v>0</v>
          </cell>
        </row>
        <row r="83">
          <cell r="J83">
            <v>915</v>
          </cell>
        </row>
      </sheetData>
      <sheetData sheetId="22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746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38304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87569</v>
          </cell>
        </row>
        <row r="43">
          <cell r="Q43">
            <v>0</v>
          </cell>
        </row>
        <row r="44">
          <cell r="Q44">
            <v>2395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3852</v>
          </cell>
        </row>
        <row r="51">
          <cell r="Q51">
            <v>4997</v>
          </cell>
        </row>
        <row r="52">
          <cell r="Q52">
            <v>0</v>
          </cell>
        </row>
        <row r="53">
          <cell r="Q53">
            <v>1593</v>
          </cell>
        </row>
        <row r="54">
          <cell r="Q54">
            <v>1616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35416</v>
          </cell>
        </row>
        <row r="59">
          <cell r="Q59">
            <v>5755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6093</v>
          </cell>
        </row>
        <row r="79">
          <cell r="Q79">
            <v>0</v>
          </cell>
        </row>
        <row r="83">
          <cell r="Q83">
            <v>1160</v>
          </cell>
        </row>
      </sheetData>
      <sheetData sheetId="23">
        <row r="7">
          <cell r="Q7">
            <v>4880</v>
          </cell>
        </row>
        <row r="8">
          <cell r="Q8">
            <v>3442</v>
          </cell>
        </row>
        <row r="9">
          <cell r="Q9">
            <v>7778</v>
          </cell>
        </row>
        <row r="10">
          <cell r="Q10">
            <v>1713</v>
          </cell>
        </row>
        <row r="11">
          <cell r="Q11">
            <v>1408</v>
          </cell>
        </row>
        <row r="12">
          <cell r="Q12">
            <v>2416</v>
          </cell>
        </row>
        <row r="13">
          <cell r="Q13">
            <v>782</v>
          </cell>
        </row>
        <row r="14">
          <cell r="Q14">
            <v>7011</v>
          </cell>
        </row>
        <row r="15">
          <cell r="Q15">
            <v>9161</v>
          </cell>
        </row>
        <row r="16">
          <cell r="Q16">
            <v>16795</v>
          </cell>
        </row>
        <row r="17">
          <cell r="Q17">
            <v>944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1772</v>
          </cell>
        </row>
        <row r="21">
          <cell r="Q21">
            <v>0</v>
          </cell>
        </row>
        <row r="22">
          <cell r="Q22">
            <v>2135</v>
          </cell>
        </row>
        <row r="23">
          <cell r="Q23">
            <v>17904</v>
          </cell>
        </row>
        <row r="24">
          <cell r="Q24">
            <v>0</v>
          </cell>
        </row>
        <row r="25">
          <cell r="Q25">
            <v>796</v>
          </cell>
        </row>
        <row r="26">
          <cell r="Q26">
            <v>749</v>
          </cell>
        </row>
        <row r="27">
          <cell r="Q27">
            <v>1604</v>
          </cell>
        </row>
        <row r="28">
          <cell r="Q28">
            <v>789</v>
          </cell>
        </row>
        <row r="29">
          <cell r="Q29">
            <v>7196</v>
          </cell>
        </row>
        <row r="30">
          <cell r="Q30">
            <v>1526</v>
          </cell>
        </row>
        <row r="31">
          <cell r="Q31">
            <v>2432</v>
          </cell>
        </row>
        <row r="32">
          <cell r="Q32">
            <v>3909</v>
          </cell>
        </row>
        <row r="33">
          <cell r="Q33">
            <v>2485</v>
          </cell>
        </row>
        <row r="34">
          <cell r="Q34">
            <v>9258</v>
          </cell>
        </row>
        <row r="35">
          <cell r="Q35">
            <v>8857</v>
          </cell>
        </row>
        <row r="36">
          <cell r="Q36">
            <v>0</v>
          </cell>
        </row>
        <row r="37">
          <cell r="Q37">
            <v>1571</v>
          </cell>
        </row>
        <row r="38">
          <cell r="Q38">
            <v>17513</v>
          </cell>
        </row>
        <row r="39">
          <cell r="Q39">
            <v>863</v>
          </cell>
        </row>
        <row r="40">
          <cell r="Q40">
            <v>0</v>
          </cell>
        </row>
        <row r="41">
          <cell r="Q41">
            <v>21085</v>
          </cell>
        </row>
        <row r="42">
          <cell r="Q42">
            <v>2284</v>
          </cell>
        </row>
        <row r="43">
          <cell r="Q43">
            <v>3201</v>
          </cell>
        </row>
        <row r="44">
          <cell r="Q44">
            <v>798</v>
          </cell>
        </row>
        <row r="45">
          <cell r="Q45">
            <v>3957</v>
          </cell>
        </row>
        <row r="46">
          <cell r="Q46">
            <v>7129</v>
          </cell>
        </row>
        <row r="47">
          <cell r="Q47">
            <v>0</v>
          </cell>
        </row>
        <row r="48">
          <cell r="Q48">
            <v>1636</v>
          </cell>
        </row>
        <row r="49">
          <cell r="Q49">
            <v>7638</v>
          </cell>
        </row>
        <row r="50">
          <cell r="Q50">
            <v>770</v>
          </cell>
        </row>
        <row r="51">
          <cell r="Q51">
            <v>2141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808</v>
          </cell>
        </row>
        <row r="55">
          <cell r="Q55">
            <v>4358</v>
          </cell>
        </row>
        <row r="56">
          <cell r="Q56">
            <v>3870</v>
          </cell>
        </row>
        <row r="57">
          <cell r="Q57">
            <v>1641</v>
          </cell>
        </row>
        <row r="58">
          <cell r="Q58">
            <v>26562</v>
          </cell>
        </row>
        <row r="59">
          <cell r="Q59">
            <v>7913</v>
          </cell>
        </row>
        <row r="60">
          <cell r="Q60">
            <v>0</v>
          </cell>
        </row>
        <row r="61">
          <cell r="Q61">
            <v>6189</v>
          </cell>
        </row>
        <row r="62">
          <cell r="Q62">
            <v>0</v>
          </cell>
        </row>
        <row r="63">
          <cell r="Q63">
            <v>2174</v>
          </cell>
        </row>
        <row r="64">
          <cell r="Q64">
            <v>8382</v>
          </cell>
        </row>
        <row r="65">
          <cell r="Q65">
            <v>0</v>
          </cell>
        </row>
        <row r="66">
          <cell r="Q66">
            <v>1631</v>
          </cell>
        </row>
        <row r="67">
          <cell r="Q67">
            <v>1534</v>
          </cell>
        </row>
        <row r="68">
          <cell r="Q68">
            <v>0</v>
          </cell>
        </row>
        <row r="69">
          <cell r="Q69">
            <v>1626</v>
          </cell>
        </row>
        <row r="70">
          <cell r="Q70">
            <v>0</v>
          </cell>
        </row>
        <row r="71">
          <cell r="Q71">
            <v>3324</v>
          </cell>
        </row>
        <row r="72">
          <cell r="Q72">
            <v>0</v>
          </cell>
        </row>
        <row r="73">
          <cell r="Q73">
            <v>6250</v>
          </cell>
        </row>
        <row r="74">
          <cell r="Q74">
            <v>0</v>
          </cell>
        </row>
        <row r="75">
          <cell r="Q75">
            <v>807</v>
          </cell>
        </row>
        <row r="77">
          <cell r="Q77">
            <v>5229</v>
          </cell>
        </row>
        <row r="79">
          <cell r="Q79">
            <v>0</v>
          </cell>
        </row>
        <row r="83">
          <cell r="Q83">
            <v>1696</v>
          </cell>
        </row>
      </sheetData>
      <sheetData sheetId="24">
        <row r="7">
          <cell r="Q7">
            <v>0</v>
          </cell>
        </row>
        <row r="8">
          <cell r="Q8">
            <v>0</v>
          </cell>
        </row>
        <row r="9">
          <cell r="Q9">
            <v>5657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107411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763</v>
          </cell>
        </row>
        <row r="31">
          <cell r="Q31">
            <v>0</v>
          </cell>
        </row>
        <row r="32">
          <cell r="Q32">
            <v>3127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761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762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1583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1616</v>
          </cell>
        </row>
        <row r="55">
          <cell r="Q55">
            <v>0</v>
          </cell>
        </row>
        <row r="56">
          <cell r="Q56">
            <v>774</v>
          </cell>
        </row>
        <row r="57">
          <cell r="Q57">
            <v>0</v>
          </cell>
        </row>
        <row r="58">
          <cell r="Q58">
            <v>805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2300</v>
          </cell>
        </row>
        <row r="68">
          <cell r="Q68">
            <v>0</v>
          </cell>
        </row>
        <row r="69">
          <cell r="Q69">
            <v>3251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2344</v>
          </cell>
        </row>
        <row r="74">
          <cell r="Q74">
            <v>1738</v>
          </cell>
        </row>
        <row r="75">
          <cell r="Q75">
            <v>807</v>
          </cell>
        </row>
        <row r="77">
          <cell r="Q77">
            <v>3216</v>
          </cell>
        </row>
        <row r="79">
          <cell r="Q79">
            <v>0</v>
          </cell>
        </row>
        <row r="83">
          <cell r="Q83">
            <v>777</v>
          </cell>
        </row>
      </sheetData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108379</v>
          </cell>
          <cell r="AU11">
            <v>168355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99866</v>
          </cell>
          <cell r="AU15">
            <v>160076</v>
          </cell>
        </row>
      </sheetData>
      <sheetData sheetId="26"/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447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839</v>
          </cell>
        </row>
      </sheetData>
      <sheetData sheetId="45">
        <row r="7">
          <cell r="AC7">
            <v>11275</v>
          </cell>
        </row>
      </sheetData>
      <sheetData sheetId="46">
        <row r="7">
          <cell r="AC7">
            <v>4240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1651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16008</v>
          </cell>
        </row>
      </sheetData>
      <sheetData sheetId="59">
        <row r="7">
          <cell r="AD7">
            <v>13788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7">
          <cell r="H7">
            <v>3032.9955832683813</v>
          </cell>
        </row>
      </sheetData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/>
      <sheetData sheetId="1"/>
      <sheetData sheetId="2"/>
      <sheetData sheetId="3"/>
      <sheetData sheetId="4"/>
      <sheetData sheetId="5">
        <row r="7">
          <cell r="AZ7">
            <v>4620687</v>
          </cell>
        </row>
        <row r="8">
          <cell r="AZ8">
            <v>2553071</v>
          </cell>
        </row>
        <row r="9">
          <cell r="AZ9">
            <v>9160852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11296339</v>
          </cell>
        </row>
        <row r="15">
          <cell r="AZ15">
            <v>17790218</v>
          </cell>
        </row>
        <row r="16">
          <cell r="AZ16">
            <v>11088638</v>
          </cell>
        </row>
        <row r="17">
          <cell r="AZ17">
            <v>1043308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1918307</v>
          </cell>
        </row>
        <row r="22">
          <cell r="AZ22">
            <v>1218232</v>
          </cell>
        </row>
        <row r="23">
          <cell r="AZ23">
            <v>14489551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3007104</v>
          </cell>
        </row>
        <row r="27">
          <cell r="AZ27">
            <v>1756362</v>
          </cell>
        </row>
        <row r="28">
          <cell r="AZ28">
            <v>1850251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1046285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11371564</v>
          </cell>
        </row>
        <row r="35">
          <cell r="AZ35">
            <v>6157496</v>
          </cell>
        </row>
        <row r="36">
          <cell r="AZ36">
            <v>1446702</v>
          </cell>
        </row>
        <row r="37">
          <cell r="AZ37">
            <v>2541311</v>
          </cell>
        </row>
        <row r="38">
          <cell r="AZ38">
            <v>13892183</v>
          </cell>
        </row>
        <row r="39">
          <cell r="AZ39">
            <v>666934</v>
          </cell>
        </row>
        <row r="40">
          <cell r="AZ40">
            <v>2215070</v>
          </cell>
        </row>
        <row r="41">
          <cell r="AZ41">
            <v>2763032</v>
          </cell>
        </row>
        <row r="42">
          <cell r="AZ42">
            <v>16909296</v>
          </cell>
        </row>
        <row r="43">
          <cell r="AZ43">
            <v>10340098</v>
          </cell>
        </row>
        <row r="44">
          <cell r="AZ44">
            <v>957045</v>
          </cell>
        </row>
        <row r="45">
          <cell r="AZ45">
            <v>845401</v>
          </cell>
        </row>
        <row r="46">
          <cell r="AZ46">
            <v>11481458</v>
          </cell>
        </row>
        <row r="47">
          <cell r="AZ47">
            <v>457983</v>
          </cell>
        </row>
        <row r="48">
          <cell r="AZ48">
            <v>1301225</v>
          </cell>
        </row>
        <row r="49">
          <cell r="AZ49">
            <v>2338712</v>
          </cell>
        </row>
        <row r="50">
          <cell r="AZ50">
            <v>3713005</v>
          </cell>
        </row>
        <row r="51">
          <cell r="AZ51">
            <v>2630338</v>
          </cell>
        </row>
        <row r="52">
          <cell r="AZ52">
            <v>801460</v>
          </cell>
        </row>
        <row r="53">
          <cell r="AZ53">
            <v>1047719</v>
          </cell>
        </row>
        <row r="54">
          <cell r="AZ54">
            <v>2619853</v>
          </cell>
        </row>
        <row r="55">
          <cell r="AZ55">
            <v>6544559</v>
          </cell>
        </row>
        <row r="56">
          <cell r="AZ56">
            <v>3703595</v>
          </cell>
        </row>
        <row r="57">
          <cell r="AZ57">
            <v>4214282</v>
          </cell>
        </row>
        <row r="58">
          <cell r="AZ58">
            <v>18739273</v>
          </cell>
        </row>
        <row r="59">
          <cell r="AZ59">
            <v>9859077</v>
          </cell>
        </row>
        <row r="60">
          <cell r="AZ60">
            <v>247390</v>
          </cell>
        </row>
        <row r="61">
          <cell r="AZ61">
            <v>7885969</v>
          </cell>
        </row>
        <row r="62">
          <cell r="AZ62">
            <v>1156742</v>
          </cell>
        </row>
        <row r="63">
          <cell r="AZ63">
            <v>4752938</v>
          </cell>
        </row>
        <row r="64">
          <cell r="AZ64">
            <v>4623745</v>
          </cell>
        </row>
        <row r="65">
          <cell r="AZ65">
            <v>3123761</v>
          </cell>
        </row>
        <row r="66">
          <cell r="AZ66">
            <v>3152913</v>
          </cell>
        </row>
        <row r="67">
          <cell r="AZ67">
            <v>1174530</v>
          </cell>
        </row>
        <row r="68">
          <cell r="AZ68">
            <v>1135619</v>
          </cell>
        </row>
        <row r="69">
          <cell r="AZ69">
            <v>856557</v>
          </cell>
        </row>
        <row r="70">
          <cell r="AZ70">
            <v>1272783</v>
          </cell>
        </row>
        <row r="71">
          <cell r="AZ71">
            <v>3958759</v>
          </cell>
        </row>
        <row r="72">
          <cell r="AZ72">
            <v>1210173</v>
          </cell>
        </row>
        <row r="73">
          <cell r="AZ73">
            <v>2736782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/>
      <sheetData sheetId="7">
        <row r="7">
          <cell r="AM7">
            <v>-21046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Z7">
            <v>452335</v>
          </cell>
          <cell r="AU7">
            <v>363920</v>
          </cell>
        </row>
        <row r="8">
          <cell r="Z8">
            <v>140255</v>
          </cell>
          <cell r="AU8">
            <v>213776</v>
          </cell>
        </row>
        <row r="11">
          <cell r="Z11">
            <v>108380</v>
          </cell>
          <cell r="AU11">
            <v>168356</v>
          </cell>
        </row>
        <row r="12">
          <cell r="Z12">
            <v>91998</v>
          </cell>
          <cell r="AU12">
            <v>142678</v>
          </cell>
        </row>
        <row r="13">
          <cell r="Z13">
            <v>184835</v>
          </cell>
          <cell r="AU13">
            <v>287857</v>
          </cell>
        </row>
        <row r="14">
          <cell r="Z14">
            <v>137109</v>
          </cell>
          <cell r="AU14">
            <v>210306</v>
          </cell>
        </row>
        <row r="15">
          <cell r="Z15">
            <v>98363</v>
          </cell>
          <cell r="AU15">
            <v>152789</v>
          </cell>
        </row>
      </sheetData>
      <sheetData sheetId="26"/>
      <sheetData sheetId="27"/>
      <sheetData sheetId="28"/>
      <sheetData sheetId="29"/>
      <sheetData sheetId="30">
        <row r="7">
          <cell r="R7">
            <v>0</v>
          </cell>
        </row>
      </sheetData>
      <sheetData sheetId="31"/>
      <sheetData sheetId="32"/>
      <sheetData sheetId="33"/>
      <sheetData sheetId="34"/>
      <sheetData sheetId="35">
        <row r="7">
          <cell r="R7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7">
          <cell r="R7">
            <v>0</v>
          </cell>
        </row>
      </sheetData>
      <sheetData sheetId="51"/>
      <sheetData sheetId="52"/>
      <sheetData sheetId="53">
        <row r="7">
          <cell r="R7">
            <v>0</v>
          </cell>
        </row>
      </sheetData>
      <sheetData sheetId="54">
        <row r="7">
          <cell r="R7">
            <v>0</v>
          </cell>
        </row>
      </sheetData>
      <sheetData sheetId="55"/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/>
      <sheetData sheetId="59"/>
      <sheetData sheetId="60"/>
      <sheetData sheetId="61"/>
      <sheetData sheetId="62">
        <row r="9">
          <cell r="M9">
            <v>12</v>
          </cell>
        </row>
      </sheetData>
      <sheetData sheetId="63"/>
      <sheetData sheetId="64">
        <row r="7">
          <cell r="H7">
            <v>4713.8755197359797</v>
          </cell>
        </row>
      </sheetData>
      <sheetData sheetId="65"/>
      <sheetData sheetId="66"/>
      <sheetData sheetId="67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 refreshError="1"/>
      <sheetData sheetId="1" refreshError="1"/>
      <sheetData sheetId="2">
        <row r="7">
          <cell r="AG7">
            <v>4621387</v>
          </cell>
        </row>
      </sheetData>
      <sheetData sheetId="3" refreshError="1"/>
      <sheetData sheetId="4" refreshError="1"/>
      <sheetData sheetId="5">
        <row r="7">
          <cell r="AZ7">
            <v>4621387</v>
          </cell>
        </row>
        <row r="8">
          <cell r="AZ8">
            <v>2553070</v>
          </cell>
        </row>
        <row r="9">
          <cell r="AZ9">
            <v>9161691</v>
          </cell>
        </row>
        <row r="10">
          <cell r="AZ10">
            <v>1815009</v>
          </cell>
        </row>
        <row r="11">
          <cell r="AZ11">
            <v>2656515</v>
          </cell>
        </row>
        <row r="12">
          <cell r="AZ12">
            <v>3125613</v>
          </cell>
        </row>
        <row r="13">
          <cell r="AZ13">
            <v>688976</v>
          </cell>
        </row>
        <row r="14">
          <cell r="AZ14">
            <v>11298859</v>
          </cell>
        </row>
        <row r="15">
          <cell r="AZ15">
            <v>17791898</v>
          </cell>
        </row>
        <row r="16">
          <cell r="AZ16">
            <v>11088638</v>
          </cell>
        </row>
        <row r="17">
          <cell r="AZ17">
            <v>1043728</v>
          </cell>
        </row>
        <row r="18">
          <cell r="AZ18">
            <v>331487</v>
          </cell>
        </row>
        <row r="19">
          <cell r="AZ19">
            <v>747497</v>
          </cell>
        </row>
        <row r="20">
          <cell r="AZ20">
            <v>1007069</v>
          </cell>
        </row>
        <row r="21">
          <cell r="AZ21">
            <v>1918447</v>
          </cell>
        </row>
        <row r="22">
          <cell r="AZ22">
            <v>1218652</v>
          </cell>
        </row>
        <row r="23">
          <cell r="AZ23">
            <v>14490250</v>
          </cell>
        </row>
        <row r="24">
          <cell r="AZ24">
            <v>552031</v>
          </cell>
        </row>
        <row r="25">
          <cell r="AZ25">
            <v>912306</v>
          </cell>
        </row>
        <row r="26">
          <cell r="AZ26">
            <v>3007944</v>
          </cell>
        </row>
        <row r="27">
          <cell r="AZ27">
            <v>1756362</v>
          </cell>
        </row>
        <row r="28">
          <cell r="AZ28">
            <v>1850951</v>
          </cell>
        </row>
        <row r="29">
          <cell r="AZ29">
            <v>6372245</v>
          </cell>
        </row>
        <row r="30">
          <cell r="AZ30">
            <v>1274148</v>
          </cell>
        </row>
        <row r="31">
          <cell r="AZ31">
            <v>1047264</v>
          </cell>
        </row>
        <row r="32">
          <cell r="AZ32">
            <v>19684654</v>
          </cell>
        </row>
        <row r="33">
          <cell r="AZ33">
            <v>3141054</v>
          </cell>
        </row>
        <row r="34">
          <cell r="AZ34">
            <v>11381504</v>
          </cell>
        </row>
        <row r="35">
          <cell r="AZ35">
            <v>6157495</v>
          </cell>
        </row>
        <row r="36">
          <cell r="AZ36">
            <v>1446842</v>
          </cell>
        </row>
        <row r="37">
          <cell r="AZ37">
            <v>2544111</v>
          </cell>
        </row>
        <row r="38">
          <cell r="AZ38">
            <v>13894143</v>
          </cell>
        </row>
        <row r="39">
          <cell r="AZ39">
            <v>666934</v>
          </cell>
        </row>
        <row r="40">
          <cell r="AZ40">
            <v>2215069</v>
          </cell>
        </row>
        <row r="41">
          <cell r="AZ41">
            <v>2765831</v>
          </cell>
        </row>
        <row r="42">
          <cell r="AZ42">
            <v>16909716</v>
          </cell>
        </row>
        <row r="43">
          <cell r="AZ43">
            <v>10344158</v>
          </cell>
        </row>
        <row r="44">
          <cell r="AZ44">
            <v>957325</v>
          </cell>
        </row>
        <row r="45">
          <cell r="AZ45">
            <v>845401</v>
          </cell>
        </row>
        <row r="46">
          <cell r="AZ46">
            <v>11483418</v>
          </cell>
        </row>
        <row r="47">
          <cell r="AZ47">
            <v>457983</v>
          </cell>
        </row>
        <row r="48">
          <cell r="AZ48">
            <v>1302485</v>
          </cell>
        </row>
        <row r="49">
          <cell r="AZ49">
            <v>2339832</v>
          </cell>
        </row>
        <row r="50">
          <cell r="AZ50">
            <v>3713285</v>
          </cell>
        </row>
        <row r="51">
          <cell r="AZ51">
            <v>2631038</v>
          </cell>
        </row>
        <row r="52">
          <cell r="AZ52">
            <v>801460</v>
          </cell>
        </row>
        <row r="53">
          <cell r="AZ53">
            <v>1047718</v>
          </cell>
        </row>
        <row r="54">
          <cell r="AZ54">
            <v>2619853</v>
          </cell>
        </row>
        <row r="55">
          <cell r="AZ55">
            <v>6546379</v>
          </cell>
        </row>
        <row r="56">
          <cell r="AZ56">
            <v>3704155</v>
          </cell>
        </row>
        <row r="57">
          <cell r="AZ57">
            <v>4214282</v>
          </cell>
        </row>
        <row r="58">
          <cell r="AZ58">
            <v>18741653</v>
          </cell>
        </row>
        <row r="59">
          <cell r="AZ59">
            <v>9860617</v>
          </cell>
        </row>
        <row r="60">
          <cell r="AZ60">
            <v>247390</v>
          </cell>
        </row>
        <row r="61">
          <cell r="AZ61">
            <v>7885968</v>
          </cell>
        </row>
        <row r="62">
          <cell r="AZ62">
            <v>1156742</v>
          </cell>
        </row>
        <row r="63">
          <cell r="AZ63">
            <v>4754478</v>
          </cell>
        </row>
        <row r="64">
          <cell r="AZ64">
            <v>4623884</v>
          </cell>
        </row>
        <row r="65">
          <cell r="AZ65">
            <v>3124040</v>
          </cell>
        </row>
        <row r="66">
          <cell r="AZ66">
            <v>3153753</v>
          </cell>
        </row>
        <row r="67">
          <cell r="AZ67">
            <v>1174530</v>
          </cell>
        </row>
        <row r="68">
          <cell r="AZ68">
            <v>1135898</v>
          </cell>
        </row>
        <row r="69">
          <cell r="AZ69">
            <v>856557</v>
          </cell>
        </row>
        <row r="70">
          <cell r="AZ70">
            <v>1272783</v>
          </cell>
        </row>
        <row r="71">
          <cell r="AZ71">
            <v>3962539</v>
          </cell>
        </row>
        <row r="72">
          <cell r="AZ72">
            <v>1210172</v>
          </cell>
        </row>
        <row r="73">
          <cell r="AZ73">
            <v>2736781</v>
          </cell>
        </row>
        <row r="74">
          <cell r="AZ74">
            <v>824733</v>
          </cell>
        </row>
        <row r="75">
          <cell r="AZ75">
            <v>2656144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7">
          <cell r="AC7">
            <v>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 Type 2 Res Summary"/>
      <sheetName val="New Type 2 Res Summary"/>
      <sheetName val="LEA Summary"/>
      <sheetName val="Compare Pmt"/>
      <sheetName val="Sheet1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3B_Pay Raise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  <sheetName val="6_Local Deduct Calc"/>
      <sheetName val="7_Local Revenue"/>
      <sheetName val="8_2.1.19 SIS"/>
      <sheetName val="8A_2.1.19 RSD Op &amp; 5s"/>
      <sheetName val="Source Data"/>
      <sheetName val="LEA Pay Raise"/>
      <sheetName val="Per Pupil_Weighted Funding"/>
      <sheetName val="Pay Raise By Residency"/>
      <sheetName val=" 2A-2_EFT (Monthly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7">
          <cell r="A7">
            <v>1</v>
          </cell>
          <cell r="AZ7">
            <v>4607558</v>
          </cell>
        </row>
        <row r="8">
          <cell r="AZ8">
            <v>2546686</v>
          </cell>
        </row>
        <row r="9">
          <cell r="AZ9">
            <v>9167359</v>
          </cell>
        </row>
        <row r="10">
          <cell r="AZ10">
            <v>1812841</v>
          </cell>
        </row>
        <row r="11">
          <cell r="AZ11">
            <v>2659426</v>
          </cell>
        </row>
        <row r="12">
          <cell r="AZ12">
            <v>3128922</v>
          </cell>
        </row>
        <row r="13">
          <cell r="AZ13">
            <v>686669</v>
          </cell>
        </row>
        <row r="14">
          <cell r="AZ14">
            <v>11304053</v>
          </cell>
        </row>
        <row r="15">
          <cell r="AZ15">
            <v>17787048</v>
          </cell>
        </row>
        <row r="16">
          <cell r="AZ16">
            <v>11077104</v>
          </cell>
        </row>
        <row r="17">
          <cell r="AZ17">
            <v>1039744</v>
          </cell>
        </row>
        <row r="18">
          <cell r="AZ18">
            <v>328981</v>
          </cell>
        </row>
        <row r="19">
          <cell r="AZ19">
            <v>683742</v>
          </cell>
        </row>
        <row r="20">
          <cell r="AZ20">
            <v>1009472</v>
          </cell>
        </row>
        <row r="21">
          <cell r="AZ21">
            <v>1918138</v>
          </cell>
        </row>
        <row r="22">
          <cell r="AZ22">
            <v>1217688</v>
          </cell>
        </row>
        <row r="23">
          <cell r="AZ23">
            <v>14446397</v>
          </cell>
        </row>
        <row r="24">
          <cell r="AZ24">
            <v>553614</v>
          </cell>
        </row>
        <row r="25">
          <cell r="AZ25">
            <v>837914</v>
          </cell>
        </row>
        <row r="26">
          <cell r="AZ26">
            <v>3007159</v>
          </cell>
        </row>
        <row r="27">
          <cell r="AZ27">
            <v>1752009</v>
          </cell>
        </row>
        <row r="28">
          <cell r="AZ28">
            <v>1850183</v>
          </cell>
        </row>
        <row r="29">
          <cell r="AZ29">
            <v>6361120</v>
          </cell>
        </row>
        <row r="30">
          <cell r="AZ30">
            <v>1154761</v>
          </cell>
        </row>
        <row r="31">
          <cell r="AZ31">
            <v>1046141</v>
          </cell>
        </row>
        <row r="32">
          <cell r="AZ32">
            <v>19678556</v>
          </cell>
        </row>
        <row r="33">
          <cell r="AZ33">
            <v>3135611</v>
          </cell>
        </row>
        <row r="34">
          <cell r="AZ34">
            <v>11372015</v>
          </cell>
        </row>
        <row r="35">
          <cell r="AZ35">
            <v>6148371</v>
          </cell>
        </row>
        <row r="36">
          <cell r="AZ36">
            <v>1444716</v>
          </cell>
        </row>
        <row r="37">
          <cell r="AZ37">
            <v>2537932</v>
          </cell>
        </row>
        <row r="38">
          <cell r="AZ38">
            <v>13899297</v>
          </cell>
        </row>
        <row r="39">
          <cell r="AZ39">
            <v>668361</v>
          </cell>
        </row>
        <row r="40">
          <cell r="AZ40">
            <v>2201298</v>
          </cell>
        </row>
        <row r="41">
          <cell r="AZ41">
            <v>2785045</v>
          </cell>
        </row>
        <row r="42">
          <cell r="AZ42">
            <v>16898486</v>
          </cell>
        </row>
        <row r="43">
          <cell r="AZ43">
            <v>10352070</v>
          </cell>
        </row>
        <row r="44">
          <cell r="AZ44">
            <v>952018</v>
          </cell>
        </row>
        <row r="45">
          <cell r="AZ45">
            <v>837477</v>
          </cell>
        </row>
        <row r="46">
          <cell r="AZ46">
            <v>11467452</v>
          </cell>
        </row>
        <row r="47">
          <cell r="AZ47">
            <v>413584</v>
          </cell>
        </row>
        <row r="48">
          <cell r="AZ48">
            <v>1300789</v>
          </cell>
        </row>
        <row r="49">
          <cell r="AZ49">
            <v>2334177</v>
          </cell>
        </row>
        <row r="50">
          <cell r="AZ50">
            <v>3708611</v>
          </cell>
        </row>
        <row r="51">
          <cell r="AZ51">
            <v>2625959</v>
          </cell>
        </row>
        <row r="52">
          <cell r="AZ52">
            <v>800497</v>
          </cell>
        </row>
        <row r="53">
          <cell r="AZ53">
            <v>1045744</v>
          </cell>
        </row>
        <row r="54">
          <cell r="AZ54">
            <v>2613445</v>
          </cell>
        </row>
        <row r="55">
          <cell r="AZ55">
            <v>6533679</v>
          </cell>
        </row>
        <row r="56">
          <cell r="AZ56">
            <v>3695000</v>
          </cell>
        </row>
        <row r="57">
          <cell r="AZ57">
            <v>4224849</v>
          </cell>
        </row>
        <row r="58">
          <cell r="AZ58">
            <v>18750947</v>
          </cell>
        </row>
        <row r="59">
          <cell r="AZ59">
            <v>9853192</v>
          </cell>
        </row>
        <row r="60">
          <cell r="AZ60">
            <v>200514</v>
          </cell>
        </row>
        <row r="61">
          <cell r="AZ61">
            <v>7874001</v>
          </cell>
        </row>
        <row r="62">
          <cell r="AZ62">
            <v>1148102</v>
          </cell>
        </row>
        <row r="63">
          <cell r="AZ63">
            <v>4744350</v>
          </cell>
        </row>
        <row r="64">
          <cell r="AZ64">
            <v>4611427</v>
          </cell>
        </row>
        <row r="65">
          <cell r="AZ65">
            <v>3119771</v>
          </cell>
        </row>
        <row r="66">
          <cell r="AZ66">
            <v>3150376</v>
          </cell>
        </row>
        <row r="67">
          <cell r="AZ67">
            <v>1168134</v>
          </cell>
        </row>
        <row r="68">
          <cell r="AZ68">
            <v>1050033</v>
          </cell>
        </row>
        <row r="69">
          <cell r="AZ69">
            <v>851200</v>
          </cell>
        </row>
        <row r="70">
          <cell r="AZ70">
            <v>1270880</v>
          </cell>
        </row>
        <row r="71">
          <cell r="AZ71">
            <v>3953740</v>
          </cell>
        </row>
        <row r="72">
          <cell r="AZ72">
            <v>1157152</v>
          </cell>
        </row>
        <row r="73">
          <cell r="AZ73">
            <v>2734206</v>
          </cell>
        </row>
        <row r="74">
          <cell r="AZ74">
            <v>823682</v>
          </cell>
        </row>
        <row r="75">
          <cell r="AZ75">
            <v>2653913</v>
          </cell>
        </row>
      </sheetData>
      <sheetData sheetId="7" refreshError="1"/>
      <sheetData sheetId="8" refreshError="1"/>
      <sheetData sheetId="9" refreshError="1"/>
      <sheetData sheetId="10">
        <row r="42">
          <cell r="C42">
            <v>732.46</v>
          </cell>
        </row>
      </sheetData>
      <sheetData sheetId="11" refreshError="1"/>
      <sheetData sheetId="12" refreshError="1"/>
      <sheetData sheetId="13">
        <row r="7">
          <cell r="U7">
            <v>641256</v>
          </cell>
        </row>
        <row r="8">
          <cell r="U8">
            <v>250908</v>
          </cell>
        </row>
      </sheetData>
      <sheetData sheetId="14">
        <row r="7">
          <cell r="A7">
            <v>321001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AE7">
            <v>0</v>
          </cell>
        </row>
      </sheetData>
      <sheetData sheetId="19">
        <row r="7">
          <cell r="AE7">
            <v>0</v>
          </cell>
        </row>
      </sheetData>
      <sheetData sheetId="20">
        <row r="7">
          <cell r="AE7">
            <v>0</v>
          </cell>
        </row>
      </sheetData>
      <sheetData sheetId="21">
        <row r="7">
          <cell r="AE7">
            <v>0</v>
          </cell>
        </row>
      </sheetData>
      <sheetData sheetId="22">
        <row r="7">
          <cell r="J7">
            <v>1028</v>
          </cell>
          <cell r="S7">
            <v>293</v>
          </cell>
        </row>
        <row r="8">
          <cell r="J8">
            <v>0</v>
          </cell>
          <cell r="S8">
            <v>0</v>
          </cell>
        </row>
        <row r="9">
          <cell r="J9">
            <v>975</v>
          </cell>
          <cell r="S9">
            <v>464</v>
          </cell>
        </row>
        <row r="10">
          <cell r="J10">
            <v>0</v>
          </cell>
          <cell r="S10">
            <v>0</v>
          </cell>
        </row>
        <row r="11">
          <cell r="J11">
            <v>1337</v>
          </cell>
          <cell r="S11">
            <v>322</v>
          </cell>
        </row>
        <row r="12">
          <cell r="J12">
            <v>460</v>
          </cell>
          <cell r="S12">
            <v>156</v>
          </cell>
        </row>
        <row r="13">
          <cell r="J13">
            <v>543</v>
          </cell>
          <cell r="S13">
            <v>463</v>
          </cell>
        </row>
        <row r="14">
          <cell r="J14">
            <v>2130</v>
          </cell>
          <cell r="S14">
            <v>794</v>
          </cell>
        </row>
        <row r="15">
          <cell r="J15">
            <v>18469</v>
          </cell>
          <cell r="S15">
            <v>7635</v>
          </cell>
        </row>
        <row r="16">
          <cell r="J16">
            <v>7320</v>
          </cell>
          <cell r="S16">
            <v>5008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649</v>
          </cell>
          <cell r="S20">
            <v>206</v>
          </cell>
        </row>
        <row r="21">
          <cell r="J21">
            <v>878</v>
          </cell>
          <cell r="S21">
            <v>248</v>
          </cell>
        </row>
        <row r="22">
          <cell r="J22">
            <v>513</v>
          </cell>
          <cell r="S22">
            <v>553</v>
          </cell>
        </row>
        <row r="23">
          <cell r="J23">
            <v>15134</v>
          </cell>
          <cell r="S23">
            <v>10201</v>
          </cell>
        </row>
        <row r="24">
          <cell r="J24">
            <v>1013</v>
          </cell>
          <cell r="S24">
            <v>338</v>
          </cell>
        </row>
        <row r="25">
          <cell r="J25">
            <v>0</v>
          </cell>
          <cell r="S25">
            <v>0</v>
          </cell>
        </row>
        <row r="26">
          <cell r="J26">
            <v>2476</v>
          </cell>
          <cell r="S26">
            <v>682</v>
          </cell>
        </row>
        <row r="27">
          <cell r="J27">
            <v>3959</v>
          </cell>
          <cell r="S27">
            <v>968</v>
          </cell>
        </row>
        <row r="28">
          <cell r="J28">
            <v>586</v>
          </cell>
          <cell r="S28">
            <v>101</v>
          </cell>
        </row>
        <row r="29">
          <cell r="J29">
            <v>886</v>
          </cell>
          <cell r="S29">
            <v>323</v>
          </cell>
        </row>
        <row r="30">
          <cell r="J30">
            <v>511</v>
          </cell>
          <cell r="S30">
            <v>507</v>
          </cell>
        </row>
        <row r="31">
          <cell r="J31">
            <v>725</v>
          </cell>
          <cell r="S31">
            <v>353</v>
          </cell>
        </row>
        <row r="32">
          <cell r="J32">
            <v>5357</v>
          </cell>
          <cell r="S32">
            <v>3128</v>
          </cell>
        </row>
        <row r="33">
          <cell r="J33">
            <v>432</v>
          </cell>
          <cell r="S33">
            <v>138</v>
          </cell>
        </row>
        <row r="34">
          <cell r="J34">
            <v>2546</v>
          </cell>
          <cell r="S34">
            <v>1517</v>
          </cell>
        </row>
        <row r="35">
          <cell r="J35">
            <v>1853</v>
          </cell>
          <cell r="S35">
            <v>827</v>
          </cell>
        </row>
        <row r="36">
          <cell r="J36">
            <v>0</v>
          </cell>
          <cell r="S36">
            <v>0</v>
          </cell>
        </row>
        <row r="37">
          <cell r="J37">
            <v>1289</v>
          </cell>
          <cell r="S37">
            <v>696</v>
          </cell>
        </row>
        <row r="38">
          <cell r="J38">
            <v>638</v>
          </cell>
          <cell r="S38">
            <v>170</v>
          </cell>
        </row>
        <row r="39">
          <cell r="J39">
            <v>1719</v>
          </cell>
          <cell r="S39">
            <v>640</v>
          </cell>
        </row>
        <row r="40">
          <cell r="J40">
            <v>1415</v>
          </cell>
          <cell r="S40">
            <v>412</v>
          </cell>
        </row>
        <row r="41">
          <cell r="J41">
            <v>366</v>
          </cell>
          <cell r="S41">
            <v>155</v>
          </cell>
        </row>
        <row r="42">
          <cell r="J42">
            <v>18960</v>
          </cell>
          <cell r="S42">
            <v>12580</v>
          </cell>
        </row>
        <row r="43">
          <cell r="J43">
            <v>6925</v>
          </cell>
          <cell r="S43">
            <v>2173</v>
          </cell>
        </row>
        <row r="44">
          <cell r="J44">
            <v>0</v>
          </cell>
          <cell r="S44">
            <v>0</v>
          </cell>
        </row>
        <row r="45">
          <cell r="J45">
            <v>1807</v>
          </cell>
          <cell r="S45">
            <v>1611</v>
          </cell>
        </row>
        <row r="46">
          <cell r="J46">
            <v>3395</v>
          </cell>
          <cell r="S46">
            <v>1207</v>
          </cell>
        </row>
        <row r="47">
          <cell r="J47">
            <v>389</v>
          </cell>
          <cell r="S47">
            <v>360</v>
          </cell>
        </row>
        <row r="48">
          <cell r="J48">
            <v>2547</v>
          </cell>
          <cell r="S48">
            <v>1223</v>
          </cell>
        </row>
        <row r="49">
          <cell r="J49">
            <v>0</v>
          </cell>
          <cell r="S49">
            <v>0</v>
          </cell>
        </row>
        <row r="50">
          <cell r="J50">
            <v>861</v>
          </cell>
          <cell r="S50">
            <v>312</v>
          </cell>
        </row>
        <row r="51">
          <cell r="J51">
            <v>10</v>
          </cell>
          <cell r="S51">
            <v>10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990</v>
          </cell>
          <cell r="S55">
            <v>298</v>
          </cell>
        </row>
        <row r="56">
          <cell r="J56">
            <v>0</v>
          </cell>
          <cell r="S56">
            <v>0</v>
          </cell>
        </row>
        <row r="57">
          <cell r="J57">
            <v>0</v>
          </cell>
          <cell r="S57">
            <v>0</v>
          </cell>
        </row>
        <row r="58">
          <cell r="J58">
            <v>2047</v>
          </cell>
          <cell r="S58">
            <v>854</v>
          </cell>
        </row>
        <row r="59">
          <cell r="J59">
            <v>824</v>
          </cell>
          <cell r="S59">
            <v>234</v>
          </cell>
        </row>
        <row r="60">
          <cell r="J60">
            <v>0</v>
          </cell>
          <cell r="S60">
            <v>0</v>
          </cell>
        </row>
        <row r="61">
          <cell r="J61">
            <v>3570</v>
          </cell>
          <cell r="S61">
            <v>1517</v>
          </cell>
        </row>
        <row r="62">
          <cell r="J62">
            <v>0</v>
          </cell>
          <cell r="S62">
            <v>0</v>
          </cell>
        </row>
        <row r="63">
          <cell r="J63">
            <v>0</v>
          </cell>
          <cell r="S63">
            <v>0</v>
          </cell>
        </row>
        <row r="64">
          <cell r="J64">
            <v>2158</v>
          </cell>
          <cell r="S64">
            <v>503</v>
          </cell>
        </row>
        <row r="65">
          <cell r="J65">
            <v>1385</v>
          </cell>
          <cell r="S65">
            <v>197</v>
          </cell>
        </row>
        <row r="66">
          <cell r="J66">
            <v>768</v>
          </cell>
          <cell r="S66">
            <v>282</v>
          </cell>
        </row>
        <row r="67">
          <cell r="J67">
            <v>330</v>
          </cell>
          <cell r="S67">
            <v>278</v>
          </cell>
        </row>
        <row r="68">
          <cell r="J68">
            <v>1073</v>
          </cell>
          <cell r="S68">
            <v>231</v>
          </cell>
        </row>
        <row r="69">
          <cell r="J69">
            <v>0</v>
          </cell>
          <cell r="S69">
            <v>0</v>
          </cell>
        </row>
        <row r="70">
          <cell r="J70">
            <v>903</v>
          </cell>
          <cell r="S70">
            <v>266</v>
          </cell>
        </row>
        <row r="71">
          <cell r="J71">
            <v>3173</v>
          </cell>
          <cell r="S71">
            <v>1449</v>
          </cell>
        </row>
        <row r="72">
          <cell r="J72">
            <v>0</v>
          </cell>
          <cell r="S72">
            <v>0</v>
          </cell>
        </row>
        <row r="73">
          <cell r="J73">
            <v>1053</v>
          </cell>
          <cell r="S73">
            <v>383</v>
          </cell>
        </row>
        <row r="74">
          <cell r="J74">
            <v>759</v>
          </cell>
          <cell r="S74">
            <v>206</v>
          </cell>
        </row>
        <row r="75">
          <cell r="J75">
            <v>0</v>
          </cell>
          <cell r="S75">
            <v>0</v>
          </cell>
        </row>
        <row r="77">
          <cell r="J77">
            <v>6263</v>
          </cell>
        </row>
        <row r="79">
          <cell r="J79">
            <v>0</v>
          </cell>
        </row>
        <row r="83">
          <cell r="J83">
            <v>914</v>
          </cell>
        </row>
      </sheetData>
      <sheetData sheetId="23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746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38304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87568</v>
          </cell>
        </row>
        <row r="43">
          <cell r="Q43">
            <v>0</v>
          </cell>
        </row>
        <row r="44">
          <cell r="Q44">
            <v>2395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3851</v>
          </cell>
        </row>
        <row r="51">
          <cell r="Q51">
            <v>4996</v>
          </cell>
        </row>
        <row r="52">
          <cell r="Q52">
            <v>0</v>
          </cell>
        </row>
        <row r="53">
          <cell r="Q53">
            <v>1594</v>
          </cell>
        </row>
        <row r="54">
          <cell r="Q54">
            <v>1615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35416</v>
          </cell>
        </row>
        <row r="59">
          <cell r="Q59">
            <v>5754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7">
          <cell r="Q77">
            <v>8994</v>
          </cell>
        </row>
        <row r="79">
          <cell r="Q79">
            <v>0</v>
          </cell>
        </row>
        <row r="83">
          <cell r="Q83">
            <v>1161</v>
          </cell>
        </row>
      </sheetData>
      <sheetData sheetId="24">
        <row r="7">
          <cell r="Q7">
            <v>4879</v>
          </cell>
        </row>
        <row r="8">
          <cell r="Q8">
            <v>3442</v>
          </cell>
        </row>
        <row r="9">
          <cell r="Q9">
            <v>7779</v>
          </cell>
        </row>
        <row r="10">
          <cell r="Q10">
            <v>1713</v>
          </cell>
        </row>
        <row r="11">
          <cell r="Q11">
            <v>1409</v>
          </cell>
        </row>
        <row r="12">
          <cell r="Q12">
            <v>2415</v>
          </cell>
        </row>
        <row r="13">
          <cell r="Q13">
            <v>783</v>
          </cell>
        </row>
        <row r="14">
          <cell r="Q14">
            <v>7012</v>
          </cell>
        </row>
        <row r="15">
          <cell r="Q15">
            <v>9160</v>
          </cell>
        </row>
        <row r="16">
          <cell r="Q16">
            <v>16795</v>
          </cell>
        </row>
        <row r="17">
          <cell r="Q17">
            <v>943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1772</v>
          </cell>
        </row>
        <row r="21">
          <cell r="Q21">
            <v>0</v>
          </cell>
        </row>
        <row r="22">
          <cell r="Q22">
            <v>2134</v>
          </cell>
        </row>
        <row r="23">
          <cell r="Q23">
            <v>17905</v>
          </cell>
        </row>
        <row r="24">
          <cell r="Q24">
            <v>0</v>
          </cell>
        </row>
        <row r="25">
          <cell r="Q25">
            <v>796</v>
          </cell>
        </row>
        <row r="26">
          <cell r="Q26">
            <v>749</v>
          </cell>
        </row>
        <row r="27">
          <cell r="Q27">
            <v>1604</v>
          </cell>
        </row>
        <row r="28">
          <cell r="Q28">
            <v>788</v>
          </cell>
        </row>
        <row r="29">
          <cell r="Q29">
            <v>7197</v>
          </cell>
        </row>
        <row r="30">
          <cell r="Q30">
            <v>1525</v>
          </cell>
        </row>
        <row r="31">
          <cell r="Q31">
            <v>2432</v>
          </cell>
        </row>
        <row r="32">
          <cell r="Q32">
            <v>3908</v>
          </cell>
        </row>
        <row r="33">
          <cell r="Q33">
            <v>2484</v>
          </cell>
        </row>
        <row r="34">
          <cell r="Q34">
            <v>9257</v>
          </cell>
        </row>
        <row r="35">
          <cell r="Q35">
            <v>8856</v>
          </cell>
        </row>
        <row r="36">
          <cell r="Q36">
            <v>0</v>
          </cell>
        </row>
        <row r="37">
          <cell r="Q37">
            <v>1571</v>
          </cell>
        </row>
        <row r="38">
          <cell r="Q38">
            <v>17513</v>
          </cell>
        </row>
        <row r="39">
          <cell r="Q39">
            <v>863</v>
          </cell>
        </row>
        <row r="40">
          <cell r="Q40">
            <v>0</v>
          </cell>
        </row>
        <row r="41">
          <cell r="Q41">
            <v>21085</v>
          </cell>
        </row>
        <row r="42">
          <cell r="Q42">
            <v>2285</v>
          </cell>
        </row>
        <row r="43">
          <cell r="Q43">
            <v>3202</v>
          </cell>
        </row>
        <row r="44">
          <cell r="Q44">
            <v>799</v>
          </cell>
        </row>
        <row r="45">
          <cell r="Q45">
            <v>3956</v>
          </cell>
        </row>
        <row r="46">
          <cell r="Q46">
            <v>7128</v>
          </cell>
        </row>
        <row r="47">
          <cell r="Q47">
            <v>0</v>
          </cell>
        </row>
        <row r="48">
          <cell r="Q48">
            <v>1636</v>
          </cell>
        </row>
        <row r="49">
          <cell r="Q49">
            <v>7639</v>
          </cell>
        </row>
        <row r="50">
          <cell r="Q50">
            <v>771</v>
          </cell>
        </row>
        <row r="51">
          <cell r="Q51">
            <v>2142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808</v>
          </cell>
        </row>
        <row r="55">
          <cell r="Q55">
            <v>4358</v>
          </cell>
        </row>
        <row r="56">
          <cell r="Q56">
            <v>3871</v>
          </cell>
        </row>
        <row r="57">
          <cell r="Q57">
            <v>1640</v>
          </cell>
        </row>
        <row r="58">
          <cell r="Q58">
            <v>26562</v>
          </cell>
        </row>
        <row r="59">
          <cell r="Q59">
            <v>7912</v>
          </cell>
        </row>
        <row r="60">
          <cell r="Q60">
            <v>0</v>
          </cell>
        </row>
        <row r="61">
          <cell r="Q61">
            <v>6190</v>
          </cell>
        </row>
        <row r="62">
          <cell r="Q62">
            <v>0</v>
          </cell>
        </row>
        <row r="63">
          <cell r="Q63">
            <v>2174</v>
          </cell>
        </row>
        <row r="64">
          <cell r="Q64">
            <v>8381</v>
          </cell>
        </row>
        <row r="65">
          <cell r="Q65">
            <v>0</v>
          </cell>
        </row>
        <row r="66">
          <cell r="Q66">
            <v>1631</v>
          </cell>
        </row>
        <row r="67">
          <cell r="Q67">
            <v>1533</v>
          </cell>
        </row>
        <row r="68">
          <cell r="Q68">
            <v>0</v>
          </cell>
        </row>
        <row r="69">
          <cell r="Q69">
            <v>1625</v>
          </cell>
        </row>
        <row r="70">
          <cell r="Q70">
            <v>0</v>
          </cell>
        </row>
        <row r="71">
          <cell r="Q71">
            <v>3324</v>
          </cell>
        </row>
        <row r="72">
          <cell r="Q72">
            <v>0</v>
          </cell>
        </row>
        <row r="73">
          <cell r="Q73">
            <v>6251</v>
          </cell>
        </row>
        <row r="74">
          <cell r="Q74">
            <v>0</v>
          </cell>
        </row>
        <row r="75">
          <cell r="Q75">
            <v>808</v>
          </cell>
        </row>
        <row r="77">
          <cell r="Q77">
            <v>6176</v>
          </cell>
        </row>
        <row r="79">
          <cell r="Q79">
            <v>0</v>
          </cell>
        </row>
        <row r="83">
          <cell r="Q83">
            <v>1697</v>
          </cell>
        </row>
      </sheetData>
      <sheetData sheetId="25">
        <row r="7">
          <cell r="Q7">
            <v>0</v>
          </cell>
        </row>
        <row r="8">
          <cell r="Q8">
            <v>0</v>
          </cell>
        </row>
        <row r="9">
          <cell r="Q9">
            <v>5657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107411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763</v>
          </cell>
        </row>
        <row r="31">
          <cell r="Q31">
            <v>0</v>
          </cell>
        </row>
        <row r="32">
          <cell r="Q32">
            <v>3127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762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761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1582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1615</v>
          </cell>
        </row>
        <row r="55">
          <cell r="Q55">
            <v>0</v>
          </cell>
        </row>
        <row r="56">
          <cell r="Q56">
            <v>774</v>
          </cell>
        </row>
        <row r="57">
          <cell r="Q57">
            <v>0</v>
          </cell>
        </row>
        <row r="58">
          <cell r="Q58">
            <v>805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2301</v>
          </cell>
        </row>
        <row r="68">
          <cell r="Q68">
            <v>0</v>
          </cell>
        </row>
        <row r="69">
          <cell r="Q69">
            <v>3252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2344</v>
          </cell>
        </row>
        <row r="74">
          <cell r="Q74">
            <v>1739</v>
          </cell>
        </row>
        <row r="75">
          <cell r="Q75">
            <v>808</v>
          </cell>
        </row>
        <row r="77">
          <cell r="Q77">
            <v>3119</v>
          </cell>
        </row>
        <row r="79">
          <cell r="Q79">
            <v>0</v>
          </cell>
        </row>
        <row r="83">
          <cell r="Q83">
            <v>777</v>
          </cell>
        </row>
      </sheetData>
      <sheetData sheetId="26">
        <row r="7">
          <cell r="A7">
            <v>396211</v>
          </cell>
          <cell r="Z7">
            <v>453623</v>
          </cell>
          <cell r="AU7">
            <v>363920</v>
          </cell>
        </row>
        <row r="8">
          <cell r="Z8">
            <v>118590</v>
          </cell>
          <cell r="AU8">
            <v>182233</v>
          </cell>
        </row>
        <row r="11">
          <cell r="Z11">
            <v>87418</v>
          </cell>
          <cell r="AU11">
            <v>135236</v>
          </cell>
        </row>
        <row r="12">
          <cell r="Z12">
            <v>91434</v>
          </cell>
          <cell r="AU12">
            <v>142679</v>
          </cell>
        </row>
        <row r="13">
          <cell r="Z13">
            <v>184179</v>
          </cell>
          <cell r="AU13">
            <v>287857</v>
          </cell>
        </row>
        <row r="14">
          <cell r="Z14">
            <v>137250</v>
          </cell>
          <cell r="AU14">
            <v>210307</v>
          </cell>
        </row>
        <row r="15">
          <cell r="Z15">
            <v>98775</v>
          </cell>
          <cell r="AU15">
            <v>152790</v>
          </cell>
        </row>
      </sheetData>
      <sheetData sheetId="27">
        <row r="7">
          <cell r="A7">
            <v>341001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448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0</v>
          </cell>
        </row>
      </sheetData>
      <sheetData sheetId="43">
        <row r="7">
          <cell r="AC7">
            <v>0</v>
          </cell>
        </row>
      </sheetData>
      <sheetData sheetId="44">
        <row r="7">
          <cell r="AC7">
            <v>0</v>
          </cell>
        </row>
      </sheetData>
      <sheetData sheetId="45">
        <row r="7">
          <cell r="AC7">
            <v>839</v>
          </cell>
        </row>
      </sheetData>
      <sheetData sheetId="46">
        <row r="7">
          <cell r="AC7">
            <v>11274</v>
          </cell>
        </row>
      </sheetData>
      <sheetData sheetId="47">
        <row r="7">
          <cell r="AC7">
            <v>4241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1651</v>
          </cell>
        </row>
      </sheetData>
      <sheetData sheetId="53">
        <row r="7">
          <cell r="AC7">
            <v>0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C7">
            <v>0</v>
          </cell>
        </row>
      </sheetData>
      <sheetData sheetId="59">
        <row r="7">
          <cell r="AD7">
            <v>16008</v>
          </cell>
        </row>
      </sheetData>
      <sheetData sheetId="60">
        <row r="7">
          <cell r="AD7">
            <v>13789</v>
          </cell>
        </row>
      </sheetData>
      <sheetData sheetId="61" refreshError="1"/>
      <sheetData sheetId="62" refreshError="1"/>
      <sheetData sheetId="63">
        <row r="42">
          <cell r="BP42">
            <v>119</v>
          </cell>
        </row>
      </sheetData>
      <sheetData sheetId="64" refreshError="1"/>
      <sheetData sheetId="65">
        <row r="42">
          <cell r="G42">
            <v>746.03</v>
          </cell>
        </row>
      </sheetData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OJJ_Final ADM"/>
      <sheetName val="W5B"/>
      <sheetName val="345"/>
      <sheetName val="2.1"/>
    </sheetNames>
    <sheetDataSet>
      <sheetData sheetId="0">
        <row r="4">
          <cell r="E4">
            <v>343001</v>
          </cell>
        </row>
      </sheetData>
      <sheetData sheetId="1">
        <row r="7">
          <cell r="E7"/>
          <cell r="AV7">
            <v>6588</v>
          </cell>
        </row>
        <row r="8">
          <cell r="AV8">
            <v>2687</v>
          </cell>
        </row>
        <row r="9">
          <cell r="AV9">
            <v>11349</v>
          </cell>
        </row>
        <row r="10">
          <cell r="AV10">
            <v>2253</v>
          </cell>
        </row>
        <row r="11">
          <cell r="AV11">
            <v>4073</v>
          </cell>
        </row>
        <row r="12">
          <cell r="AV12">
            <v>3517</v>
          </cell>
        </row>
        <row r="13">
          <cell r="AV13">
            <v>1557</v>
          </cell>
        </row>
        <row r="14">
          <cell r="AV14">
            <v>11877</v>
          </cell>
        </row>
        <row r="15">
          <cell r="AV15">
            <v>27425</v>
          </cell>
        </row>
        <row r="16">
          <cell r="AV16">
            <v>21468</v>
          </cell>
        </row>
        <row r="17">
          <cell r="AV17">
            <v>1123</v>
          </cell>
        </row>
        <row r="18">
          <cell r="AV18">
            <v>674</v>
          </cell>
        </row>
        <row r="19">
          <cell r="AV19">
            <v>971</v>
          </cell>
        </row>
        <row r="20">
          <cell r="AV20">
            <v>1422</v>
          </cell>
        </row>
        <row r="21">
          <cell r="AV21">
            <v>2933</v>
          </cell>
        </row>
        <row r="22">
          <cell r="AV22">
            <v>2911</v>
          </cell>
        </row>
        <row r="23">
          <cell r="AV23">
            <v>35721</v>
          </cell>
        </row>
        <row r="24">
          <cell r="AV24">
            <v>860</v>
          </cell>
        </row>
        <row r="25">
          <cell r="AV25">
            <v>1342</v>
          </cell>
        </row>
        <row r="26">
          <cell r="AV26">
            <v>4050</v>
          </cell>
        </row>
        <row r="27">
          <cell r="AV27">
            <v>2466</v>
          </cell>
        </row>
        <row r="28">
          <cell r="AV28">
            <v>2090</v>
          </cell>
        </row>
        <row r="29">
          <cell r="AV29">
            <v>9009</v>
          </cell>
        </row>
        <row r="30">
          <cell r="AV30">
            <v>3481</v>
          </cell>
        </row>
        <row r="31">
          <cell r="AV31">
            <v>1621</v>
          </cell>
        </row>
        <row r="32">
          <cell r="AV32">
            <v>40658</v>
          </cell>
        </row>
        <row r="33">
          <cell r="AV33">
            <v>3489</v>
          </cell>
        </row>
        <row r="34">
          <cell r="AV34">
            <v>20744</v>
          </cell>
        </row>
        <row r="35">
          <cell r="AV35">
            <v>9379</v>
          </cell>
        </row>
        <row r="36">
          <cell r="AV36">
            <v>1446</v>
          </cell>
        </row>
        <row r="37">
          <cell r="AV37">
            <v>3950</v>
          </cell>
        </row>
        <row r="38">
          <cell r="AV38">
            <v>12664</v>
          </cell>
        </row>
        <row r="39">
          <cell r="AV39">
            <v>1496</v>
          </cell>
        </row>
        <row r="40">
          <cell r="AV40">
            <v>3085</v>
          </cell>
        </row>
        <row r="41">
          <cell r="AV41">
            <v>4185</v>
          </cell>
        </row>
        <row r="42">
          <cell r="AV42">
            <v>38931</v>
          </cell>
        </row>
        <row r="43">
          <cell r="AV43">
            <v>12423</v>
          </cell>
        </row>
        <row r="44">
          <cell r="AV44">
            <v>2730</v>
          </cell>
        </row>
        <row r="45">
          <cell r="AV45">
            <v>2006</v>
          </cell>
        </row>
        <row r="46">
          <cell r="AV46">
            <v>16047</v>
          </cell>
        </row>
        <row r="47">
          <cell r="AV47">
            <v>1189</v>
          </cell>
        </row>
        <row r="48">
          <cell r="AV48">
            <v>2222</v>
          </cell>
        </row>
        <row r="49">
          <cell r="AV49">
            <v>3101</v>
          </cell>
        </row>
        <row r="50">
          <cell r="AV50">
            <v>5828</v>
          </cell>
        </row>
        <row r="51">
          <cell r="AV51">
            <v>5478</v>
          </cell>
        </row>
        <row r="52">
          <cell r="AV52">
            <v>1167</v>
          </cell>
        </row>
        <row r="53">
          <cell r="AV53">
            <v>2206</v>
          </cell>
        </row>
        <row r="54">
          <cell r="AV54">
            <v>4690</v>
          </cell>
        </row>
        <row r="55">
          <cell r="AV55">
            <v>10227</v>
          </cell>
        </row>
        <row r="56">
          <cell r="AV56">
            <v>5432</v>
          </cell>
        </row>
        <row r="57">
          <cell r="AV57">
            <v>6495</v>
          </cell>
        </row>
        <row r="58">
          <cell r="AV58">
            <v>19876</v>
          </cell>
        </row>
        <row r="59">
          <cell r="AV59">
            <v>14313</v>
          </cell>
        </row>
        <row r="60">
          <cell r="AV60">
            <v>453</v>
          </cell>
        </row>
        <row r="61">
          <cell r="AV61">
            <v>12170</v>
          </cell>
        </row>
        <row r="62">
          <cell r="AV62">
            <v>2257</v>
          </cell>
        </row>
        <row r="63">
          <cell r="AV63">
            <v>5584</v>
          </cell>
        </row>
        <row r="64">
          <cell r="AV64">
            <v>5053</v>
          </cell>
        </row>
        <row r="65">
          <cell r="AV65">
            <v>3589</v>
          </cell>
        </row>
        <row r="66">
          <cell r="AV66">
            <v>4076</v>
          </cell>
        </row>
        <row r="67">
          <cell r="AV67">
            <v>2517</v>
          </cell>
        </row>
        <row r="68">
          <cell r="AV68">
            <v>1413</v>
          </cell>
        </row>
        <row r="69">
          <cell r="AV69">
            <v>1048</v>
          </cell>
        </row>
        <row r="70">
          <cell r="AV70">
            <v>1486</v>
          </cell>
        </row>
        <row r="71">
          <cell r="AV71">
            <v>6638</v>
          </cell>
        </row>
        <row r="72">
          <cell r="AV72">
            <v>1804</v>
          </cell>
        </row>
        <row r="73">
          <cell r="AV73">
            <v>2732</v>
          </cell>
        </row>
        <row r="74">
          <cell r="AV74">
            <v>1622</v>
          </cell>
        </row>
        <row r="75">
          <cell r="AV75">
            <v>2226</v>
          </cell>
        </row>
      </sheetData>
      <sheetData sheetId="2">
        <row r="7">
          <cell r="E7"/>
          <cell r="AV7">
            <v>1032</v>
          </cell>
        </row>
        <row r="8">
          <cell r="AV8">
            <v>478</v>
          </cell>
        </row>
        <row r="9">
          <cell r="AV9">
            <v>2266</v>
          </cell>
        </row>
        <row r="10">
          <cell r="AV10">
            <v>448</v>
          </cell>
        </row>
        <row r="11">
          <cell r="AV11">
            <v>579</v>
          </cell>
        </row>
        <row r="12">
          <cell r="AV12">
            <v>904</v>
          </cell>
        </row>
        <row r="13">
          <cell r="AV13">
            <v>278</v>
          </cell>
        </row>
        <row r="14">
          <cell r="AV14">
            <v>3178</v>
          </cell>
        </row>
        <row r="15">
          <cell r="AV15">
            <v>4396</v>
          </cell>
        </row>
        <row r="16">
          <cell r="AV16">
            <v>5367</v>
          </cell>
        </row>
        <row r="17">
          <cell r="AV17">
            <v>283</v>
          </cell>
        </row>
        <row r="18">
          <cell r="AV18">
            <v>183</v>
          </cell>
        </row>
        <row r="19">
          <cell r="AV19">
            <v>166</v>
          </cell>
        </row>
        <row r="20">
          <cell r="AV20">
            <v>397</v>
          </cell>
        </row>
        <row r="21">
          <cell r="AV21">
            <v>441</v>
          </cell>
        </row>
        <row r="22">
          <cell r="AV22">
            <v>509</v>
          </cell>
        </row>
        <row r="23">
          <cell r="AV23">
            <v>5065</v>
          </cell>
        </row>
        <row r="24">
          <cell r="AV24">
            <v>99</v>
          </cell>
        </row>
        <row r="25">
          <cell r="AV25">
            <v>239</v>
          </cell>
        </row>
        <row r="26">
          <cell r="AV26">
            <v>806</v>
          </cell>
        </row>
        <row r="27">
          <cell r="AV27">
            <v>505</v>
          </cell>
        </row>
        <row r="28">
          <cell r="AV28">
            <v>570</v>
          </cell>
        </row>
        <row r="29">
          <cell r="AV29">
            <v>1724</v>
          </cell>
        </row>
        <row r="30">
          <cell r="AV30">
            <v>493</v>
          </cell>
        </row>
        <row r="31">
          <cell r="AV31">
            <v>217</v>
          </cell>
        </row>
        <row r="32">
          <cell r="AV32">
            <v>6504</v>
          </cell>
        </row>
        <row r="33">
          <cell r="AV33">
            <v>784</v>
          </cell>
        </row>
        <row r="34">
          <cell r="AV34">
            <v>3233</v>
          </cell>
        </row>
        <row r="35">
          <cell r="AV35">
            <v>1307</v>
          </cell>
        </row>
        <row r="36">
          <cell r="AV36">
            <v>280</v>
          </cell>
        </row>
        <row r="37">
          <cell r="AV37">
            <v>1041</v>
          </cell>
        </row>
        <row r="38">
          <cell r="AV38">
            <v>3282</v>
          </cell>
        </row>
        <row r="39">
          <cell r="AV39">
            <v>196</v>
          </cell>
        </row>
        <row r="40">
          <cell r="AV40">
            <v>625</v>
          </cell>
        </row>
        <row r="41">
          <cell r="AV41">
            <v>703</v>
          </cell>
        </row>
        <row r="42">
          <cell r="AV42">
            <v>6888</v>
          </cell>
        </row>
        <row r="43">
          <cell r="AV43">
            <v>2608</v>
          </cell>
        </row>
        <row r="44">
          <cell r="AV44">
            <v>579</v>
          </cell>
        </row>
        <row r="45">
          <cell r="AV45">
            <v>467</v>
          </cell>
        </row>
        <row r="46">
          <cell r="AV46">
            <v>3036</v>
          </cell>
        </row>
        <row r="47">
          <cell r="AV47">
            <v>188</v>
          </cell>
        </row>
        <row r="48">
          <cell r="AV48">
            <v>336</v>
          </cell>
        </row>
        <row r="49">
          <cell r="AV49">
            <v>558</v>
          </cell>
        </row>
        <row r="50">
          <cell r="AV50">
            <v>816</v>
          </cell>
        </row>
        <row r="51">
          <cell r="AV51">
            <v>1044</v>
          </cell>
        </row>
        <row r="52">
          <cell r="AV52">
            <v>193</v>
          </cell>
        </row>
        <row r="53">
          <cell r="AV53">
            <v>567</v>
          </cell>
        </row>
        <row r="54">
          <cell r="AV54">
            <v>810</v>
          </cell>
        </row>
        <row r="55">
          <cell r="AV55">
            <v>2071</v>
          </cell>
        </row>
        <row r="56">
          <cell r="AV56">
            <v>876</v>
          </cell>
        </row>
        <row r="57">
          <cell r="AV57">
            <v>1377</v>
          </cell>
        </row>
        <row r="58">
          <cell r="AV58">
            <v>7135</v>
          </cell>
        </row>
        <row r="59">
          <cell r="AV59">
            <v>2488</v>
          </cell>
        </row>
        <row r="60">
          <cell r="AV60">
            <v>90</v>
          </cell>
        </row>
        <row r="61">
          <cell r="AV61">
            <v>2015</v>
          </cell>
        </row>
        <row r="62">
          <cell r="AV62">
            <v>389</v>
          </cell>
        </row>
        <row r="63">
          <cell r="AV63">
            <v>1211</v>
          </cell>
        </row>
        <row r="64">
          <cell r="AV64">
            <v>1094</v>
          </cell>
        </row>
        <row r="65">
          <cell r="AV65">
            <v>999</v>
          </cell>
        </row>
        <row r="66">
          <cell r="AV66">
            <v>861</v>
          </cell>
        </row>
        <row r="67">
          <cell r="AV67">
            <v>444</v>
          </cell>
        </row>
        <row r="68">
          <cell r="AV68">
            <v>298</v>
          </cell>
        </row>
        <row r="69">
          <cell r="AV69">
            <v>290</v>
          </cell>
        </row>
        <row r="70">
          <cell r="AV70">
            <v>327</v>
          </cell>
        </row>
        <row r="71">
          <cell r="AV71">
            <v>1344</v>
          </cell>
        </row>
        <row r="72">
          <cell r="AV72">
            <v>424</v>
          </cell>
        </row>
        <row r="73">
          <cell r="AV73">
            <v>542</v>
          </cell>
        </row>
        <row r="74">
          <cell r="AV74">
            <v>206</v>
          </cell>
        </row>
        <row r="75">
          <cell r="AV75">
            <v>417</v>
          </cell>
        </row>
      </sheetData>
      <sheetData sheetId="3">
        <row r="7">
          <cell r="E7"/>
          <cell r="AV7">
            <v>71</v>
          </cell>
        </row>
        <row r="8">
          <cell r="AV8">
            <v>39</v>
          </cell>
        </row>
        <row r="9">
          <cell r="AV9">
            <v>540</v>
          </cell>
        </row>
        <row r="10">
          <cell r="AV10">
            <v>102</v>
          </cell>
        </row>
        <row r="11">
          <cell r="AV11">
            <v>24</v>
          </cell>
        </row>
        <row r="12">
          <cell r="AV12">
            <v>60</v>
          </cell>
        </row>
        <row r="13">
          <cell r="AV13">
            <v>61</v>
          </cell>
        </row>
        <row r="14">
          <cell r="AV14">
            <v>1393</v>
          </cell>
        </row>
        <row r="15">
          <cell r="AV15">
            <v>1803</v>
          </cell>
        </row>
        <row r="16">
          <cell r="AV16">
            <v>995</v>
          </cell>
        </row>
        <row r="17">
          <cell r="AV17">
            <v>51</v>
          </cell>
        </row>
        <row r="18">
          <cell r="AV18">
            <v>77</v>
          </cell>
        </row>
        <row r="19">
          <cell r="AV19">
            <v>6</v>
          </cell>
        </row>
        <row r="20">
          <cell r="AV20">
            <v>141</v>
          </cell>
        </row>
        <row r="21">
          <cell r="AV21">
            <v>122</v>
          </cell>
        </row>
        <row r="22">
          <cell r="AV22">
            <v>247</v>
          </cell>
        </row>
        <row r="23">
          <cell r="AV23">
            <v>1537</v>
          </cell>
        </row>
        <row r="24">
          <cell r="AV24">
            <v>0</v>
          </cell>
        </row>
        <row r="25">
          <cell r="AV25">
            <v>30</v>
          </cell>
        </row>
        <row r="26">
          <cell r="AV26">
            <v>129</v>
          </cell>
        </row>
        <row r="27">
          <cell r="AV27">
            <v>101</v>
          </cell>
        </row>
        <row r="28">
          <cell r="AV28">
            <v>17</v>
          </cell>
        </row>
        <row r="29">
          <cell r="AV29">
            <v>419</v>
          </cell>
        </row>
        <row r="30">
          <cell r="AV30">
            <v>179</v>
          </cell>
        </row>
        <row r="31">
          <cell r="AV31">
            <v>85</v>
          </cell>
        </row>
        <row r="32">
          <cell r="AV32">
            <v>2998</v>
          </cell>
        </row>
        <row r="33">
          <cell r="AV33">
            <v>141</v>
          </cell>
        </row>
        <row r="34">
          <cell r="AV34">
            <v>1469</v>
          </cell>
        </row>
        <row r="35">
          <cell r="AV35">
            <v>264</v>
          </cell>
        </row>
        <row r="36">
          <cell r="AV36">
            <v>39</v>
          </cell>
        </row>
        <row r="37">
          <cell r="AV37">
            <v>268</v>
          </cell>
        </row>
        <row r="38">
          <cell r="AV38">
            <v>1000</v>
          </cell>
        </row>
        <row r="39">
          <cell r="AV39">
            <v>10</v>
          </cell>
        </row>
        <row r="40">
          <cell r="AV40">
            <v>12</v>
          </cell>
        </row>
        <row r="41">
          <cell r="AV41">
            <v>238</v>
          </cell>
        </row>
        <row r="42">
          <cell r="AV42">
            <v>2829</v>
          </cell>
        </row>
        <row r="43">
          <cell r="AV43">
            <v>922</v>
          </cell>
        </row>
        <row r="44">
          <cell r="AV44">
            <v>258</v>
          </cell>
        </row>
        <row r="45">
          <cell r="AV45">
            <v>37</v>
          </cell>
        </row>
        <row r="46">
          <cell r="AV46">
            <v>458</v>
          </cell>
        </row>
        <row r="47">
          <cell r="AV47">
            <v>22</v>
          </cell>
        </row>
        <row r="48">
          <cell r="AV48">
            <v>60</v>
          </cell>
        </row>
        <row r="49">
          <cell r="AV49">
            <v>83</v>
          </cell>
        </row>
        <row r="50">
          <cell r="AV50">
            <v>132</v>
          </cell>
        </row>
        <row r="51">
          <cell r="AV51">
            <v>693</v>
          </cell>
        </row>
        <row r="52">
          <cell r="AV52">
            <v>63</v>
          </cell>
        </row>
        <row r="53">
          <cell r="AV53">
            <v>110</v>
          </cell>
        </row>
        <row r="54">
          <cell r="AV54">
            <v>150</v>
          </cell>
        </row>
        <row r="55">
          <cell r="AV55">
            <v>280</v>
          </cell>
        </row>
        <row r="56">
          <cell r="AV56">
            <v>347</v>
          </cell>
        </row>
        <row r="57">
          <cell r="AV57">
            <v>518</v>
          </cell>
        </row>
        <row r="58">
          <cell r="AV58">
            <v>2763</v>
          </cell>
        </row>
        <row r="59">
          <cell r="AV59">
            <v>450</v>
          </cell>
        </row>
        <row r="60">
          <cell r="AV60">
            <v>20</v>
          </cell>
        </row>
        <row r="61">
          <cell r="AV61">
            <v>622</v>
          </cell>
        </row>
        <row r="62">
          <cell r="AV62">
            <v>28</v>
          </cell>
        </row>
        <row r="63">
          <cell r="AV63">
            <v>216</v>
          </cell>
        </row>
        <row r="64">
          <cell r="AV64">
            <v>161</v>
          </cell>
        </row>
        <row r="65">
          <cell r="AV65">
            <v>356</v>
          </cell>
        </row>
        <row r="66">
          <cell r="AV66">
            <v>354</v>
          </cell>
        </row>
        <row r="67">
          <cell r="AV67">
            <v>231</v>
          </cell>
        </row>
        <row r="68">
          <cell r="AV68">
            <v>3</v>
          </cell>
        </row>
        <row r="69">
          <cell r="AV69">
            <v>144</v>
          </cell>
        </row>
        <row r="70">
          <cell r="AV70">
            <v>58</v>
          </cell>
        </row>
        <row r="71">
          <cell r="AV71">
            <v>706</v>
          </cell>
        </row>
        <row r="72">
          <cell r="AV72">
            <v>172</v>
          </cell>
        </row>
        <row r="73">
          <cell r="AV73">
            <v>484</v>
          </cell>
        </row>
        <row r="74">
          <cell r="AV74">
            <v>8</v>
          </cell>
        </row>
        <row r="75">
          <cell r="AV75">
            <v>421</v>
          </cell>
        </row>
      </sheetData>
      <sheetData sheetId="4">
        <row r="7">
          <cell r="E7"/>
          <cell r="AV7">
            <v>4270.5</v>
          </cell>
        </row>
        <row r="8">
          <cell r="AV8">
            <v>1981</v>
          </cell>
        </row>
        <row r="9">
          <cell r="AV9">
            <v>11860</v>
          </cell>
        </row>
        <row r="10">
          <cell r="AV10">
            <v>1426</v>
          </cell>
        </row>
        <row r="11">
          <cell r="AV11">
            <v>3485.5</v>
          </cell>
        </row>
        <row r="12">
          <cell r="AV12">
            <v>2341</v>
          </cell>
        </row>
        <row r="13">
          <cell r="AV13">
            <v>897</v>
          </cell>
        </row>
        <row r="14">
          <cell r="AV14">
            <v>8111</v>
          </cell>
        </row>
        <row r="15">
          <cell r="AV15">
            <v>11786</v>
          </cell>
        </row>
        <row r="16">
          <cell r="AV16">
            <v>10422.5</v>
          </cell>
        </row>
        <row r="17">
          <cell r="AV17">
            <v>956</v>
          </cell>
        </row>
        <row r="18">
          <cell r="AV18">
            <v>527</v>
          </cell>
        </row>
        <row r="19">
          <cell r="AV19">
            <v>761.5</v>
          </cell>
        </row>
        <row r="20">
          <cell r="AV20">
            <v>855.5</v>
          </cell>
        </row>
        <row r="21">
          <cell r="AV21">
            <v>2013</v>
          </cell>
        </row>
        <row r="22">
          <cell r="AV22">
            <v>2812</v>
          </cell>
        </row>
        <row r="23">
          <cell r="AV23">
            <v>20928.5</v>
          </cell>
        </row>
        <row r="24">
          <cell r="AV24">
            <v>556</v>
          </cell>
        </row>
        <row r="25">
          <cell r="AV25">
            <v>550</v>
          </cell>
        </row>
        <row r="26">
          <cell r="AV26">
            <v>2497.5</v>
          </cell>
        </row>
        <row r="27">
          <cell r="AV27">
            <v>1151.5</v>
          </cell>
        </row>
        <row r="28">
          <cell r="AV28">
            <v>1860.5</v>
          </cell>
        </row>
        <row r="29">
          <cell r="AV29">
            <v>6864.5</v>
          </cell>
        </row>
        <row r="30">
          <cell r="AV30">
            <v>1811.5</v>
          </cell>
        </row>
        <row r="31">
          <cell r="AV31">
            <v>1561.5</v>
          </cell>
        </row>
        <row r="32">
          <cell r="AV32">
            <v>16214.5</v>
          </cell>
        </row>
        <row r="33">
          <cell r="AV33">
            <v>3375.5</v>
          </cell>
        </row>
        <row r="34">
          <cell r="AV34">
            <v>12805</v>
          </cell>
        </row>
        <row r="35">
          <cell r="AV35">
            <v>8761</v>
          </cell>
        </row>
        <row r="36">
          <cell r="AV36">
            <v>925</v>
          </cell>
        </row>
        <row r="37">
          <cell r="AV37">
            <v>3203.5</v>
          </cell>
        </row>
        <row r="38">
          <cell r="AV38">
            <v>13615</v>
          </cell>
        </row>
        <row r="39">
          <cell r="AV39">
            <v>790.5</v>
          </cell>
        </row>
        <row r="40">
          <cell r="AV40">
            <v>1941.5</v>
          </cell>
        </row>
        <row r="41">
          <cell r="AV41">
            <v>2845</v>
          </cell>
        </row>
        <row r="42">
          <cell r="AV42">
            <v>12621.5</v>
          </cell>
        </row>
        <row r="43">
          <cell r="AV43">
            <v>7645</v>
          </cell>
        </row>
        <row r="44">
          <cell r="AV44">
            <v>2184.5</v>
          </cell>
        </row>
        <row r="45">
          <cell r="AV45">
            <v>1504</v>
          </cell>
        </row>
        <row r="46">
          <cell r="AV46">
            <v>10162</v>
          </cell>
        </row>
        <row r="47">
          <cell r="AV47">
            <v>1184.5</v>
          </cell>
        </row>
        <row r="48">
          <cell r="AV48">
            <v>1620</v>
          </cell>
        </row>
        <row r="49">
          <cell r="AV49">
            <v>2722.5</v>
          </cell>
        </row>
        <row r="50">
          <cell r="AV50">
            <v>3023</v>
          </cell>
        </row>
        <row r="51">
          <cell r="AV51">
            <v>5560</v>
          </cell>
        </row>
        <row r="52">
          <cell r="AV52">
            <v>1206.5</v>
          </cell>
        </row>
        <row r="53">
          <cell r="AV53">
            <v>2061.5</v>
          </cell>
        </row>
        <row r="54">
          <cell r="AV54">
            <v>4340</v>
          </cell>
        </row>
        <row r="55">
          <cell r="AV55">
            <v>7845</v>
          </cell>
        </row>
        <row r="56">
          <cell r="AV56">
            <v>4250</v>
          </cell>
        </row>
        <row r="57">
          <cell r="AV57">
            <v>3964.5</v>
          </cell>
        </row>
        <row r="58">
          <cell r="AV58">
            <v>14639</v>
          </cell>
        </row>
        <row r="59">
          <cell r="AV59">
            <v>10546</v>
          </cell>
        </row>
        <row r="60">
          <cell r="AV60">
            <v>410</v>
          </cell>
        </row>
        <row r="61">
          <cell r="AV61">
            <v>8288.5</v>
          </cell>
        </row>
        <row r="62">
          <cell r="AV62">
            <v>1374</v>
          </cell>
        </row>
        <row r="63">
          <cell r="AV63">
            <v>4049.5</v>
          </cell>
        </row>
        <row r="64">
          <cell r="AV64">
            <v>3472</v>
          </cell>
        </row>
        <row r="65">
          <cell r="AV65">
            <v>2813</v>
          </cell>
        </row>
        <row r="66">
          <cell r="AV66">
            <v>2878.5</v>
          </cell>
        </row>
        <row r="67">
          <cell r="AV67">
            <v>1880</v>
          </cell>
        </row>
        <row r="68">
          <cell r="AV68">
            <v>896</v>
          </cell>
        </row>
        <row r="69">
          <cell r="AV69">
            <v>1117</v>
          </cell>
        </row>
        <row r="70">
          <cell r="AV70">
            <v>1629.5</v>
          </cell>
        </row>
        <row r="71">
          <cell r="AV71">
            <v>2871</v>
          </cell>
        </row>
        <row r="72">
          <cell r="AV72">
            <v>970.5</v>
          </cell>
        </row>
        <row r="73">
          <cell r="AV73">
            <v>1829.5</v>
          </cell>
        </row>
        <row r="74">
          <cell r="AV74">
            <v>847.5</v>
          </cell>
        </row>
        <row r="75">
          <cell r="AV75">
            <v>2315.5</v>
          </cell>
        </row>
      </sheetData>
      <sheetData sheetId="5"/>
      <sheetData sheetId="6">
        <row r="11">
          <cell r="C11">
            <v>533</v>
          </cell>
        </row>
      </sheetData>
      <sheetData sheetId="7"/>
      <sheetData sheetId="8">
        <row r="5">
          <cell r="A5">
            <v>1</v>
          </cell>
        </row>
      </sheetData>
      <sheetData sheetId="9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FINAL (2)"/>
      <sheetName val="FINAL (3)"/>
      <sheetName val="Sheet4"/>
      <sheetName val="Sheet5"/>
      <sheetName val="MFP L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>
            <v>1</v>
          </cell>
          <cell r="B7">
            <v>1</v>
          </cell>
          <cell r="C7" t="str">
            <v>Acadia</v>
          </cell>
          <cell r="D7">
            <v>720.61502287196004</v>
          </cell>
          <cell r="E7">
            <v>502.69251924698898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381.49999999999898</v>
          </cell>
          <cell r="E8">
            <v>242.49999999999901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1814.2455067089493</v>
          </cell>
          <cell r="E9">
            <v>1164.1570370240001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257.71999999999599</v>
          </cell>
          <cell r="E10">
            <v>182.27999999999997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340</v>
          </cell>
          <cell r="E11">
            <v>276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497.99570600546997</v>
          </cell>
          <cell r="E12">
            <v>350.08271606190692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222.03841571045501</v>
          </cell>
          <cell r="E13">
            <v>177.97648327938401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1903</v>
          </cell>
          <cell r="E14">
            <v>1200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2960.4168911440329</v>
          </cell>
          <cell r="E15">
            <v>2152.3739337340012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3096.5500780859293</v>
          </cell>
          <cell r="E16">
            <v>1766.9170444752483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152.575441575707</v>
          </cell>
          <cell r="E17">
            <v>116.26466603923301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166.617689818923</v>
          </cell>
          <cell r="E18">
            <v>94.810224689972003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98.46480204108201</v>
          </cell>
          <cell r="E19">
            <v>113.63105162286901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141.31078646684702</v>
          </cell>
          <cell r="E20">
            <v>137.689213533106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306.26568582171797</v>
          </cell>
          <cell r="E21">
            <v>210.38066377285799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415</v>
          </cell>
          <cell r="E22">
            <v>331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3747.6173646599354</v>
          </cell>
          <cell r="E23">
            <v>2292.0833333279984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76.924487015249994</v>
          </cell>
          <cell r="E24">
            <v>68.877508012807994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175</v>
          </cell>
          <cell r="E25">
            <v>114.25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465.96998691698303</v>
          </cell>
          <cell r="E26">
            <v>261.60000000000002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250.59211904758899</v>
          </cell>
          <cell r="E27">
            <v>213.59549726326301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253.52069855294903</v>
          </cell>
          <cell r="E28">
            <v>161.30324207197702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1042.280308941936</v>
          </cell>
          <cell r="E29">
            <v>609.24158917600005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441</v>
          </cell>
          <cell r="E30">
            <v>330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191.61484266151501</v>
          </cell>
          <cell r="E31">
            <v>140.99999999999901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4227.7513743139489</v>
          </cell>
          <cell r="E32">
            <v>2570.2750065555929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435.53942006647202</v>
          </cell>
          <cell r="E33">
            <v>328.84061058149905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2456</v>
          </cell>
          <cell r="E34">
            <v>1778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1076.2583043410812</v>
          </cell>
          <cell r="E35">
            <v>769.65479391001804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212.19687561901097</v>
          </cell>
          <cell r="E36">
            <v>164.80661275301202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540.49999999997794</v>
          </cell>
          <cell r="E37">
            <v>272.49999999999903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2007.7907717417722</v>
          </cell>
          <cell r="E38">
            <v>1515.946591194931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97.773237804271005</v>
          </cell>
          <cell r="E39">
            <v>93.000914878983991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283.827343857578</v>
          </cell>
          <cell r="E40">
            <v>216.978525303346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545.924035599013</v>
          </cell>
          <cell r="E41">
            <v>221.958401066937</v>
          </cell>
        </row>
        <row r="42">
          <cell r="A42">
            <v>37</v>
          </cell>
          <cell r="B42">
            <v>37</v>
          </cell>
          <cell r="C42" t="str">
            <v>Ouachita</v>
          </cell>
          <cell r="D42">
            <v>1583.4056776539289</v>
          </cell>
          <cell r="E42">
            <v>1321.9031646869801</v>
          </cell>
        </row>
        <row r="43">
          <cell r="A43">
            <v>38</v>
          </cell>
          <cell r="B43">
            <v>38</v>
          </cell>
          <cell r="C43" t="str">
            <v>Plaquemines</v>
          </cell>
          <cell r="D43">
            <v>338.98501234800005</v>
          </cell>
          <cell r="E43">
            <v>275.34759441100005</v>
          </cell>
        </row>
        <row r="44">
          <cell r="A44">
            <v>39</v>
          </cell>
          <cell r="B44">
            <v>39</v>
          </cell>
          <cell r="C44" t="str">
            <v>Pointe Coupee</v>
          </cell>
          <cell r="D44">
            <v>203.999450548997</v>
          </cell>
          <cell r="E44">
            <v>93.993635076999993</v>
          </cell>
        </row>
        <row r="45">
          <cell r="A45">
            <v>40</v>
          </cell>
          <cell r="B45">
            <v>40</v>
          </cell>
          <cell r="C45" t="str">
            <v>Rapides</v>
          </cell>
          <cell r="D45">
            <v>1906.3142857129628</v>
          </cell>
          <cell r="E45">
            <v>1189</v>
          </cell>
        </row>
        <row r="46">
          <cell r="A46">
            <v>41</v>
          </cell>
          <cell r="B46">
            <v>41</v>
          </cell>
          <cell r="C46" t="str">
            <v>Red River</v>
          </cell>
          <cell r="D46">
            <v>128.018336182312</v>
          </cell>
          <cell r="E46">
            <v>110.148330219768</v>
          </cell>
        </row>
        <row r="47">
          <cell r="A47">
            <v>42</v>
          </cell>
          <cell r="B47">
            <v>42</v>
          </cell>
          <cell r="C47" t="str">
            <v>Richland</v>
          </cell>
          <cell r="D47">
            <v>221.03674424648602</v>
          </cell>
          <cell r="E47">
            <v>181.32174655750001</v>
          </cell>
        </row>
        <row r="48">
          <cell r="A48">
            <v>43</v>
          </cell>
          <cell r="B48">
            <v>43</v>
          </cell>
          <cell r="C48" t="str">
            <v>Sabine</v>
          </cell>
          <cell r="D48">
            <v>364.98888888800002</v>
          </cell>
          <cell r="E48">
            <v>271</v>
          </cell>
        </row>
        <row r="49">
          <cell r="A49">
            <v>44</v>
          </cell>
          <cell r="B49">
            <v>44</v>
          </cell>
          <cell r="C49" t="str">
            <v>St. Bernard</v>
          </cell>
          <cell r="D49">
            <v>591.19777887799387</v>
          </cell>
          <cell r="E49">
            <v>298.99953462399799</v>
          </cell>
        </row>
        <row r="50">
          <cell r="A50">
            <v>45</v>
          </cell>
          <cell r="B50">
            <v>45</v>
          </cell>
          <cell r="C50" t="str">
            <v>St. Charles</v>
          </cell>
          <cell r="D50">
            <v>967.99999999999591</v>
          </cell>
          <cell r="E50">
            <v>688</v>
          </cell>
        </row>
        <row r="51">
          <cell r="A51">
            <v>46</v>
          </cell>
          <cell r="B51">
            <v>46</v>
          </cell>
          <cell r="C51" t="str">
            <v>St. Helena</v>
          </cell>
          <cell r="D51">
            <v>85.121412734000003</v>
          </cell>
          <cell r="E51">
            <v>72.715494910000004</v>
          </cell>
        </row>
        <row r="52">
          <cell r="A52">
            <v>47</v>
          </cell>
          <cell r="B52">
            <v>47</v>
          </cell>
          <cell r="C52" t="str">
            <v>St. James</v>
          </cell>
          <cell r="D52">
            <v>379</v>
          </cell>
          <cell r="E52">
            <v>153</v>
          </cell>
        </row>
        <row r="53">
          <cell r="A53">
            <v>48</v>
          </cell>
          <cell r="B53">
            <v>48</v>
          </cell>
          <cell r="C53" t="str">
            <v>St. John the Baptist</v>
          </cell>
          <cell r="D53">
            <v>576.64038204696408</v>
          </cell>
          <cell r="E53">
            <v>339.94732917199997</v>
          </cell>
        </row>
        <row r="54">
          <cell r="A54">
            <v>49</v>
          </cell>
          <cell r="B54">
            <v>49</v>
          </cell>
          <cell r="C54" t="str">
            <v>St. Landry</v>
          </cell>
          <cell r="D54">
            <v>1136.3027735999999</v>
          </cell>
          <cell r="E54">
            <v>673.38081481400002</v>
          </cell>
        </row>
        <row r="55">
          <cell r="A55">
            <v>50</v>
          </cell>
          <cell r="B55">
            <v>50</v>
          </cell>
          <cell r="C55" t="str">
            <v>St. Martin</v>
          </cell>
          <cell r="D55">
            <v>577.20574105297192</v>
          </cell>
          <cell r="E55">
            <v>394.77069709900002</v>
          </cell>
        </row>
        <row r="56">
          <cell r="A56">
            <v>51</v>
          </cell>
          <cell r="B56">
            <v>51</v>
          </cell>
          <cell r="C56" t="str">
            <v>St. Mary</v>
          </cell>
          <cell r="D56">
            <v>723.01940992983407</v>
          </cell>
          <cell r="E56">
            <v>517.00000628111593</v>
          </cell>
        </row>
        <row r="57">
          <cell r="A57">
            <v>52</v>
          </cell>
          <cell r="B57">
            <v>52</v>
          </cell>
          <cell r="C57" t="str">
            <v>St. Tammany</v>
          </cell>
          <cell r="D57">
            <v>3330.9384594286771</v>
          </cell>
          <cell r="E57">
            <v>2399.6996833189678</v>
          </cell>
        </row>
        <row r="58">
          <cell r="A58">
            <v>53</v>
          </cell>
          <cell r="B58">
            <v>53</v>
          </cell>
          <cell r="C58" t="str">
            <v>Tangipahoa</v>
          </cell>
          <cell r="D58">
            <v>1599.6760929346947</v>
          </cell>
          <cell r="E58">
            <v>1016.0231321011501</v>
          </cell>
        </row>
        <row r="59">
          <cell r="A59">
            <v>54</v>
          </cell>
          <cell r="B59">
            <v>54</v>
          </cell>
          <cell r="C59" t="str">
            <v>Tensas</v>
          </cell>
          <cell r="D59">
            <v>41.474576270991989</v>
          </cell>
          <cell r="E59">
            <v>48.163368606091005</v>
          </cell>
        </row>
        <row r="60">
          <cell r="A60">
            <v>55</v>
          </cell>
          <cell r="B60">
            <v>55</v>
          </cell>
          <cell r="C60" t="str">
            <v>Terrebonne</v>
          </cell>
          <cell r="D60">
            <v>1335.6403077434031</v>
          </cell>
          <cell r="E60">
            <v>793.02807662299801</v>
          </cell>
        </row>
        <row r="61">
          <cell r="A61">
            <v>56</v>
          </cell>
          <cell r="B61">
            <v>56</v>
          </cell>
          <cell r="C61" t="str">
            <v>Union</v>
          </cell>
          <cell r="D61">
            <v>152.22502050771698</v>
          </cell>
          <cell r="E61">
            <v>129.96266227700499</v>
          </cell>
        </row>
        <row r="62">
          <cell r="A62">
            <v>57</v>
          </cell>
          <cell r="B62">
            <v>57</v>
          </cell>
          <cell r="C62" t="str">
            <v>Vermilion</v>
          </cell>
          <cell r="D62">
            <v>782.10601397699304</v>
          </cell>
          <cell r="E62">
            <v>440.28342013699898</v>
          </cell>
        </row>
        <row r="63">
          <cell r="A63">
            <v>58</v>
          </cell>
          <cell r="B63">
            <v>58</v>
          </cell>
          <cell r="C63" t="str">
            <v>Vernon</v>
          </cell>
          <cell r="D63">
            <v>661.87853881188198</v>
          </cell>
          <cell r="E63">
            <v>489.44753923912299</v>
          </cell>
        </row>
        <row r="64">
          <cell r="A64">
            <v>59</v>
          </cell>
          <cell r="B64">
            <v>59</v>
          </cell>
          <cell r="C64" t="str">
            <v>Washington</v>
          </cell>
          <cell r="D64">
            <v>428.55400197611391</v>
          </cell>
          <cell r="E64">
            <v>310.79665995034901</v>
          </cell>
        </row>
        <row r="65">
          <cell r="A65">
            <v>60</v>
          </cell>
          <cell r="B65">
            <v>60</v>
          </cell>
          <cell r="C65" t="str">
            <v>Webster</v>
          </cell>
          <cell r="D65">
            <v>447</v>
          </cell>
          <cell r="E65">
            <v>329</v>
          </cell>
        </row>
        <row r="66">
          <cell r="A66">
            <v>61</v>
          </cell>
          <cell r="B66">
            <v>61</v>
          </cell>
          <cell r="C66" t="str">
            <v>West Baton Rouge</v>
          </cell>
          <cell r="D66">
            <v>396</v>
          </cell>
          <cell r="E66">
            <v>192</v>
          </cell>
        </row>
        <row r="67">
          <cell r="A67">
            <v>62</v>
          </cell>
          <cell r="B67">
            <v>62</v>
          </cell>
          <cell r="C67" t="str">
            <v>West Carroll</v>
          </cell>
          <cell r="D67">
            <v>161.145472582949</v>
          </cell>
          <cell r="E67">
            <v>103.854527417024</v>
          </cell>
        </row>
        <row r="68">
          <cell r="A68">
            <v>63</v>
          </cell>
          <cell r="B68">
            <v>63</v>
          </cell>
          <cell r="C68" t="str">
            <v>West Feliciana</v>
          </cell>
          <cell r="D68">
            <v>209.14298890439497</v>
          </cell>
          <cell r="E68">
            <v>139.900008610811</v>
          </cell>
        </row>
        <row r="69">
          <cell r="A69">
            <v>64</v>
          </cell>
          <cell r="B69">
            <v>64</v>
          </cell>
          <cell r="C69" t="str">
            <v>Winn</v>
          </cell>
          <cell r="D69">
            <v>175.79999999999799</v>
          </cell>
          <cell r="E69">
            <v>158.72714285599901</v>
          </cell>
        </row>
        <row r="70">
          <cell r="A70">
            <v>65</v>
          </cell>
          <cell r="B70">
            <v>65</v>
          </cell>
          <cell r="C70" t="str">
            <v>City of Monroe</v>
          </cell>
          <cell r="D70">
            <v>736.35070389873988</v>
          </cell>
          <cell r="E70">
            <v>535.66940587369606</v>
          </cell>
        </row>
        <row r="71">
          <cell r="A71">
            <v>66</v>
          </cell>
          <cell r="B71">
            <v>66</v>
          </cell>
          <cell r="C71" t="str">
            <v>City of Bogalusa</v>
          </cell>
          <cell r="D71">
            <v>167.582356456121</v>
          </cell>
          <cell r="E71">
            <v>127.41764354385801</v>
          </cell>
        </row>
        <row r="72">
          <cell r="A72">
            <v>67</v>
          </cell>
          <cell r="B72">
            <v>67</v>
          </cell>
          <cell r="C72" t="str">
            <v>Zachary Community</v>
          </cell>
          <cell r="D72">
            <v>416.97851241099499</v>
          </cell>
          <cell r="E72">
            <v>179.49451756399998</v>
          </cell>
        </row>
        <row r="73">
          <cell r="A73">
            <v>68</v>
          </cell>
          <cell r="B73">
            <v>68</v>
          </cell>
          <cell r="C73" t="str">
            <v>City of Baker</v>
          </cell>
          <cell r="D73">
            <v>119.28032029099602</v>
          </cell>
          <cell r="E73">
            <v>61.880952379999997</v>
          </cell>
        </row>
        <row r="74">
          <cell r="A74">
            <v>69</v>
          </cell>
          <cell r="B74">
            <v>69</v>
          </cell>
          <cell r="C74" t="str">
            <v>Central Community</v>
          </cell>
          <cell r="D74">
            <v>343.68751133299901</v>
          </cell>
          <cell r="E74">
            <v>116.313186813</v>
          </cell>
        </row>
        <row r="75">
          <cell r="A75">
            <v>36</v>
          </cell>
          <cell r="B75">
            <v>36</v>
          </cell>
          <cell r="C75" t="str">
            <v>Orleans</v>
          </cell>
          <cell r="D75">
            <v>4022.661845997834</v>
          </cell>
          <cell r="E75">
            <v>2104.6466203950695</v>
          </cell>
        </row>
        <row r="76">
          <cell r="A76"/>
          <cell r="B76"/>
          <cell r="C76" t="str">
            <v>Total City/Parish</v>
          </cell>
          <cell r="D76">
            <v>57313.755814738281</v>
          </cell>
          <cell r="E76">
            <v>37399.505075134432</v>
          </cell>
        </row>
        <row r="77">
          <cell r="A77"/>
          <cell r="B77"/>
          <cell r="C77"/>
          <cell r="D77"/>
          <cell r="E77"/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96</v>
          </cell>
          <cell r="E78">
            <v>36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27.533012818999996</v>
          </cell>
          <cell r="E79">
            <v>3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44</v>
          </cell>
          <cell r="E80">
            <v>20.076923076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66.273005707999999</v>
          </cell>
          <cell r="E81">
            <v>10.845512818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28.114285714000001</v>
          </cell>
          <cell r="E82">
            <v>4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46</v>
          </cell>
          <cell r="E83">
            <v>14.997435896999999</v>
          </cell>
        </row>
        <row r="84">
          <cell r="A84"/>
          <cell r="B84"/>
          <cell r="C84" t="str">
            <v>Total Lab &amp; State Approved Schools</v>
          </cell>
          <cell r="D84">
            <v>307.920304241</v>
          </cell>
          <cell r="E84">
            <v>88.919871791000006</v>
          </cell>
        </row>
        <row r="85">
          <cell r="A85"/>
          <cell r="B85"/>
          <cell r="C85"/>
          <cell r="D85"/>
          <cell r="E85"/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16.110593129999998</v>
          </cell>
          <cell r="E86">
            <v>10.279477808000001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29.849560439000001</v>
          </cell>
          <cell r="E87">
            <v>19.944645730996001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119.045045044999</v>
          </cell>
          <cell r="E88">
            <v>98.566535999999999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42</v>
          </cell>
          <cell r="E89">
            <v>24.1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53.678762623986998</v>
          </cell>
          <cell r="E90">
            <v>56.578896901997005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82.703846153000001</v>
          </cell>
          <cell r="E91">
            <v>102.58179486800002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12.840568971</v>
          </cell>
          <cell r="E92">
            <v>11.053527118000002</v>
          </cell>
        </row>
        <row r="93">
          <cell r="A93"/>
          <cell r="B93"/>
          <cell r="C93" t="str">
            <v>Total Legacy Type 2 Charter Schools</v>
          </cell>
          <cell r="D93">
            <v>356.22837636198602</v>
          </cell>
          <cell r="E93">
            <v>323.10487842699303</v>
          </cell>
        </row>
        <row r="94">
          <cell r="A94"/>
          <cell r="B94"/>
          <cell r="C94"/>
          <cell r="D94"/>
          <cell r="E94"/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64.536018495348983</v>
          </cell>
          <cell r="E95">
            <v>36.055266955257991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39.711644907</v>
          </cell>
          <cell r="E96">
            <v>11.866666666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47.687830687000002</v>
          </cell>
          <cell r="E97">
            <v>16.751322751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215</v>
          </cell>
          <cell r="E98">
            <v>66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66</v>
          </cell>
          <cell r="E99">
            <v>24.73076923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104</v>
          </cell>
          <cell r="E100">
            <v>33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77.973397434999995</v>
          </cell>
          <cell r="E101">
            <v>20.100000000000001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7.6896551720000001</v>
          </cell>
          <cell r="E102">
            <v>2.247191011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21.513170900000002</v>
          </cell>
          <cell r="E103">
            <v>11.706594278000001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45.99020075</v>
          </cell>
          <cell r="E104">
            <v>14.998195550998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6.7978107320000003</v>
          </cell>
          <cell r="E105">
            <v>6.2989053659999996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43.997290742999994</v>
          </cell>
          <cell r="E106">
            <v>19.996997890994002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47</v>
          </cell>
          <cell r="E107">
            <v>26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9</v>
          </cell>
          <cell r="E108">
            <v>6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23</v>
          </cell>
          <cell r="E109">
            <v>13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40.450925925589999</v>
          </cell>
          <cell r="E110">
            <v>13.111111110887999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43</v>
          </cell>
          <cell r="E111">
            <v>9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7</v>
          </cell>
          <cell r="E112">
            <v>7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61.234312748999997</v>
          </cell>
          <cell r="E113">
            <v>20.2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53</v>
          </cell>
          <cell r="E114">
            <v>9.2268760899999993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58.962519700000001</v>
          </cell>
          <cell r="E115">
            <v>38.909500117999997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34.809808611000001</v>
          </cell>
          <cell r="E116">
            <v>10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73.966666666000009</v>
          </cell>
          <cell r="E117">
            <v>26.966666666000002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52</v>
          </cell>
          <cell r="E118">
            <v>21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17.750197626999</v>
          </cell>
          <cell r="E119">
            <v>16.399999999999999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21.551049618</v>
          </cell>
          <cell r="E120">
            <v>5.1648377859999997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51.726315787999994</v>
          </cell>
          <cell r="E121">
            <v>47.931578946999998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14.786885245000001</v>
          </cell>
          <cell r="E122">
            <v>4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71</v>
          </cell>
          <cell r="E123">
            <v>36.5</v>
          </cell>
        </row>
        <row r="124">
          <cell r="A124" t="str">
            <v>WBX001</v>
          </cell>
          <cell r="B124" t="str">
            <v>WBX001</v>
          </cell>
          <cell r="C124" t="str">
            <v xml:space="preserve">GEO Next Generation HS </v>
          </cell>
          <cell r="D124">
            <v>10.095734901</v>
          </cell>
          <cell r="E124">
            <v>2</v>
          </cell>
        </row>
        <row r="125">
          <cell r="A125" t="str">
            <v>WBY001</v>
          </cell>
          <cell r="B125" t="str">
            <v>WBY001</v>
          </cell>
          <cell r="C125" t="str">
            <v>Red River Charter Academy</v>
          </cell>
          <cell r="D125">
            <v>11</v>
          </cell>
          <cell r="E125">
            <v>5</v>
          </cell>
        </row>
        <row r="126">
          <cell r="A126" t="str">
            <v>WJ5001</v>
          </cell>
          <cell r="B126" t="str">
            <v>WJ5001</v>
          </cell>
          <cell r="C126" t="str">
            <v>Collegiate Academy (EBR)</v>
          </cell>
          <cell r="D126">
            <v>35</v>
          </cell>
          <cell r="E126">
            <v>18</v>
          </cell>
        </row>
        <row r="127">
          <cell r="A127" t="str">
            <v>WZ8001</v>
          </cell>
          <cell r="B127" t="str">
            <v>W3A001</v>
          </cell>
          <cell r="C127" t="str">
            <v>GEO Prep Mid-City of Greater B. R.</v>
          </cell>
          <cell r="D127">
            <v>55.986455108000001</v>
          </cell>
          <cell r="E127">
            <v>39</v>
          </cell>
        </row>
        <row r="128">
          <cell r="A128"/>
          <cell r="B128"/>
          <cell r="C128" t="str">
            <v>Total New Type 2 Charter Schools</v>
          </cell>
          <cell r="D128">
            <v>1533.2178917599381</v>
          </cell>
          <cell r="E128">
            <v>638.162480417138</v>
          </cell>
        </row>
        <row r="129">
          <cell r="A129"/>
          <cell r="B129"/>
          <cell r="C129"/>
          <cell r="D129"/>
          <cell r="E129"/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66</v>
          </cell>
          <cell r="E130">
            <v>39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31</v>
          </cell>
          <cell r="E131">
            <v>8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22.697564304665999</v>
          </cell>
          <cell r="E132">
            <v>16.333333333332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18.666666666666</v>
          </cell>
          <cell r="E133">
            <v>14.333333333332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31</v>
          </cell>
          <cell r="E134">
            <v>22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37.698979590999997</v>
          </cell>
          <cell r="E135">
            <v>14.389784945000001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19.666666666666</v>
          </cell>
          <cell r="E136">
            <v>18.391136801331999</v>
          </cell>
        </row>
        <row r="137">
          <cell r="A137"/>
          <cell r="B137"/>
          <cell r="C137" t="str">
            <v>Total RSD/Type 5 Charters</v>
          </cell>
          <cell r="D137">
            <v>226.72987722899802</v>
          </cell>
          <cell r="E137">
            <v>132.447588412996</v>
          </cell>
        </row>
        <row r="138">
          <cell r="A138"/>
          <cell r="B138"/>
          <cell r="C138"/>
          <cell r="D138"/>
          <cell r="E138"/>
        </row>
        <row r="139">
          <cell r="A139"/>
          <cell r="B139"/>
          <cell r="C139" t="str">
            <v>MFP Total Statewide</v>
          </cell>
          <cell r="D139">
            <v>59737.852264330206</v>
          </cell>
          <cell r="E139">
            <v>38582.139894182561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D77"/>
  <sheetViews>
    <sheetView tabSelected="1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7" bestFit="1" customWidth="1"/>
    <col min="2" max="2" width="17.5703125" style="7" bestFit="1" customWidth="1"/>
    <col min="3" max="3" width="15.5703125" style="7" customWidth="1"/>
    <col min="4" max="9" width="14.7109375" style="7" customWidth="1"/>
    <col min="10" max="17" width="13.85546875" style="7" customWidth="1"/>
    <col min="18" max="24" width="14.7109375" style="7" customWidth="1"/>
    <col min="25" max="32" width="13.85546875" style="7" customWidth="1"/>
    <col min="33" max="35" width="14.7109375" style="7" customWidth="1"/>
    <col min="36" max="38" width="15.5703125" style="7" customWidth="1"/>
    <col min="39" max="39" width="15.7109375" style="7" bestFit="1" customWidth="1"/>
    <col min="40" max="40" width="16.42578125" style="7" customWidth="1"/>
    <col min="41" max="42" width="13.85546875" style="7" customWidth="1"/>
    <col min="43" max="45" width="15.5703125" style="7" customWidth="1"/>
    <col min="46" max="46" width="18" style="7" customWidth="1"/>
    <col min="47" max="48" width="17.5703125" style="7" customWidth="1"/>
    <col min="49" max="49" width="19" style="7" customWidth="1"/>
    <col min="50" max="52" width="16.7109375" style="7" customWidth="1"/>
    <col min="53" max="55" width="17.5703125" style="7" customWidth="1"/>
    <col min="56" max="56" width="19.28515625" style="7" customWidth="1"/>
    <col min="57" max="16384" width="8.85546875" style="7"/>
  </cols>
  <sheetData>
    <row r="1" spans="1:56" s="321" customFormat="1" ht="30" customHeight="1" x14ac:dyDescent="0.2">
      <c r="A1" s="1289" t="s">
        <v>79</v>
      </c>
      <c r="B1" s="1289"/>
      <c r="C1" s="1290" t="s">
        <v>444</v>
      </c>
      <c r="D1" s="1293" t="s">
        <v>445</v>
      </c>
      <c r="E1" s="1293"/>
      <c r="F1" s="1293"/>
      <c r="G1" s="1293"/>
      <c r="H1" s="1293"/>
      <c r="I1" s="1293"/>
      <c r="J1" s="1293" t="s">
        <v>445</v>
      </c>
      <c r="K1" s="1293"/>
      <c r="L1" s="1293"/>
      <c r="M1" s="1293"/>
      <c r="N1" s="1293"/>
      <c r="O1" s="1293"/>
      <c r="P1" s="1293"/>
      <c r="Q1" s="1293"/>
      <c r="R1" s="1293" t="s">
        <v>445</v>
      </c>
      <c r="S1" s="1293"/>
      <c r="T1" s="1293"/>
      <c r="U1" s="1293"/>
      <c r="V1" s="1293"/>
      <c r="W1" s="1293"/>
      <c r="X1" s="1293"/>
      <c r="Y1" s="1293" t="s">
        <v>445</v>
      </c>
      <c r="Z1" s="1293"/>
      <c r="AA1" s="1293"/>
      <c r="AB1" s="1293"/>
      <c r="AC1" s="1293"/>
      <c r="AD1" s="1293"/>
      <c r="AE1" s="1293"/>
      <c r="AF1" s="1293"/>
      <c r="AG1" s="1291" t="s">
        <v>445</v>
      </c>
      <c r="AH1" s="1291"/>
      <c r="AI1" s="1291"/>
      <c r="AJ1" s="1292"/>
      <c r="AK1" s="1290" t="s">
        <v>1185</v>
      </c>
      <c r="AL1" s="1290" t="s">
        <v>1085</v>
      </c>
      <c r="AM1" s="1290" t="s">
        <v>1334</v>
      </c>
      <c r="AN1" s="1297" t="s">
        <v>1109</v>
      </c>
      <c r="AO1" s="1297"/>
      <c r="AP1" s="1297"/>
      <c r="AQ1" s="1298" t="s">
        <v>228</v>
      </c>
      <c r="AR1" s="1298"/>
      <c r="AS1" s="1298"/>
      <c r="AT1" s="1290" t="s">
        <v>1188</v>
      </c>
      <c r="AU1" s="1294" t="s">
        <v>307</v>
      </c>
      <c r="AV1" s="1296"/>
      <c r="AW1" s="1290" t="s">
        <v>1189</v>
      </c>
      <c r="AX1" s="1290" t="s">
        <v>278</v>
      </c>
      <c r="AY1" s="1290" t="s">
        <v>279</v>
      </c>
      <c r="AZ1" s="1290" t="s">
        <v>270</v>
      </c>
      <c r="BA1" s="1294" t="s">
        <v>922</v>
      </c>
      <c r="BB1" s="1295"/>
      <c r="BC1" s="1296"/>
      <c r="BD1" s="1290" t="s">
        <v>1190</v>
      </c>
    </row>
    <row r="2" spans="1:56" s="321" customFormat="1" ht="103.5" customHeight="1" x14ac:dyDescent="0.2">
      <c r="A2" s="1289"/>
      <c r="B2" s="1289"/>
      <c r="C2" s="1290"/>
      <c r="D2" s="658" t="s">
        <v>1323</v>
      </c>
      <c r="E2" s="658" t="s">
        <v>1222</v>
      </c>
      <c r="F2" s="658" t="s">
        <v>1223</v>
      </c>
      <c r="G2" s="658" t="s">
        <v>1224</v>
      </c>
      <c r="H2" s="658" t="s">
        <v>1225</v>
      </c>
      <c r="I2" s="658" t="s">
        <v>1226</v>
      </c>
      <c r="J2" s="658" t="s">
        <v>1227</v>
      </c>
      <c r="K2" s="658" t="s">
        <v>1228</v>
      </c>
      <c r="L2" s="658" t="s">
        <v>1229</v>
      </c>
      <c r="M2" s="658" t="s">
        <v>1230</v>
      </c>
      <c r="N2" s="658" t="s">
        <v>1231</v>
      </c>
      <c r="O2" s="658" t="s">
        <v>1232</v>
      </c>
      <c r="P2" s="658" t="s">
        <v>1233</v>
      </c>
      <c r="Q2" s="658" t="s">
        <v>1234</v>
      </c>
      <c r="R2" s="658" t="s">
        <v>1235</v>
      </c>
      <c r="S2" s="658" t="s">
        <v>1236</v>
      </c>
      <c r="T2" s="658" t="s">
        <v>1237</v>
      </c>
      <c r="U2" s="658" t="s">
        <v>1238</v>
      </c>
      <c r="V2" s="658" t="s">
        <v>1239</v>
      </c>
      <c r="W2" s="658" t="s">
        <v>1240</v>
      </c>
      <c r="X2" s="658" t="s">
        <v>1241</v>
      </c>
      <c r="Y2" s="658" t="s">
        <v>1242</v>
      </c>
      <c r="Z2" s="658" t="s">
        <v>1243</v>
      </c>
      <c r="AA2" s="658" t="s">
        <v>1244</v>
      </c>
      <c r="AB2" s="658" t="s">
        <v>1245</v>
      </c>
      <c r="AC2" s="658" t="s">
        <v>1246</v>
      </c>
      <c r="AD2" s="658" t="s">
        <v>1247</v>
      </c>
      <c r="AE2" s="658" t="s">
        <v>1248</v>
      </c>
      <c r="AF2" s="880" t="s">
        <v>1249</v>
      </c>
      <c r="AG2" s="880" t="s">
        <v>1250</v>
      </c>
      <c r="AH2" s="658" t="s">
        <v>1251</v>
      </c>
      <c r="AI2" s="658" t="s">
        <v>1252</v>
      </c>
      <c r="AJ2" s="658" t="s">
        <v>442</v>
      </c>
      <c r="AK2" s="1290"/>
      <c r="AL2" s="1290"/>
      <c r="AM2" s="1290"/>
      <c r="AN2" s="839" t="s">
        <v>1429</v>
      </c>
      <c r="AO2" s="594" t="s">
        <v>501</v>
      </c>
      <c r="AP2" s="594" t="s">
        <v>502</v>
      </c>
      <c r="AQ2" s="850" t="s">
        <v>1186</v>
      </c>
      <c r="AR2" s="850" t="s">
        <v>1187</v>
      </c>
      <c r="AS2" s="850" t="s">
        <v>230</v>
      </c>
      <c r="AT2" s="1290"/>
      <c r="AU2" s="23" t="s">
        <v>302</v>
      </c>
      <c r="AV2" s="23" t="s">
        <v>1397</v>
      </c>
      <c r="AW2" s="1290"/>
      <c r="AX2" s="1290"/>
      <c r="AY2" s="1290"/>
      <c r="AZ2" s="1290"/>
      <c r="BA2" s="175" t="s">
        <v>1396</v>
      </c>
      <c r="BB2" s="175" t="s">
        <v>1169</v>
      </c>
      <c r="BC2" s="175" t="s">
        <v>368</v>
      </c>
      <c r="BD2" s="1290"/>
    </row>
    <row r="3" spans="1:56" s="321" customFormat="1" ht="12.75" hidden="1" customHeight="1" x14ac:dyDescent="0.2">
      <c r="A3" s="525"/>
      <c r="B3" s="525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603"/>
      <c r="AC3" s="603"/>
      <c r="AD3" s="603"/>
      <c r="AE3" s="592"/>
      <c r="AF3" s="880"/>
      <c r="AG3" s="880"/>
      <c r="AH3" s="524"/>
      <c r="AI3" s="524"/>
      <c r="AJ3" s="524"/>
      <c r="AK3" s="524"/>
      <c r="AL3" s="524"/>
      <c r="AM3" s="1061"/>
      <c r="AN3" s="345"/>
      <c r="AO3" s="346"/>
      <c r="AP3" s="346"/>
      <c r="AQ3" s="345"/>
      <c r="AR3" s="345"/>
      <c r="AS3" s="345"/>
      <c r="AT3" s="524"/>
      <c r="AU3" s="526"/>
      <c r="AV3" s="526"/>
      <c r="AW3" s="524"/>
      <c r="AX3" s="524"/>
      <c r="AY3" s="524"/>
      <c r="AZ3" s="524"/>
      <c r="BA3" s="526"/>
      <c r="BB3" s="526"/>
      <c r="BC3" s="526"/>
      <c r="BD3" s="524"/>
    </row>
    <row r="4" spans="1:56" s="13" customFormat="1" x14ac:dyDescent="0.2">
      <c r="A4" s="322"/>
      <c r="B4" s="323"/>
      <c r="C4" s="324">
        <f t="shared" ref="C4:M4" si="0">B4+1</f>
        <v>1</v>
      </c>
      <c r="D4" s="324">
        <f t="shared" si="0"/>
        <v>2</v>
      </c>
      <c r="E4" s="324">
        <f t="shared" si="0"/>
        <v>3</v>
      </c>
      <c r="F4" s="324">
        <f t="shared" si="0"/>
        <v>4</v>
      </c>
      <c r="G4" s="324">
        <f t="shared" si="0"/>
        <v>5</v>
      </c>
      <c r="H4" s="324">
        <f t="shared" si="0"/>
        <v>6</v>
      </c>
      <c r="I4" s="324">
        <f t="shared" si="0"/>
        <v>7</v>
      </c>
      <c r="J4" s="324">
        <f t="shared" si="0"/>
        <v>8</v>
      </c>
      <c r="K4" s="324">
        <f t="shared" si="0"/>
        <v>9</v>
      </c>
      <c r="L4" s="324">
        <f>K4+1</f>
        <v>10</v>
      </c>
      <c r="M4" s="324">
        <f t="shared" si="0"/>
        <v>11</v>
      </c>
      <c r="N4" s="324">
        <f t="shared" ref="N4:AN4" si="1">M4+1</f>
        <v>12</v>
      </c>
      <c r="O4" s="324">
        <f t="shared" si="1"/>
        <v>13</v>
      </c>
      <c r="P4" s="324">
        <f t="shared" si="1"/>
        <v>14</v>
      </c>
      <c r="Q4" s="324">
        <f t="shared" si="1"/>
        <v>15</v>
      </c>
      <c r="R4" s="324">
        <f t="shared" si="1"/>
        <v>16</v>
      </c>
      <c r="S4" s="324">
        <f t="shared" si="1"/>
        <v>17</v>
      </c>
      <c r="T4" s="324">
        <f t="shared" si="1"/>
        <v>18</v>
      </c>
      <c r="U4" s="324">
        <f t="shared" si="1"/>
        <v>19</v>
      </c>
      <c r="V4" s="324">
        <f t="shared" si="1"/>
        <v>20</v>
      </c>
      <c r="W4" s="324">
        <f t="shared" si="1"/>
        <v>21</v>
      </c>
      <c r="X4" s="324">
        <f t="shared" si="1"/>
        <v>22</v>
      </c>
      <c r="Y4" s="324">
        <f t="shared" si="1"/>
        <v>23</v>
      </c>
      <c r="Z4" s="324">
        <f t="shared" si="1"/>
        <v>24</v>
      </c>
      <c r="AA4" s="324">
        <f t="shared" si="1"/>
        <v>25</v>
      </c>
      <c r="AB4" s="324">
        <f t="shared" si="1"/>
        <v>26</v>
      </c>
      <c r="AC4" s="324">
        <f t="shared" si="1"/>
        <v>27</v>
      </c>
      <c r="AD4" s="324">
        <f t="shared" si="1"/>
        <v>28</v>
      </c>
      <c r="AE4" s="324">
        <f t="shared" si="1"/>
        <v>29</v>
      </c>
      <c r="AF4" s="324">
        <f t="shared" si="1"/>
        <v>30</v>
      </c>
      <c r="AG4" s="324">
        <f t="shared" si="1"/>
        <v>31</v>
      </c>
      <c r="AH4" s="324">
        <f t="shared" si="1"/>
        <v>32</v>
      </c>
      <c r="AI4" s="324">
        <f t="shared" si="1"/>
        <v>33</v>
      </c>
      <c r="AJ4" s="324">
        <f t="shared" si="1"/>
        <v>34</v>
      </c>
      <c r="AK4" s="324">
        <f t="shared" si="1"/>
        <v>35</v>
      </c>
      <c r="AL4" s="324">
        <f t="shared" si="1"/>
        <v>36</v>
      </c>
      <c r="AM4" s="324">
        <f t="shared" si="1"/>
        <v>37</v>
      </c>
      <c r="AN4" s="324">
        <f t="shared" si="1"/>
        <v>38</v>
      </c>
      <c r="AO4" s="324">
        <f t="shared" ref="AO4:BD4" si="2">AN4+1</f>
        <v>39</v>
      </c>
      <c r="AP4" s="324">
        <f t="shared" si="2"/>
        <v>40</v>
      </c>
      <c r="AQ4" s="324">
        <f t="shared" si="2"/>
        <v>41</v>
      </c>
      <c r="AR4" s="324">
        <f t="shared" si="2"/>
        <v>42</v>
      </c>
      <c r="AS4" s="324">
        <f t="shared" si="2"/>
        <v>43</v>
      </c>
      <c r="AT4" s="324">
        <f t="shared" si="2"/>
        <v>44</v>
      </c>
      <c r="AU4" s="324">
        <f t="shared" si="2"/>
        <v>45</v>
      </c>
      <c r="AV4" s="324">
        <f t="shared" si="2"/>
        <v>46</v>
      </c>
      <c r="AW4" s="324">
        <f t="shared" si="2"/>
        <v>47</v>
      </c>
      <c r="AX4" s="324">
        <f t="shared" si="2"/>
        <v>48</v>
      </c>
      <c r="AY4" s="324">
        <f t="shared" si="2"/>
        <v>49</v>
      </c>
      <c r="AZ4" s="324">
        <f t="shared" si="2"/>
        <v>50</v>
      </c>
      <c r="BA4" s="324">
        <f t="shared" si="2"/>
        <v>51</v>
      </c>
      <c r="BB4" s="324">
        <f t="shared" si="2"/>
        <v>52</v>
      </c>
      <c r="BC4" s="324">
        <f t="shared" si="2"/>
        <v>53</v>
      </c>
      <c r="BD4" s="324">
        <f t="shared" si="2"/>
        <v>54</v>
      </c>
    </row>
    <row r="5" spans="1:56" s="600" customFormat="1" ht="22.5" hidden="1" x14ac:dyDescent="0.2">
      <c r="A5" s="597"/>
      <c r="B5" s="597"/>
      <c r="C5" s="1063" t="s">
        <v>603</v>
      </c>
      <c r="D5" s="1063" t="s">
        <v>603</v>
      </c>
      <c r="E5" s="1063" t="s">
        <v>603</v>
      </c>
      <c r="F5" s="1063" t="s">
        <v>603</v>
      </c>
      <c r="G5" s="1063" t="s">
        <v>603</v>
      </c>
      <c r="H5" s="1063" t="s">
        <v>603</v>
      </c>
      <c r="I5" s="1063" t="s">
        <v>603</v>
      </c>
      <c r="J5" s="1063" t="s">
        <v>603</v>
      </c>
      <c r="K5" s="1063" t="s">
        <v>603</v>
      </c>
      <c r="L5" s="1063" t="s">
        <v>603</v>
      </c>
      <c r="M5" s="1063" t="s">
        <v>603</v>
      </c>
      <c r="N5" s="1063" t="s">
        <v>603</v>
      </c>
      <c r="O5" s="1063" t="s">
        <v>603</v>
      </c>
      <c r="P5" s="1063" t="s">
        <v>603</v>
      </c>
      <c r="Q5" s="1063" t="s">
        <v>603</v>
      </c>
      <c r="R5" s="1063" t="s">
        <v>603</v>
      </c>
      <c r="S5" s="1063" t="s">
        <v>603</v>
      </c>
      <c r="T5" s="1063" t="s">
        <v>603</v>
      </c>
      <c r="U5" s="1063" t="s">
        <v>603</v>
      </c>
      <c r="V5" s="1063" t="s">
        <v>603</v>
      </c>
      <c r="W5" s="1063" t="s">
        <v>603</v>
      </c>
      <c r="X5" s="1063" t="s">
        <v>603</v>
      </c>
      <c r="Y5" s="1063" t="s">
        <v>603</v>
      </c>
      <c r="Z5" s="1063" t="s">
        <v>603</v>
      </c>
      <c r="AA5" s="1063" t="s">
        <v>603</v>
      </c>
      <c r="AB5" s="1063" t="s">
        <v>603</v>
      </c>
      <c r="AC5" s="1063" t="s">
        <v>603</v>
      </c>
      <c r="AD5" s="1063" t="s">
        <v>603</v>
      </c>
      <c r="AE5" s="1063" t="s">
        <v>603</v>
      </c>
      <c r="AF5" s="1063" t="s">
        <v>603</v>
      </c>
      <c r="AG5" s="1063" t="s">
        <v>603</v>
      </c>
      <c r="AH5" s="1063" t="s">
        <v>603</v>
      </c>
      <c r="AI5" s="1063" t="s">
        <v>603</v>
      </c>
      <c r="AJ5" s="1063" t="s">
        <v>604</v>
      </c>
      <c r="AK5" s="1063" t="s">
        <v>604</v>
      </c>
      <c r="AL5" s="1063" t="s">
        <v>604</v>
      </c>
      <c r="AM5" s="1063"/>
      <c r="AN5" s="1063" t="s">
        <v>902</v>
      </c>
      <c r="AO5" s="1063" t="s">
        <v>604</v>
      </c>
      <c r="AP5" s="1063" t="s">
        <v>604</v>
      </c>
      <c r="AQ5" s="1063" t="s">
        <v>902</v>
      </c>
      <c r="AR5" s="1063" t="s">
        <v>902</v>
      </c>
      <c r="AS5" s="1063" t="s">
        <v>604</v>
      </c>
      <c r="AT5" s="1063" t="s">
        <v>604</v>
      </c>
      <c r="AU5" s="1063" t="s">
        <v>603</v>
      </c>
      <c r="AV5" s="1063" t="s">
        <v>603</v>
      </c>
      <c r="AW5" s="1063" t="s">
        <v>604</v>
      </c>
      <c r="AX5" s="1063" t="s">
        <v>604</v>
      </c>
      <c r="AY5" s="1063" t="s">
        <v>604</v>
      </c>
      <c r="AZ5" s="1063" t="s">
        <v>604</v>
      </c>
      <c r="BA5" s="1063" t="s">
        <v>603</v>
      </c>
      <c r="BB5" s="1063" t="s">
        <v>603</v>
      </c>
      <c r="BC5" s="1063" t="s">
        <v>603</v>
      </c>
      <c r="BD5" s="1063" t="s">
        <v>604</v>
      </c>
    </row>
    <row r="6" spans="1:56" s="600" customFormat="1" ht="22.5" x14ac:dyDescent="0.2">
      <c r="A6" s="597"/>
      <c r="B6" s="597"/>
      <c r="C6" s="1063" t="s">
        <v>272</v>
      </c>
      <c r="D6" s="1063" t="s">
        <v>1326</v>
      </c>
      <c r="E6" s="1063" t="s">
        <v>577</v>
      </c>
      <c r="F6" s="1063" t="s">
        <v>578</v>
      </c>
      <c r="G6" s="1063" t="s">
        <v>579</v>
      </c>
      <c r="H6" s="1063" t="s">
        <v>580</v>
      </c>
      <c r="I6" s="1063" t="s">
        <v>581</v>
      </c>
      <c r="J6" s="1063" t="s">
        <v>582</v>
      </c>
      <c r="K6" s="1063" t="s">
        <v>583</v>
      </c>
      <c r="L6" s="1063" t="s">
        <v>584</v>
      </c>
      <c r="M6" s="1063" t="s">
        <v>585</v>
      </c>
      <c r="N6" s="1063" t="s">
        <v>586</v>
      </c>
      <c r="O6" s="1063" t="s">
        <v>587</v>
      </c>
      <c r="P6" s="1063" t="s">
        <v>588</v>
      </c>
      <c r="Q6" s="1063" t="s">
        <v>589</v>
      </c>
      <c r="R6" s="1063" t="s">
        <v>590</v>
      </c>
      <c r="S6" s="1063" t="s">
        <v>591</v>
      </c>
      <c r="T6" s="1063" t="s">
        <v>592</v>
      </c>
      <c r="U6" s="1063" t="s">
        <v>593</v>
      </c>
      <c r="V6" s="1063" t="s">
        <v>594</v>
      </c>
      <c r="W6" s="1063" t="s">
        <v>595</v>
      </c>
      <c r="X6" s="1063" t="s">
        <v>596</v>
      </c>
      <c r="Y6" s="1063" t="s">
        <v>597</v>
      </c>
      <c r="Z6" s="1063" t="s">
        <v>598</v>
      </c>
      <c r="AA6" s="1063" t="s">
        <v>599</v>
      </c>
      <c r="AB6" s="1063" t="s">
        <v>1080</v>
      </c>
      <c r="AC6" s="1063" t="s">
        <v>1081</v>
      </c>
      <c r="AD6" s="1063" t="s">
        <v>1082</v>
      </c>
      <c r="AE6" s="1063" t="s">
        <v>901</v>
      </c>
      <c r="AF6" s="1063" t="s">
        <v>1176</v>
      </c>
      <c r="AG6" s="1063" t="s">
        <v>1177</v>
      </c>
      <c r="AH6" s="1063" t="s">
        <v>600</v>
      </c>
      <c r="AI6" s="1063" t="s">
        <v>601</v>
      </c>
      <c r="AJ6" s="1063" t="s">
        <v>1412</v>
      </c>
      <c r="AK6" s="1063" t="s">
        <v>1413</v>
      </c>
      <c r="AL6" s="1063" t="s">
        <v>1414</v>
      </c>
      <c r="AM6" s="1063" t="s">
        <v>1272</v>
      </c>
      <c r="AN6" s="1067" t="s">
        <v>818</v>
      </c>
      <c r="AO6" s="1067" t="s">
        <v>1415</v>
      </c>
      <c r="AP6" s="1067" t="s">
        <v>1416</v>
      </c>
      <c r="AQ6" s="1067" t="s">
        <v>951</v>
      </c>
      <c r="AR6" s="1067" t="s">
        <v>952</v>
      </c>
      <c r="AS6" s="1063" t="s">
        <v>1417</v>
      </c>
      <c r="AT6" s="1063" t="s">
        <v>1418</v>
      </c>
      <c r="AU6" s="1063" t="s">
        <v>245</v>
      </c>
      <c r="AV6" s="1063" t="s">
        <v>405</v>
      </c>
      <c r="AW6" s="1063" t="s">
        <v>1419</v>
      </c>
      <c r="AX6" s="874" t="s">
        <v>1420</v>
      </c>
      <c r="AY6" s="1063" t="s">
        <v>1421</v>
      </c>
      <c r="AZ6" s="1063" t="s">
        <v>1437</v>
      </c>
      <c r="BA6" s="1063" t="s">
        <v>273</v>
      </c>
      <c r="BB6" s="1063" t="s">
        <v>289</v>
      </c>
      <c r="BC6" s="1063" t="s">
        <v>361</v>
      </c>
      <c r="BD6" s="1063" t="s">
        <v>1422</v>
      </c>
    </row>
    <row r="7" spans="1:56" ht="15.6" customHeight="1" x14ac:dyDescent="0.2">
      <c r="A7" s="325">
        <v>1</v>
      </c>
      <c r="B7" s="326" t="s">
        <v>5</v>
      </c>
      <c r="C7" s="33">
        <f>'3_Levels 1&amp;2'!AP7</f>
        <v>54517701</v>
      </c>
      <c r="D7" s="33">
        <v>0</v>
      </c>
      <c r="E7" s="33">
        <f>-'5C1A_Madison'!$R7</f>
        <v>0</v>
      </c>
      <c r="F7" s="33">
        <f>-'5C1B_DArbonne'!$R7</f>
        <v>0</v>
      </c>
      <c r="G7" s="33">
        <f>-'5C1C_Intl High'!$R7</f>
        <v>0</v>
      </c>
      <c r="H7" s="33">
        <f>-'5C1D_NOMMA'!$R7</f>
        <v>0</v>
      </c>
      <c r="I7" s="33">
        <f>-'5C1E_LFNO'!$R7</f>
        <v>0</v>
      </c>
      <c r="J7" s="33">
        <f>-'5C1F_L.C. Charter'!$R7</f>
        <v>0</v>
      </c>
      <c r="K7" s="33">
        <f>-'5C1G_JS Clark'!$R7</f>
        <v>-5381</v>
      </c>
      <c r="L7" s="33">
        <f>-'5C1H_Southwest'!$R7</f>
        <v>0</v>
      </c>
      <c r="M7" s="33">
        <f>-'5C1I_LA Key'!$R7</f>
        <v>0</v>
      </c>
      <c r="N7" s="33">
        <f>-'5C1J_JCFA-East'!$R7</f>
        <v>0</v>
      </c>
      <c r="O7" s="33">
        <f>-'5C1M_GEO Mid'!$R7</f>
        <v>0</v>
      </c>
      <c r="P7" s="33">
        <f>-'5C1N_Delta'!$R7</f>
        <v>0</v>
      </c>
      <c r="Q7" s="33">
        <f>-'5C1O_Impact'!$R7</f>
        <v>0</v>
      </c>
      <c r="R7" s="33">
        <f>-'5C1Q_Advantage'!$R7</f>
        <v>0</v>
      </c>
      <c r="S7" s="33">
        <f>-'5C1R_Iberville'!$R7</f>
        <v>0</v>
      </c>
      <c r="T7" s="33">
        <f>-'5C1S_LC Col Prep'!$R7</f>
        <v>0</v>
      </c>
      <c r="U7" s="33">
        <f>-'5C1T_Northeast'!$R7</f>
        <v>0</v>
      </c>
      <c r="V7" s="33">
        <f>-'5C1U_Acadiana Ren'!$R7</f>
        <v>-10095</v>
      </c>
      <c r="W7" s="33">
        <f>-'5C1V_Laf Ren'!$R7</f>
        <v>-132986</v>
      </c>
      <c r="X7" s="33">
        <f>-'5C1W_Willow'!$R7</f>
        <v>-51013</v>
      </c>
      <c r="Y7" s="33">
        <f>-'5C1Y_GEO'!$R7</f>
        <v>0</v>
      </c>
      <c r="Z7" s="33">
        <f>-'5C1Z_Lincoln Prep'!$R7</f>
        <v>0</v>
      </c>
      <c r="AA7" s="33">
        <f>-'5C1AD_Greater'!$R7</f>
        <v>0</v>
      </c>
      <c r="AB7" s="33">
        <f>-'5C1AE_Noble Minds'!$R7</f>
        <v>0</v>
      </c>
      <c r="AC7" s="33">
        <f>-'5C1AF_JCFA-Laf'!$R7</f>
        <v>-19861</v>
      </c>
      <c r="AD7" s="33">
        <f>-'5C1AG_Collegiate'!$R7</f>
        <v>0</v>
      </c>
      <c r="AE7" s="33">
        <f>-'5C1AH_BRUP'!$R7</f>
        <v>0</v>
      </c>
      <c r="AF7" s="33">
        <f>-'5C1AI_Harmony'!$R7</f>
        <v>0</v>
      </c>
      <c r="AG7" s="33">
        <f>-'5C1AJ_Athlos'!$R7</f>
        <v>0</v>
      </c>
      <c r="AH7" s="33">
        <f>-('5C2_LAVCA'!$R7+'5C2_LAVCA'!$S7)</f>
        <v>-213977</v>
      </c>
      <c r="AI7" s="33">
        <f>-('5C3_UnvView'!$R7+'5C3_UnvView'!$S7)</f>
        <v>-191582</v>
      </c>
      <c r="AJ7" s="32">
        <f t="shared" ref="AJ7:AJ38" si="3">SUM(D7:AI7)</f>
        <v>-624895</v>
      </c>
      <c r="AK7" s="32">
        <f t="shared" ref="AK7:AK38" si="4">SUM(C7:AI7)</f>
        <v>53892806</v>
      </c>
      <c r="AL7" s="32">
        <f>ROUND(AK7/'8_2.1.19 SIS'!C7,0)</f>
        <v>5769</v>
      </c>
      <c r="AM7" s="32">
        <f>'3B_Pay Raise'!O7</f>
        <v>1233217</v>
      </c>
      <c r="AN7" s="34">
        <f>'[1]LEA Summary'!$K7</f>
        <v>8720</v>
      </c>
      <c r="AO7" s="33">
        <f>IF(AN7&gt;0,AN7,0)</f>
        <v>8720</v>
      </c>
      <c r="AP7" s="33">
        <f>IF(AN7&lt;0,AN7,0)</f>
        <v>0</v>
      </c>
      <c r="AQ7" s="33">
        <f>VLOOKUP($A7,'[2]Oct_MidYear Adj'!$A$7:$N$137,10,FALSE)</f>
        <v>617283</v>
      </c>
      <c r="AR7" s="33">
        <f>VLOOKUP($A7,'[3]Feb_MidYear Adj'!$A$7:$N$137,10,FALSE)</f>
        <v>-297104</v>
      </c>
      <c r="AS7" s="34">
        <f>SUM(AQ7:AR7)</f>
        <v>320179</v>
      </c>
      <c r="AT7" s="32">
        <f>AK7+AM7+AN7+AS7</f>
        <v>55454922</v>
      </c>
      <c r="AU7" s="33">
        <f>'4_Level 4'!E7</f>
        <v>0</v>
      </c>
      <c r="AV7" s="33">
        <f>'4_Level 4'!Q7</f>
        <v>236826</v>
      </c>
      <c r="AW7" s="32">
        <f t="shared" ref="AW7:AW38" si="5">ROUND(SUM(AT7:AV7),0)</f>
        <v>55691748</v>
      </c>
      <c r="AX7" s="33">
        <f>('[4]2_State Distrib and Adjs'!AZ7*2)+'[5]2_State Distrib and Adjs'!AZ7+('[6]2_State Distrib and Adjs'!AZ7*3)+('[7]2_State Distrib and Adjs'!AZ7*2)</f>
        <v>36941338</v>
      </c>
      <c r="AY7" s="33">
        <f>AW7-AX7</f>
        <v>18750410</v>
      </c>
      <c r="AZ7" s="33">
        <f t="shared" ref="AZ7:AZ38" si="6">ROUND(AY7/$AZ$77,0)</f>
        <v>4687603</v>
      </c>
      <c r="BA7" s="33">
        <f>'4_Level 4'!J7</f>
        <v>0</v>
      </c>
      <c r="BB7" s="33">
        <f>'4_Level 4'!L7</f>
        <v>292092</v>
      </c>
      <c r="BC7" s="33">
        <f>'4_Level 4'!M7</f>
        <v>0</v>
      </c>
      <c r="BD7" s="32">
        <f t="shared" ref="BD7:BD38" si="7">AW7+BA7+BB7+BC7</f>
        <v>55983840</v>
      </c>
    </row>
    <row r="8" spans="1:56" ht="15.6" customHeight="1" x14ac:dyDescent="0.2">
      <c r="A8" s="327">
        <v>2</v>
      </c>
      <c r="B8" s="328" t="s">
        <v>6</v>
      </c>
      <c r="C8" s="329">
        <f>'3_Levels 1&amp;2'!AP8</f>
        <v>29904370</v>
      </c>
      <c r="D8" s="329">
        <v>0</v>
      </c>
      <c r="E8" s="329">
        <f>-'5C1A_Madison'!$R8</f>
        <v>0</v>
      </c>
      <c r="F8" s="329">
        <f>-'5C1B_DArbonne'!$R8</f>
        <v>0</v>
      </c>
      <c r="G8" s="329">
        <f>-'5C1C_Intl High'!$R8</f>
        <v>0</v>
      </c>
      <c r="H8" s="329">
        <f>-'5C1D_NOMMA'!$R8</f>
        <v>0</v>
      </c>
      <c r="I8" s="329">
        <f>-'5C1E_LFNO'!$R8</f>
        <v>0</v>
      </c>
      <c r="J8" s="329">
        <f>-'5C1F_L.C. Charter'!$R8</f>
        <v>0</v>
      </c>
      <c r="K8" s="329">
        <f>-'5C1G_JS Clark'!$R8</f>
        <v>0</v>
      </c>
      <c r="L8" s="329">
        <f>-'5C1H_Southwest'!$R8</f>
        <v>0</v>
      </c>
      <c r="M8" s="329">
        <f>-'5C1I_LA Key'!$R8</f>
        <v>0</v>
      </c>
      <c r="N8" s="329">
        <f>-'5C1J_JCFA-East'!$R8</f>
        <v>0</v>
      </c>
      <c r="O8" s="329">
        <f>-'5C1M_GEO Mid'!$R8</f>
        <v>0</v>
      </c>
      <c r="P8" s="329">
        <f>-'5C1N_Delta'!$R8</f>
        <v>0</v>
      </c>
      <c r="Q8" s="329">
        <f>-'5C1O_Impact'!$R8</f>
        <v>0</v>
      </c>
      <c r="R8" s="329">
        <f>-'5C1Q_Advantage'!$R8</f>
        <v>0</v>
      </c>
      <c r="S8" s="329">
        <f>-'5C1R_Iberville'!$R8</f>
        <v>0</v>
      </c>
      <c r="T8" s="329">
        <f>-'5C1S_LC Col Prep'!$R8</f>
        <v>0</v>
      </c>
      <c r="U8" s="329">
        <f>-'5C1T_Northeast'!$R8</f>
        <v>0</v>
      </c>
      <c r="V8" s="329">
        <f>-'5C1U_Acadiana Ren'!$R8</f>
        <v>0</v>
      </c>
      <c r="W8" s="329">
        <f>-'5C1V_Laf Ren'!$R8</f>
        <v>0</v>
      </c>
      <c r="X8" s="329">
        <f>-'5C1W_Willow'!$R8</f>
        <v>0</v>
      </c>
      <c r="Y8" s="329">
        <f>-'5C1Y_GEO'!$R8</f>
        <v>0</v>
      </c>
      <c r="Z8" s="329">
        <f>-'5C1Z_Lincoln Prep'!$R8</f>
        <v>0</v>
      </c>
      <c r="AA8" s="329">
        <f>-'5C1AD_Greater'!$R8</f>
        <v>0</v>
      </c>
      <c r="AB8" s="329">
        <f>-'5C1AE_Noble Minds'!$R8</f>
        <v>0</v>
      </c>
      <c r="AC8" s="329">
        <f>-'5C1AF_JCFA-Laf'!$R8</f>
        <v>0</v>
      </c>
      <c r="AD8" s="329">
        <f>-'5C1AG_Collegiate'!$R8</f>
        <v>0</v>
      </c>
      <c r="AE8" s="329">
        <f>-'5C1AH_BRUP'!$R8</f>
        <v>0</v>
      </c>
      <c r="AF8" s="329">
        <f>-'5C1AI_Harmony'!$R8</f>
        <v>0</v>
      </c>
      <c r="AG8" s="329">
        <f>-'5C1AJ_Athlos'!$R8</f>
        <v>0</v>
      </c>
      <c r="AH8" s="329">
        <f>-('5C2_LAVCA'!$R8+'5C2_LAVCA'!$S8)</f>
        <v>-53242</v>
      </c>
      <c r="AI8" s="329">
        <f>-('5C3_UnvView'!$R8+'5C3_UnvView'!$S8)</f>
        <v>-57553</v>
      </c>
      <c r="AJ8" s="330">
        <f t="shared" si="3"/>
        <v>-110795</v>
      </c>
      <c r="AK8" s="330">
        <f t="shared" si="4"/>
        <v>29793575</v>
      </c>
      <c r="AL8" s="330">
        <f>ROUND(AK8/'8_2.1.19 SIS'!C8,0)</f>
        <v>7473</v>
      </c>
      <c r="AM8" s="330">
        <f>'3B_Pay Raise'!O8</f>
        <v>637588</v>
      </c>
      <c r="AN8" s="331">
        <f>'[1]LEA Summary'!$K8</f>
        <v>66600</v>
      </c>
      <c r="AO8" s="329">
        <f t="shared" ref="AO8:AO71" si="8">IF(AN8&gt;0,AN8,0)</f>
        <v>66600</v>
      </c>
      <c r="AP8" s="329">
        <f t="shared" ref="AP8:AP71" si="9">IF(AN8&lt;0,AN8,0)</f>
        <v>0</v>
      </c>
      <c r="AQ8" s="329">
        <f>VLOOKUP($A8,'[2]Oct_MidYear Adj'!$A$7:$N$137,10,FALSE)</f>
        <v>-44838</v>
      </c>
      <c r="AR8" s="329">
        <f>VLOOKUP($A8,'[3]Feb_MidYear Adj'!$A$7:$N$137,10,FALSE)</f>
        <v>-235400</v>
      </c>
      <c r="AS8" s="331">
        <f t="shared" ref="AS8:AS71" si="10">SUM(AQ8:AR8)</f>
        <v>-280238</v>
      </c>
      <c r="AT8" s="330">
        <f t="shared" ref="AT8:AT71" si="11">AK8+AM8+AN8+AS8</f>
        <v>30217525</v>
      </c>
      <c r="AU8" s="329">
        <f>'4_Level 4'!E8</f>
        <v>0</v>
      </c>
      <c r="AV8" s="329">
        <f>'4_Level 4'!Q8</f>
        <v>100772</v>
      </c>
      <c r="AW8" s="330">
        <f t="shared" si="5"/>
        <v>30318297</v>
      </c>
      <c r="AX8" s="329">
        <f>('[4]2_State Distrib and Adjs'!AZ8*2)+'[5]2_State Distrib and Adjs'!AZ8+('[6]2_State Distrib and Adjs'!AZ8*3)+('[7]2_State Distrib and Adjs'!AZ8*2)</f>
        <v>20411793</v>
      </c>
      <c r="AY8" s="329">
        <f t="shared" ref="AY8:AY71" si="12">AW8-AX8</f>
        <v>9906504</v>
      </c>
      <c r="AZ8" s="329">
        <f t="shared" si="6"/>
        <v>2476626</v>
      </c>
      <c r="BA8" s="329">
        <f>'4_Level 4'!J8</f>
        <v>0</v>
      </c>
      <c r="BB8" s="329">
        <f>'4_Level 4'!L8</f>
        <v>75915</v>
      </c>
      <c r="BC8" s="329">
        <f>'4_Level 4'!M8</f>
        <v>0</v>
      </c>
      <c r="BD8" s="330">
        <f t="shared" si="7"/>
        <v>30394212</v>
      </c>
    </row>
    <row r="9" spans="1:56" ht="15.6" customHeight="1" x14ac:dyDescent="0.2">
      <c r="A9" s="327">
        <v>3</v>
      </c>
      <c r="B9" s="328" t="s">
        <v>7</v>
      </c>
      <c r="C9" s="329">
        <f>'3_Levels 1&amp;2'!AP9</f>
        <v>107284156</v>
      </c>
      <c r="D9" s="329">
        <v>0</v>
      </c>
      <c r="E9" s="329">
        <f>-'5C1A_Madison'!$R9</f>
        <v>-12458</v>
      </c>
      <c r="F9" s="329">
        <f>-'5C1B_DArbonne'!$R9</f>
        <v>0</v>
      </c>
      <c r="G9" s="329">
        <f>-'5C1C_Intl High'!$R9</f>
        <v>0</v>
      </c>
      <c r="H9" s="329">
        <f>-'5C1D_NOMMA'!$R9</f>
        <v>0</v>
      </c>
      <c r="I9" s="329">
        <f>-'5C1E_LFNO'!$R9</f>
        <v>0</v>
      </c>
      <c r="J9" s="329">
        <f>-'5C1F_L.C. Charter'!$R9</f>
        <v>0</v>
      </c>
      <c r="K9" s="329">
        <f>-'5C1G_JS Clark'!$R9</f>
        <v>0</v>
      </c>
      <c r="L9" s="329">
        <f>-'5C1H_Southwest'!$R9</f>
        <v>0</v>
      </c>
      <c r="M9" s="329">
        <f>-'5C1I_LA Key'!$R9</f>
        <v>-68366</v>
      </c>
      <c r="N9" s="329">
        <f>-'5C1J_JCFA-East'!$R9</f>
        <v>0</v>
      </c>
      <c r="O9" s="329">
        <f>-'5C1M_GEO Mid'!$R9</f>
        <v>-15996</v>
      </c>
      <c r="P9" s="329">
        <f>-'5C1N_Delta'!$R9</f>
        <v>0</v>
      </c>
      <c r="Q9" s="329">
        <f>-'5C1O_Impact'!$R9</f>
        <v>0</v>
      </c>
      <c r="R9" s="329">
        <f>-'5C1Q_Advantage'!$R9</f>
        <v>0</v>
      </c>
      <c r="S9" s="329">
        <f>-'5C1R_Iberville'!$R9</f>
        <v>-72479</v>
      </c>
      <c r="T9" s="329">
        <f>-'5C1S_LC Col Prep'!$R9</f>
        <v>0</v>
      </c>
      <c r="U9" s="329">
        <f>-'5C1T_Northeast'!$R9</f>
        <v>0</v>
      </c>
      <c r="V9" s="329">
        <f>-'5C1U_Acadiana Ren'!$R9</f>
        <v>0</v>
      </c>
      <c r="W9" s="329">
        <f>-'5C1V_Laf Ren'!$R9</f>
        <v>0</v>
      </c>
      <c r="X9" s="329">
        <f>-'5C1W_Willow'!$R9</f>
        <v>0</v>
      </c>
      <c r="Y9" s="329">
        <f>-'5C1Y_GEO'!$R9</f>
        <v>0</v>
      </c>
      <c r="Z9" s="329">
        <f>-'5C1Z_Lincoln Prep'!$R9</f>
        <v>0</v>
      </c>
      <c r="AA9" s="329">
        <f>-'5C1AD_Greater'!$R9</f>
        <v>-18249</v>
      </c>
      <c r="AB9" s="329">
        <f>-'5C1AE_Noble Minds'!$R9</f>
        <v>0</v>
      </c>
      <c r="AC9" s="329">
        <f>-'5C1AF_JCFA-Laf'!$R9</f>
        <v>0</v>
      </c>
      <c r="AD9" s="329">
        <f>-'5C1AG_Collegiate'!$R9</f>
        <v>0</v>
      </c>
      <c r="AE9" s="329">
        <f>-'5C1AH_BRUP'!$R9</f>
        <v>0</v>
      </c>
      <c r="AF9" s="329">
        <f>-'5C1AI_Harmony'!$R9</f>
        <v>0</v>
      </c>
      <c r="AG9" s="329">
        <f>-'5C1AJ_Athlos'!$R9</f>
        <v>0</v>
      </c>
      <c r="AH9" s="329">
        <f>-('5C2_LAVCA'!$R9+'5C2_LAVCA'!$S9)</f>
        <v>-197401</v>
      </c>
      <c r="AI9" s="329">
        <f>-('5C3_UnvView'!$R9+'5C3_UnvView'!$S9)</f>
        <v>-460022</v>
      </c>
      <c r="AJ9" s="330">
        <f t="shared" si="3"/>
        <v>-844971</v>
      </c>
      <c r="AK9" s="330">
        <f t="shared" si="4"/>
        <v>106439185</v>
      </c>
      <c r="AL9" s="330">
        <f>ROUND(AK9/'8_2.1.19 SIS'!C9,0)</f>
        <v>4793</v>
      </c>
      <c r="AM9" s="330">
        <f>'3B_Pay Raise'!O9</f>
        <v>3039160</v>
      </c>
      <c r="AN9" s="331">
        <f>'[1]LEA Summary'!$K9</f>
        <v>-93676</v>
      </c>
      <c r="AO9" s="329">
        <f t="shared" si="8"/>
        <v>0</v>
      </c>
      <c r="AP9" s="329">
        <f t="shared" si="9"/>
        <v>-93676</v>
      </c>
      <c r="AQ9" s="329">
        <f>VLOOKUP($A9,'[2]Oct_MidYear Adj'!$A$7:$N$137,10,FALSE)</f>
        <v>2406086</v>
      </c>
      <c r="AR9" s="329">
        <f>VLOOKUP($A9,'[3]Feb_MidYear Adj'!$A$7:$N$137,10,FALSE)</f>
        <v>-369061</v>
      </c>
      <c r="AS9" s="331">
        <f t="shared" si="10"/>
        <v>2037025</v>
      </c>
      <c r="AT9" s="330">
        <f t="shared" si="11"/>
        <v>111421694</v>
      </c>
      <c r="AU9" s="329">
        <f>'4_Level 4'!E9</f>
        <v>0</v>
      </c>
      <c r="AV9" s="329">
        <f>'4_Level 4'!Q9</f>
        <v>587109</v>
      </c>
      <c r="AW9" s="330">
        <f t="shared" si="5"/>
        <v>112008803</v>
      </c>
      <c r="AX9" s="329">
        <f>('[4]2_State Distrib and Adjs'!AZ9*2)+'[5]2_State Distrib and Adjs'!AZ9+('[6]2_State Distrib and Adjs'!AZ9*3)+('[7]2_State Distrib and Adjs'!AZ9*2)</f>
        <v>73302345</v>
      </c>
      <c r="AY9" s="329">
        <f t="shared" si="12"/>
        <v>38706458</v>
      </c>
      <c r="AZ9" s="329">
        <f t="shared" si="6"/>
        <v>9676615</v>
      </c>
      <c r="BA9" s="329">
        <f>'4_Level 4'!J9</f>
        <v>0</v>
      </c>
      <c r="BB9" s="329">
        <f>'4_Level 4'!L9</f>
        <v>856755</v>
      </c>
      <c r="BC9" s="329">
        <f>'4_Level 4'!M9</f>
        <v>283015</v>
      </c>
      <c r="BD9" s="330">
        <f t="shared" si="7"/>
        <v>113148573</v>
      </c>
    </row>
    <row r="10" spans="1:56" ht="15.6" customHeight="1" x14ac:dyDescent="0.2">
      <c r="A10" s="327">
        <v>4</v>
      </c>
      <c r="B10" s="328" t="s">
        <v>8</v>
      </c>
      <c r="C10" s="329">
        <f>'3_Levels 1&amp;2'!AP10</f>
        <v>21364549</v>
      </c>
      <c r="D10" s="329">
        <v>0</v>
      </c>
      <c r="E10" s="329">
        <f>-'5C1A_Madison'!$R10</f>
        <v>0</v>
      </c>
      <c r="F10" s="329">
        <f>-'5C1B_DArbonne'!$R10</f>
        <v>0</v>
      </c>
      <c r="G10" s="329">
        <f>-'5C1C_Intl High'!$R10</f>
        <v>0</v>
      </c>
      <c r="H10" s="329">
        <f>-'5C1D_NOMMA'!$R10</f>
        <v>0</v>
      </c>
      <c r="I10" s="329">
        <f>-'5C1E_LFNO'!$R10</f>
        <v>0</v>
      </c>
      <c r="J10" s="329">
        <f>-'5C1F_L.C. Charter'!$R10</f>
        <v>0</v>
      </c>
      <c r="K10" s="329">
        <f>-'5C1G_JS Clark'!$R10</f>
        <v>0</v>
      </c>
      <c r="L10" s="329">
        <f>-'5C1H_Southwest'!$R10</f>
        <v>0</v>
      </c>
      <c r="M10" s="329">
        <f>-'5C1I_LA Key'!$R10</f>
        <v>0</v>
      </c>
      <c r="N10" s="329">
        <f>-'5C1J_JCFA-East'!$R10</f>
        <v>0</v>
      </c>
      <c r="O10" s="329">
        <f>-'5C1M_GEO Mid'!$R10</f>
        <v>0</v>
      </c>
      <c r="P10" s="329">
        <f>-'5C1N_Delta'!$R10</f>
        <v>0</v>
      </c>
      <c r="Q10" s="329">
        <f>-'5C1O_Impact'!$R10</f>
        <v>0</v>
      </c>
      <c r="R10" s="329">
        <f>-'5C1Q_Advantage'!$R10</f>
        <v>0</v>
      </c>
      <c r="S10" s="329">
        <f>-'5C1R_Iberville'!$R10</f>
        <v>-5316</v>
      </c>
      <c r="T10" s="329">
        <f>-'5C1S_LC Col Prep'!$R10</f>
        <v>0</v>
      </c>
      <c r="U10" s="329">
        <f>-'5C1T_Northeast'!$R10</f>
        <v>0</v>
      </c>
      <c r="V10" s="329">
        <f>-'5C1U_Acadiana Ren'!$R10</f>
        <v>0</v>
      </c>
      <c r="W10" s="329">
        <f>-'5C1V_Laf Ren'!$R10</f>
        <v>0</v>
      </c>
      <c r="X10" s="329">
        <f>-'5C1W_Willow'!$R10</f>
        <v>0</v>
      </c>
      <c r="Y10" s="329">
        <f>-'5C1Y_GEO'!$R10</f>
        <v>0</v>
      </c>
      <c r="Z10" s="329">
        <f>-'5C1Z_Lincoln Prep'!$R10</f>
        <v>0</v>
      </c>
      <c r="AA10" s="329">
        <f>-'5C1AD_Greater'!$R10</f>
        <v>0</v>
      </c>
      <c r="AB10" s="329">
        <f>-'5C1AE_Noble Minds'!$R10</f>
        <v>0</v>
      </c>
      <c r="AC10" s="329">
        <f>-'5C1AF_JCFA-Laf'!$R10</f>
        <v>0</v>
      </c>
      <c r="AD10" s="329">
        <f>-'5C1AG_Collegiate'!$R10</f>
        <v>0</v>
      </c>
      <c r="AE10" s="329">
        <f>-'5C1AH_BRUP'!$R10</f>
        <v>0</v>
      </c>
      <c r="AF10" s="329">
        <f>-'5C1AI_Harmony'!$R10</f>
        <v>0</v>
      </c>
      <c r="AG10" s="329">
        <f>-'5C1AJ_Athlos'!$R10</f>
        <v>0</v>
      </c>
      <c r="AH10" s="329">
        <f>-('5C2_LAVCA'!$R10+'5C2_LAVCA'!$S10)</f>
        <v>-69442</v>
      </c>
      <c r="AI10" s="329">
        <f>-('5C3_UnvView'!$R10+'5C3_UnvView'!$S10)</f>
        <v>-85284</v>
      </c>
      <c r="AJ10" s="330">
        <f t="shared" si="3"/>
        <v>-160042</v>
      </c>
      <c r="AK10" s="330">
        <f t="shared" si="4"/>
        <v>21204507</v>
      </c>
      <c r="AL10" s="330">
        <f>ROUND(AK10/'8_2.1.19 SIS'!C10,0)</f>
        <v>6792</v>
      </c>
      <c r="AM10" s="330">
        <f>'3B_Pay Raise'!O10</f>
        <v>442662</v>
      </c>
      <c r="AN10" s="331">
        <f>'[1]LEA Summary'!$K10</f>
        <v>-6734</v>
      </c>
      <c r="AO10" s="329">
        <f t="shared" si="8"/>
        <v>0</v>
      </c>
      <c r="AP10" s="329">
        <f t="shared" si="9"/>
        <v>-6734</v>
      </c>
      <c r="AQ10" s="329">
        <f>VLOOKUP($A10,'[2]Oct_MidYear Adj'!$A$7:$N$137,10,FALSE)</f>
        <v>-570528</v>
      </c>
      <c r="AR10" s="329">
        <f>VLOOKUP($A10,'[3]Feb_MidYear Adj'!$A$7:$N$137,10,FALSE)</f>
        <v>3396</v>
      </c>
      <c r="AS10" s="331">
        <f t="shared" si="10"/>
        <v>-567132</v>
      </c>
      <c r="AT10" s="330">
        <f t="shared" si="11"/>
        <v>21073303</v>
      </c>
      <c r="AU10" s="329">
        <f>'4_Level 4'!E10</f>
        <v>42000</v>
      </c>
      <c r="AV10" s="329">
        <f>'4_Level 4'!Q10</f>
        <v>84665</v>
      </c>
      <c r="AW10" s="330">
        <f t="shared" si="5"/>
        <v>21199968</v>
      </c>
      <c r="AX10" s="329">
        <f>('[4]2_State Distrib and Adjs'!AZ10*2)+'[5]2_State Distrib and Adjs'!AZ10+('[6]2_State Distrib and Adjs'!AZ10*3)+('[7]2_State Distrib and Adjs'!AZ10*2)</f>
        <v>14515736</v>
      </c>
      <c r="AY10" s="329">
        <f t="shared" si="12"/>
        <v>6684232</v>
      </c>
      <c r="AZ10" s="329">
        <f t="shared" si="6"/>
        <v>1671058</v>
      </c>
      <c r="BA10" s="329">
        <f>'4_Level 4'!J10</f>
        <v>12000</v>
      </c>
      <c r="BB10" s="329">
        <f>'4_Level 4'!L10</f>
        <v>53502</v>
      </c>
      <c r="BC10" s="329">
        <f>'4_Level 4'!M10</f>
        <v>577055</v>
      </c>
      <c r="BD10" s="330">
        <f t="shared" si="7"/>
        <v>21842525</v>
      </c>
    </row>
    <row r="11" spans="1:56" ht="15.6" customHeight="1" x14ac:dyDescent="0.2">
      <c r="A11" s="332">
        <v>5</v>
      </c>
      <c r="B11" s="333" t="s">
        <v>9</v>
      </c>
      <c r="C11" s="334">
        <f>'3_Levels 1&amp;2'!AP11</f>
        <v>31541710</v>
      </c>
      <c r="D11" s="334">
        <v>0</v>
      </c>
      <c r="E11" s="334">
        <f>-'5C1A_Madison'!$R11</f>
        <v>0</v>
      </c>
      <c r="F11" s="334">
        <f>-'5C1B_DArbonne'!$R11</f>
        <v>0</v>
      </c>
      <c r="G11" s="334">
        <f>-'5C1C_Intl High'!$R11</f>
        <v>0</v>
      </c>
      <c r="H11" s="334">
        <f>-'5C1D_NOMMA'!$R11</f>
        <v>0</v>
      </c>
      <c r="I11" s="334">
        <f>-'5C1E_LFNO'!$R11</f>
        <v>0</v>
      </c>
      <c r="J11" s="334">
        <f>-'5C1F_L.C. Charter'!$R11</f>
        <v>-10231</v>
      </c>
      <c r="K11" s="334">
        <f>-'5C1G_JS Clark'!$R11</f>
        <v>0</v>
      </c>
      <c r="L11" s="334">
        <f>-'5C1H_Southwest'!$R11</f>
        <v>0</v>
      </c>
      <c r="M11" s="334">
        <f>-'5C1I_LA Key'!$R11</f>
        <v>0</v>
      </c>
      <c r="N11" s="334">
        <f>-'5C1J_JCFA-East'!$R11</f>
        <v>0</v>
      </c>
      <c r="O11" s="334">
        <f>-'5C1M_GEO Mid'!$R11</f>
        <v>0</v>
      </c>
      <c r="P11" s="334">
        <f>-'5C1N_Delta'!$R11</f>
        <v>0</v>
      </c>
      <c r="Q11" s="334">
        <f>-'5C1O_Impact'!$R11</f>
        <v>0</v>
      </c>
      <c r="R11" s="334">
        <f>-'5C1Q_Advantage'!$R11</f>
        <v>0</v>
      </c>
      <c r="S11" s="334">
        <f>-'5C1R_Iberville'!$R11</f>
        <v>0</v>
      </c>
      <c r="T11" s="334">
        <f>-'5C1S_LC Col Prep'!$R11</f>
        <v>0</v>
      </c>
      <c r="U11" s="334">
        <f>-'5C1T_Northeast'!$R11</f>
        <v>0</v>
      </c>
      <c r="V11" s="334">
        <f>-'5C1U_Acadiana Ren'!$R11</f>
        <v>0</v>
      </c>
      <c r="W11" s="334">
        <f>-'5C1V_Laf Ren'!$R11</f>
        <v>0</v>
      </c>
      <c r="X11" s="334">
        <f>-'5C1W_Willow'!$R11</f>
        <v>0</v>
      </c>
      <c r="Y11" s="334">
        <f>-'5C1Y_GEO'!$R11</f>
        <v>0</v>
      </c>
      <c r="Z11" s="334">
        <f>-'5C1Z_Lincoln Prep'!$R11</f>
        <v>0</v>
      </c>
      <c r="AA11" s="334">
        <f>-'5C1AD_Greater'!$R11</f>
        <v>0</v>
      </c>
      <c r="AB11" s="610">
        <f>-'5C1AE_Noble Minds'!$R11</f>
        <v>0</v>
      </c>
      <c r="AC11" s="610">
        <f>-'5C1AF_JCFA-Laf'!$R11</f>
        <v>0</v>
      </c>
      <c r="AD11" s="610">
        <f>-'5C1AG_Collegiate'!$R11</f>
        <v>0</v>
      </c>
      <c r="AE11" s="334">
        <f>-'5C1AH_BRUP'!$R11</f>
        <v>0</v>
      </c>
      <c r="AF11" s="881">
        <f>-'5C1AI_Harmony'!$R11</f>
        <v>0</v>
      </c>
      <c r="AG11" s="881">
        <f>-'5C1AJ_Athlos'!$R11</f>
        <v>0</v>
      </c>
      <c r="AH11" s="334">
        <f>-('5C2_LAVCA'!$R11+'5C2_LAVCA'!$S11)</f>
        <v>-144319</v>
      </c>
      <c r="AI11" s="334">
        <f>-('5C3_UnvView'!$R11+'5C3_UnvView'!$S11)</f>
        <v>-212971</v>
      </c>
      <c r="AJ11" s="335">
        <f t="shared" si="3"/>
        <v>-367521</v>
      </c>
      <c r="AK11" s="335">
        <f t="shared" si="4"/>
        <v>31174189</v>
      </c>
      <c r="AL11" s="335">
        <f>ROUND(AK11/'8_2.1.19 SIS'!C11,0)</f>
        <v>6155</v>
      </c>
      <c r="AM11" s="1064">
        <f>'3B_Pay Raise'!O11</f>
        <v>606972</v>
      </c>
      <c r="AN11" s="336">
        <f>'[1]LEA Summary'!$K11</f>
        <v>-19268</v>
      </c>
      <c r="AO11" s="334">
        <f t="shared" si="8"/>
        <v>0</v>
      </c>
      <c r="AP11" s="334">
        <f t="shared" si="9"/>
        <v>-19268</v>
      </c>
      <c r="AQ11" s="334">
        <f>VLOOKUP($A11,'[2]Oct_MidYear Adj'!$A$7:$N$137,10,FALSE)</f>
        <v>-843235</v>
      </c>
      <c r="AR11" s="334">
        <f>VLOOKUP($A11,'[3]Feb_MidYear Adj'!$A$7:$N$137,10,FALSE)</f>
        <v>-73860</v>
      </c>
      <c r="AS11" s="336">
        <f t="shared" si="10"/>
        <v>-917095</v>
      </c>
      <c r="AT11" s="335">
        <f t="shared" si="11"/>
        <v>30844798</v>
      </c>
      <c r="AU11" s="334">
        <f>'4_Level 4'!E11</f>
        <v>0</v>
      </c>
      <c r="AV11" s="334">
        <f>'4_Level 4'!Q11</f>
        <v>133753</v>
      </c>
      <c r="AW11" s="335">
        <f t="shared" si="5"/>
        <v>30978551</v>
      </c>
      <c r="AX11" s="334">
        <f>('[4]2_State Distrib and Adjs'!AZ11*2)+'[5]2_State Distrib and Adjs'!AZ11+('[6]2_State Distrib and Adjs'!AZ11*3)+('[7]2_State Distrib and Adjs'!AZ11*2)</f>
        <v>21257942</v>
      </c>
      <c r="AY11" s="334">
        <f t="shared" si="12"/>
        <v>9720609</v>
      </c>
      <c r="AZ11" s="334">
        <f t="shared" si="6"/>
        <v>2430152</v>
      </c>
      <c r="BA11" s="334">
        <f>'4_Level 4'!J11</f>
        <v>0</v>
      </c>
      <c r="BB11" s="334">
        <f>'4_Level 4'!L11</f>
        <v>199307</v>
      </c>
      <c r="BC11" s="334">
        <f>'4_Level 4'!M11</f>
        <v>52394</v>
      </c>
      <c r="BD11" s="335">
        <f t="shared" si="7"/>
        <v>31230252</v>
      </c>
    </row>
    <row r="12" spans="1:56" ht="15.6" customHeight="1" x14ac:dyDescent="0.2">
      <c r="A12" s="325">
        <v>6</v>
      </c>
      <c r="B12" s="326" t="s">
        <v>10</v>
      </c>
      <c r="C12" s="33">
        <f>'3_Levels 1&amp;2'!AP12</f>
        <v>36652739</v>
      </c>
      <c r="D12" s="33">
        <v>0</v>
      </c>
      <c r="E12" s="33">
        <f>-'5C1A_Madison'!$R12</f>
        <v>0</v>
      </c>
      <c r="F12" s="33">
        <f>-'5C1B_DArbonne'!$R12</f>
        <v>0</v>
      </c>
      <c r="G12" s="33">
        <f>-'5C1C_Intl High'!$R12</f>
        <v>0</v>
      </c>
      <c r="H12" s="33">
        <f>-'5C1D_NOMMA'!$R12</f>
        <v>0</v>
      </c>
      <c r="I12" s="33">
        <f>-'5C1E_LFNO'!$R12</f>
        <v>0</v>
      </c>
      <c r="J12" s="33">
        <f>-'5C1F_L.C. Charter'!$R12</f>
        <v>0</v>
      </c>
      <c r="K12" s="33">
        <f>-'5C1G_JS Clark'!$R12</f>
        <v>0</v>
      </c>
      <c r="L12" s="33">
        <f>-'5C1H_Southwest'!$R12</f>
        <v>0</v>
      </c>
      <c r="M12" s="33">
        <f>-'5C1I_LA Key'!$R12</f>
        <v>0</v>
      </c>
      <c r="N12" s="33">
        <f>-'5C1J_JCFA-East'!$R12</f>
        <v>0</v>
      </c>
      <c r="O12" s="33">
        <f>-'5C1M_GEO Mid'!$R12</f>
        <v>0</v>
      </c>
      <c r="P12" s="33">
        <f>-'5C1N_Delta'!$R12</f>
        <v>0</v>
      </c>
      <c r="Q12" s="33">
        <f>-'5C1O_Impact'!$R12</f>
        <v>0</v>
      </c>
      <c r="R12" s="33">
        <f>-'5C1Q_Advantage'!$R12</f>
        <v>0</v>
      </c>
      <c r="S12" s="33">
        <f>-'5C1R_Iberville'!$R12</f>
        <v>0</v>
      </c>
      <c r="T12" s="33">
        <f>-'5C1S_LC Col Prep'!$R12</f>
        <v>0</v>
      </c>
      <c r="U12" s="33">
        <f>-'5C1T_Northeast'!$R12</f>
        <v>0</v>
      </c>
      <c r="V12" s="33">
        <f>-'5C1U_Acadiana Ren'!$R12</f>
        <v>0</v>
      </c>
      <c r="W12" s="33">
        <f>-'5C1V_Laf Ren'!$R12</f>
        <v>0</v>
      </c>
      <c r="X12" s="33">
        <f>-'5C1W_Willow'!$R12</f>
        <v>0</v>
      </c>
      <c r="Y12" s="33">
        <f>-'5C1Y_GEO'!$R12</f>
        <v>0</v>
      </c>
      <c r="Z12" s="33">
        <f>-'5C1Z_Lincoln Prep'!$R12</f>
        <v>0</v>
      </c>
      <c r="AA12" s="33">
        <f>-'5C1AD_Greater'!$R12</f>
        <v>0</v>
      </c>
      <c r="AB12" s="33">
        <f>-'5C1AE_Noble Minds'!$R12</f>
        <v>0</v>
      </c>
      <c r="AC12" s="33">
        <f>-'5C1AF_JCFA-Laf'!$R12</f>
        <v>0</v>
      </c>
      <c r="AD12" s="33">
        <f>-'5C1AG_Collegiate'!$R12</f>
        <v>0</v>
      </c>
      <c r="AE12" s="33">
        <f>-'5C1AH_BRUP'!$R12</f>
        <v>0</v>
      </c>
      <c r="AF12" s="33">
        <f>-'5C1AI_Harmony'!$R12</f>
        <v>0</v>
      </c>
      <c r="AG12" s="33">
        <f>-'5C1AJ_Athlos'!$R12</f>
        <v>0</v>
      </c>
      <c r="AH12" s="33">
        <f>-('5C2_LAVCA'!$R12+'5C2_LAVCA'!$S12)</f>
        <v>-103413</v>
      </c>
      <c r="AI12" s="33">
        <f>-('5C3_UnvView'!$R12+'5C3_UnvView'!$S12)</f>
        <v>-50077</v>
      </c>
      <c r="AJ12" s="32">
        <f t="shared" si="3"/>
        <v>-153490</v>
      </c>
      <c r="AK12" s="32">
        <f t="shared" si="4"/>
        <v>36499249</v>
      </c>
      <c r="AL12" s="32">
        <f>ROUND(AK12/'8_2.1.19 SIS'!C12,0)</f>
        <v>6333</v>
      </c>
      <c r="AM12" s="32">
        <f>'3B_Pay Raise'!O12</f>
        <v>853978</v>
      </c>
      <c r="AN12" s="34">
        <f>'[1]LEA Summary'!$K12</f>
        <v>23236</v>
      </c>
      <c r="AO12" s="33">
        <f t="shared" si="8"/>
        <v>23236</v>
      </c>
      <c r="AP12" s="33">
        <f t="shared" si="9"/>
        <v>0</v>
      </c>
      <c r="AQ12" s="33">
        <f>VLOOKUP($A12,'[2]Oct_MidYear Adj'!$A$7:$N$137,10,FALSE)</f>
        <v>-88662</v>
      </c>
      <c r="AR12" s="33">
        <f>VLOOKUP($A12,'[3]Feb_MidYear Adj'!$A$7:$N$137,10,FALSE)</f>
        <v>-9500</v>
      </c>
      <c r="AS12" s="34">
        <f t="shared" si="10"/>
        <v>-98162</v>
      </c>
      <c r="AT12" s="32">
        <f t="shared" si="11"/>
        <v>37278301</v>
      </c>
      <c r="AU12" s="33">
        <f>'4_Level 4'!E12</f>
        <v>0</v>
      </c>
      <c r="AV12" s="33">
        <f>'4_Level 4'!Q12</f>
        <v>150745</v>
      </c>
      <c r="AW12" s="32">
        <f t="shared" si="5"/>
        <v>37429046</v>
      </c>
      <c r="AX12" s="33">
        <f>('[4]2_State Distrib and Adjs'!AZ12*2)+'[5]2_State Distrib and Adjs'!AZ12+('[6]2_State Distrib and Adjs'!AZ12*3)+('[7]2_State Distrib and Adjs'!AZ12*2)</f>
        <v>25011522</v>
      </c>
      <c r="AY12" s="33">
        <f t="shared" si="12"/>
        <v>12417524</v>
      </c>
      <c r="AZ12" s="33">
        <f t="shared" si="6"/>
        <v>3104381</v>
      </c>
      <c r="BA12" s="33">
        <f>'4_Level 4'!J12</f>
        <v>0</v>
      </c>
      <c r="BB12" s="33">
        <f>'4_Level 4'!L12</f>
        <v>101943</v>
      </c>
      <c r="BC12" s="33">
        <f>'4_Level 4'!M12</f>
        <v>0</v>
      </c>
      <c r="BD12" s="32">
        <f t="shared" si="7"/>
        <v>37530989</v>
      </c>
    </row>
    <row r="13" spans="1:56" ht="15.6" customHeight="1" x14ac:dyDescent="0.2">
      <c r="A13" s="327">
        <v>7</v>
      </c>
      <c r="B13" s="328" t="s">
        <v>11</v>
      </c>
      <c r="C13" s="329">
        <f>'3_Levels 1&amp;2'!AP13</f>
        <v>8005071</v>
      </c>
      <c r="D13" s="329">
        <v>0</v>
      </c>
      <c r="E13" s="329">
        <f>-'5C1A_Madison'!$R13</f>
        <v>0</v>
      </c>
      <c r="F13" s="329">
        <f>-'5C1B_DArbonne'!$R13</f>
        <v>-6478</v>
      </c>
      <c r="G13" s="329">
        <f>-'5C1C_Intl High'!$R13</f>
        <v>0</v>
      </c>
      <c r="H13" s="329">
        <f>-'5C1D_NOMMA'!$R13</f>
        <v>0</v>
      </c>
      <c r="I13" s="329">
        <f>-'5C1E_LFNO'!$R13</f>
        <v>0</v>
      </c>
      <c r="J13" s="329">
        <f>-'5C1F_L.C. Charter'!$R13</f>
        <v>0</v>
      </c>
      <c r="K13" s="329">
        <f>-'5C1G_JS Clark'!$R13</f>
        <v>0</v>
      </c>
      <c r="L13" s="329">
        <f>-'5C1H_Southwest'!$R13</f>
        <v>0</v>
      </c>
      <c r="M13" s="329">
        <f>-'5C1I_LA Key'!$R13</f>
        <v>0</v>
      </c>
      <c r="N13" s="329">
        <f>-'5C1J_JCFA-East'!$R13</f>
        <v>0</v>
      </c>
      <c r="O13" s="329">
        <f>-'5C1M_GEO Mid'!$R13</f>
        <v>0</v>
      </c>
      <c r="P13" s="329">
        <f>-'5C1N_Delta'!$R13</f>
        <v>0</v>
      </c>
      <c r="Q13" s="329">
        <f>-'5C1O_Impact'!$R13</f>
        <v>0</v>
      </c>
      <c r="R13" s="329">
        <f>-'5C1Q_Advantage'!$R13</f>
        <v>0</v>
      </c>
      <c r="S13" s="329">
        <f>-'5C1R_Iberville'!$R13</f>
        <v>0</v>
      </c>
      <c r="T13" s="329">
        <f>-'5C1S_LC Col Prep'!$R13</f>
        <v>0</v>
      </c>
      <c r="U13" s="329">
        <f>-'5C1T_Northeast'!$R13</f>
        <v>0</v>
      </c>
      <c r="V13" s="329">
        <f>-'5C1U_Acadiana Ren'!$R13</f>
        <v>0</v>
      </c>
      <c r="W13" s="329">
        <f>-'5C1V_Laf Ren'!$R13</f>
        <v>0</v>
      </c>
      <c r="X13" s="329">
        <f>-'5C1W_Willow'!$R13</f>
        <v>0</v>
      </c>
      <c r="Y13" s="329">
        <f>-'5C1Y_GEO'!$R13</f>
        <v>0</v>
      </c>
      <c r="Z13" s="329">
        <f>-'5C1Z_Lincoln Prep'!$R13</f>
        <v>-145294</v>
      </c>
      <c r="AA13" s="329">
        <f>-'5C1AD_Greater'!$R13</f>
        <v>0</v>
      </c>
      <c r="AB13" s="329">
        <f>-'5C1AE_Noble Minds'!$R13</f>
        <v>0</v>
      </c>
      <c r="AC13" s="329">
        <f>-'5C1AF_JCFA-Laf'!$R13</f>
        <v>0</v>
      </c>
      <c r="AD13" s="329">
        <f>-'5C1AG_Collegiate'!$R13</f>
        <v>0</v>
      </c>
      <c r="AE13" s="329">
        <f>-'5C1AH_BRUP'!$R13</f>
        <v>0</v>
      </c>
      <c r="AF13" s="329">
        <f>-'5C1AI_Harmony'!$R13</f>
        <v>0</v>
      </c>
      <c r="AG13" s="329">
        <f>-'5C1AJ_Athlos'!$R13</f>
        <v>0</v>
      </c>
      <c r="AH13" s="329">
        <f>-('5C2_LAVCA'!$R13+'5C2_LAVCA'!$S13)</f>
        <v>-47177</v>
      </c>
      <c r="AI13" s="329">
        <f>-('5C3_UnvView'!$R13+'5C3_UnvView'!$S13)</f>
        <v>-3239</v>
      </c>
      <c r="AJ13" s="330">
        <f t="shared" si="3"/>
        <v>-202188</v>
      </c>
      <c r="AK13" s="330">
        <f t="shared" si="4"/>
        <v>7802883</v>
      </c>
      <c r="AL13" s="330">
        <f>ROUND(AK13/'8_2.1.19 SIS'!C13,0)</f>
        <v>3844</v>
      </c>
      <c r="AM13" s="330">
        <f>'3B_Pay Raise'!O13</f>
        <v>394918</v>
      </c>
      <c r="AN13" s="331">
        <f>'[1]LEA Summary'!$K13</f>
        <v>2258</v>
      </c>
      <c r="AO13" s="329">
        <f t="shared" si="8"/>
        <v>2258</v>
      </c>
      <c r="AP13" s="329">
        <f t="shared" si="9"/>
        <v>0</v>
      </c>
      <c r="AQ13" s="329">
        <f>VLOOKUP($A13,'[2]Oct_MidYear Adj'!$A$7:$N$137,10,FALSE)</f>
        <v>180668</v>
      </c>
      <c r="AR13" s="329">
        <f>VLOOKUP($A13,'[3]Feb_MidYear Adj'!$A$7:$N$137,10,FALSE)</f>
        <v>-92256</v>
      </c>
      <c r="AS13" s="331">
        <f t="shared" si="10"/>
        <v>88412</v>
      </c>
      <c r="AT13" s="330">
        <f t="shared" si="11"/>
        <v>8288471</v>
      </c>
      <c r="AU13" s="329">
        <f>'4_Level 4'!E13</f>
        <v>0</v>
      </c>
      <c r="AV13" s="329">
        <f>'4_Level 4'!Q13</f>
        <v>53808</v>
      </c>
      <c r="AW13" s="330">
        <f t="shared" si="5"/>
        <v>8342279</v>
      </c>
      <c r="AX13" s="329">
        <f>('[4]2_State Distrib and Adjs'!AZ13*2)+'[5]2_State Distrib and Adjs'!AZ13+('[6]2_State Distrib and Adjs'!AZ13*3)+('[7]2_State Distrib and Adjs'!AZ13*2)</f>
        <v>5507194</v>
      </c>
      <c r="AY13" s="329">
        <f t="shared" si="12"/>
        <v>2835085</v>
      </c>
      <c r="AZ13" s="329">
        <f t="shared" si="6"/>
        <v>708771</v>
      </c>
      <c r="BA13" s="329">
        <f>'4_Level 4'!J13</f>
        <v>0</v>
      </c>
      <c r="BB13" s="329">
        <f>'4_Level 4'!L13</f>
        <v>63865</v>
      </c>
      <c r="BC13" s="329">
        <f>'4_Level 4'!M13</f>
        <v>23917</v>
      </c>
      <c r="BD13" s="330">
        <f t="shared" si="7"/>
        <v>8430061</v>
      </c>
    </row>
    <row r="14" spans="1:56" ht="15.6" customHeight="1" x14ac:dyDescent="0.2">
      <c r="A14" s="327">
        <v>8</v>
      </c>
      <c r="B14" s="328" t="s">
        <v>12</v>
      </c>
      <c r="C14" s="329">
        <f>'3_Levels 1&amp;2'!AP14</f>
        <v>132557410</v>
      </c>
      <c r="D14" s="329">
        <v>0</v>
      </c>
      <c r="E14" s="329">
        <f>-'5C1A_Madison'!$R14</f>
        <v>0</v>
      </c>
      <c r="F14" s="329">
        <f>-'5C1B_DArbonne'!$R14</f>
        <v>0</v>
      </c>
      <c r="G14" s="329">
        <f>-'5C1C_Intl High'!$R14</f>
        <v>0</v>
      </c>
      <c r="H14" s="329">
        <f>-'5C1D_NOMMA'!$R14</f>
        <v>0</v>
      </c>
      <c r="I14" s="329">
        <f>-'5C1E_LFNO'!$R14</f>
        <v>0</v>
      </c>
      <c r="J14" s="329">
        <f>-'5C1F_L.C. Charter'!$R14</f>
        <v>0</v>
      </c>
      <c r="K14" s="329">
        <f>-'5C1G_JS Clark'!$R14</f>
        <v>0</v>
      </c>
      <c r="L14" s="329">
        <f>-'5C1H_Southwest'!$R14</f>
        <v>0</v>
      </c>
      <c r="M14" s="329">
        <f>-'5C1I_LA Key'!$R14</f>
        <v>0</v>
      </c>
      <c r="N14" s="329">
        <f>-'5C1J_JCFA-East'!$R14</f>
        <v>0</v>
      </c>
      <c r="O14" s="329">
        <f>-'5C1M_GEO Mid'!$R14</f>
        <v>0</v>
      </c>
      <c r="P14" s="329">
        <f>-'5C1N_Delta'!$R14</f>
        <v>0</v>
      </c>
      <c r="Q14" s="329">
        <f>-'5C1O_Impact'!$R14</f>
        <v>0</v>
      </c>
      <c r="R14" s="329">
        <f>-'5C1Q_Advantage'!$R14</f>
        <v>0</v>
      </c>
      <c r="S14" s="329">
        <f>-'5C1R_Iberville'!$R14</f>
        <v>0</v>
      </c>
      <c r="T14" s="329">
        <f>-'5C1S_LC Col Prep'!$R14</f>
        <v>0</v>
      </c>
      <c r="U14" s="329">
        <f>-'5C1T_Northeast'!$R14</f>
        <v>0</v>
      </c>
      <c r="V14" s="329">
        <f>-'5C1U_Acadiana Ren'!$R14</f>
        <v>0</v>
      </c>
      <c r="W14" s="329">
        <f>-'5C1V_Laf Ren'!$R14</f>
        <v>0</v>
      </c>
      <c r="X14" s="329">
        <f>-'5C1W_Willow'!$R14</f>
        <v>0</v>
      </c>
      <c r="Y14" s="329">
        <f>-'5C1Y_GEO'!$R14</f>
        <v>0</v>
      </c>
      <c r="Z14" s="329">
        <f>-'5C1Z_Lincoln Prep'!$R14</f>
        <v>0</v>
      </c>
      <c r="AA14" s="329">
        <f>-'5C1AD_Greater'!$R14</f>
        <v>0</v>
      </c>
      <c r="AB14" s="329">
        <f>-'5C1AE_Noble Minds'!$R14</f>
        <v>0</v>
      </c>
      <c r="AC14" s="329">
        <f>-'5C1AF_JCFA-Laf'!$R14</f>
        <v>0</v>
      </c>
      <c r="AD14" s="329">
        <f>-'5C1AG_Collegiate'!$R14</f>
        <v>0</v>
      </c>
      <c r="AE14" s="329">
        <f>-'5C1AH_BRUP'!$R14</f>
        <v>0</v>
      </c>
      <c r="AF14" s="329">
        <f>-'5C1AI_Harmony'!$R14</f>
        <v>0</v>
      </c>
      <c r="AG14" s="329">
        <f>-'5C1AJ_Athlos'!$R14</f>
        <v>0</v>
      </c>
      <c r="AH14" s="329">
        <f>-('5C2_LAVCA'!$R14+'5C2_LAVCA'!$S14)</f>
        <v>-431197</v>
      </c>
      <c r="AI14" s="329">
        <f>-('5C3_UnvView'!$R14+'5C3_UnvView'!$S14)</f>
        <v>-295906</v>
      </c>
      <c r="AJ14" s="330">
        <f t="shared" si="3"/>
        <v>-727103</v>
      </c>
      <c r="AK14" s="330">
        <f t="shared" si="4"/>
        <v>131830307</v>
      </c>
      <c r="AL14" s="330">
        <f>ROUND(AK14/'8_2.1.19 SIS'!C14,0)</f>
        <v>5903</v>
      </c>
      <c r="AM14" s="330">
        <f>'3B_Pay Raise'!O14</f>
        <v>3174180</v>
      </c>
      <c r="AN14" s="331">
        <f>'[1]LEA Summary'!$K14</f>
        <v>-36307</v>
      </c>
      <c r="AO14" s="329">
        <f t="shared" si="8"/>
        <v>0</v>
      </c>
      <c r="AP14" s="329">
        <f t="shared" si="9"/>
        <v>-36307</v>
      </c>
      <c r="AQ14" s="329">
        <f>VLOOKUP($A14,'[2]Oct_MidYear Adj'!$A$7:$N$137,10,FALSE)</f>
        <v>365986</v>
      </c>
      <c r="AR14" s="329">
        <f>VLOOKUP($A14,'[3]Feb_MidYear Adj'!$A$7:$N$137,10,FALSE)</f>
        <v>-374841</v>
      </c>
      <c r="AS14" s="331">
        <f t="shared" si="10"/>
        <v>-8855</v>
      </c>
      <c r="AT14" s="330">
        <f t="shared" si="11"/>
        <v>134959325</v>
      </c>
      <c r="AU14" s="329">
        <f>'4_Level 4'!E14</f>
        <v>63000</v>
      </c>
      <c r="AV14" s="329">
        <f>'4_Level 4'!Q14</f>
        <v>578731</v>
      </c>
      <c r="AW14" s="330">
        <f t="shared" si="5"/>
        <v>135601056</v>
      </c>
      <c r="AX14" s="329">
        <f>('[4]2_State Distrib and Adjs'!AZ14*2)+'[5]2_State Distrib and Adjs'!AZ14+('[6]2_State Distrib and Adjs'!AZ14*3)+('[7]2_State Distrib and Adjs'!AZ14*2)</f>
        <v>90393700</v>
      </c>
      <c r="AY14" s="329">
        <f t="shared" si="12"/>
        <v>45207356</v>
      </c>
      <c r="AZ14" s="329">
        <f t="shared" si="6"/>
        <v>11301839</v>
      </c>
      <c r="BA14" s="329">
        <f>'4_Level 4'!J14</f>
        <v>0</v>
      </c>
      <c r="BB14" s="329">
        <f>'4_Level 4'!L14</f>
        <v>216418</v>
      </c>
      <c r="BC14" s="329">
        <f>'4_Level 4'!M14</f>
        <v>0</v>
      </c>
      <c r="BD14" s="330">
        <f t="shared" si="7"/>
        <v>135817474</v>
      </c>
    </row>
    <row r="15" spans="1:56" ht="15.6" customHeight="1" x14ac:dyDescent="0.2">
      <c r="A15" s="327">
        <v>9</v>
      </c>
      <c r="B15" s="328" t="s">
        <v>13</v>
      </c>
      <c r="C15" s="329">
        <f>'3_Levels 1&amp;2'!AP15</f>
        <v>213385511</v>
      </c>
      <c r="D15" s="329">
        <f>-('5B2_RSD LA'!J7-'5B2_RSD LA'!I7)</f>
        <v>-5315673</v>
      </c>
      <c r="E15" s="329">
        <f>-'5C1A_Madison'!$R15</f>
        <v>0</v>
      </c>
      <c r="F15" s="329">
        <f>-'5C1B_DArbonne'!$R15</f>
        <v>0</v>
      </c>
      <c r="G15" s="329">
        <f>-'5C1C_Intl High'!$R15</f>
        <v>0</v>
      </c>
      <c r="H15" s="329">
        <f>-'5C1D_NOMMA'!$R15</f>
        <v>0</v>
      </c>
      <c r="I15" s="329">
        <f>-'5C1E_LFNO'!$R15</f>
        <v>0</v>
      </c>
      <c r="J15" s="329">
        <f>-'5C1F_L.C. Charter'!$R15</f>
        <v>0</v>
      </c>
      <c r="K15" s="329">
        <f>-'5C1G_JS Clark'!$R15</f>
        <v>0</v>
      </c>
      <c r="L15" s="329">
        <f>-'5C1H_Southwest'!$R15</f>
        <v>0</v>
      </c>
      <c r="M15" s="329">
        <f>-'5C1I_LA Key'!$R15</f>
        <v>0</v>
      </c>
      <c r="N15" s="329">
        <f>-'5C1J_JCFA-East'!$R15</f>
        <v>0</v>
      </c>
      <c r="O15" s="329">
        <f>-'5C1M_GEO Mid'!$R15</f>
        <v>0</v>
      </c>
      <c r="P15" s="329">
        <f>-'5C1N_Delta'!$R15</f>
        <v>0</v>
      </c>
      <c r="Q15" s="329">
        <f>-'5C1O_Impact'!$R15</f>
        <v>0</v>
      </c>
      <c r="R15" s="329">
        <f>-'5C1Q_Advantage'!$R15</f>
        <v>0</v>
      </c>
      <c r="S15" s="329">
        <f>-'5C1R_Iberville'!$R15</f>
        <v>0</v>
      </c>
      <c r="T15" s="329">
        <f>-'5C1S_LC Col Prep'!$R15</f>
        <v>0</v>
      </c>
      <c r="U15" s="329">
        <f>-'5C1T_Northeast'!$R15</f>
        <v>0</v>
      </c>
      <c r="V15" s="329">
        <f>-'5C1U_Acadiana Ren'!$R15</f>
        <v>0</v>
      </c>
      <c r="W15" s="329">
        <f>-'5C1V_Laf Ren'!$R15</f>
        <v>0</v>
      </c>
      <c r="X15" s="329">
        <f>-'5C1W_Willow'!$R15</f>
        <v>0</v>
      </c>
      <c r="Y15" s="329">
        <f>-'5C1Y_GEO'!$R15</f>
        <v>0</v>
      </c>
      <c r="Z15" s="329">
        <f>-'5C1Z_Lincoln Prep'!$R15</f>
        <v>0</v>
      </c>
      <c r="AA15" s="329">
        <f>-'5C1AD_Greater'!$R15</f>
        <v>0</v>
      </c>
      <c r="AB15" s="329">
        <f>-'5C1AE_Noble Minds'!$R15</f>
        <v>0</v>
      </c>
      <c r="AC15" s="329">
        <f>-'5C1AF_JCFA-Laf'!$R15</f>
        <v>0</v>
      </c>
      <c r="AD15" s="329">
        <f>-'5C1AG_Collegiate'!$R15</f>
        <v>0</v>
      </c>
      <c r="AE15" s="329">
        <f>-'5C1AH_BRUP'!$R15</f>
        <v>0</v>
      </c>
      <c r="AF15" s="329">
        <f>-'5C1AI_Harmony'!$R15</f>
        <v>0</v>
      </c>
      <c r="AG15" s="329">
        <f>-'5C1AJ_Athlos'!$R15</f>
        <v>0</v>
      </c>
      <c r="AH15" s="329">
        <f>-('5C2_LAVCA'!$R15+'5C2_LAVCA'!$S15)</f>
        <v>-573180</v>
      </c>
      <c r="AI15" s="329">
        <f>-('5C3_UnvView'!$R15+'5C3_UnvView'!$S15)</f>
        <v>-389691</v>
      </c>
      <c r="AJ15" s="330">
        <f t="shared" si="3"/>
        <v>-6278544</v>
      </c>
      <c r="AK15" s="330">
        <f t="shared" si="4"/>
        <v>207106967</v>
      </c>
      <c r="AL15" s="330">
        <f>ROUND(AK15/'8_2.1.19 SIS'!C15,0)</f>
        <v>5537</v>
      </c>
      <c r="AM15" s="330">
        <f>'3B_Pay Raise'!O15</f>
        <v>5122711</v>
      </c>
      <c r="AN15" s="331">
        <f>'[1]LEA Summary'!$K15</f>
        <v>-42487</v>
      </c>
      <c r="AO15" s="329">
        <f t="shared" si="8"/>
        <v>0</v>
      </c>
      <c r="AP15" s="329">
        <f t="shared" si="9"/>
        <v>-42487</v>
      </c>
      <c r="AQ15" s="329">
        <f>VLOOKUP($A15,'[2]Oct_MidYear Adj'!$A$7:$N$137,10,FALSE)</f>
        <v>-2940147</v>
      </c>
      <c r="AR15" s="329">
        <f>VLOOKUP($A15,'[3]Feb_MidYear Adj'!$A$7:$N$137,10,FALSE)</f>
        <v>-329452</v>
      </c>
      <c r="AS15" s="331">
        <f t="shared" si="10"/>
        <v>-3269599</v>
      </c>
      <c r="AT15" s="330">
        <f t="shared" si="11"/>
        <v>208917592</v>
      </c>
      <c r="AU15" s="329">
        <f>'4_Level 4'!E15</f>
        <v>252000</v>
      </c>
      <c r="AV15" s="329">
        <f>'4_Level 4'!Q15</f>
        <v>978692</v>
      </c>
      <c r="AW15" s="330">
        <f t="shared" si="5"/>
        <v>210148284</v>
      </c>
      <c r="AX15" s="329">
        <f>('[4]2_State Distrib and Adjs'!AZ15*2)+'[5]2_State Distrib and Adjs'!AZ15+('[6]2_State Distrib and Adjs'!AZ15*3)+('[7]2_State Distrib and Adjs'!AZ15*2)</f>
        <v>142269694</v>
      </c>
      <c r="AY15" s="329">
        <f t="shared" si="12"/>
        <v>67878590</v>
      </c>
      <c r="AZ15" s="329">
        <f t="shared" si="6"/>
        <v>16969648</v>
      </c>
      <c r="BA15" s="329">
        <f>'4_Level 4'!J15</f>
        <v>30000</v>
      </c>
      <c r="BB15" s="329">
        <f>'4_Level 4'!L15</f>
        <v>518150</v>
      </c>
      <c r="BC15" s="329">
        <f>'4_Level 4'!M15</f>
        <v>0</v>
      </c>
      <c r="BD15" s="330">
        <f t="shared" si="7"/>
        <v>210696434</v>
      </c>
    </row>
    <row r="16" spans="1:56" ht="15.6" customHeight="1" x14ac:dyDescent="0.2">
      <c r="A16" s="332">
        <v>10</v>
      </c>
      <c r="B16" s="333" t="s">
        <v>14</v>
      </c>
      <c r="C16" s="334">
        <f>'3_Levels 1&amp;2'!AP16</f>
        <v>135460426</v>
      </c>
      <c r="D16" s="334">
        <v>0</v>
      </c>
      <c r="E16" s="334">
        <f>-'5C1A_Madison'!$R16</f>
        <v>0</v>
      </c>
      <c r="F16" s="334">
        <f>-'5C1B_DArbonne'!$R16</f>
        <v>0</v>
      </c>
      <c r="G16" s="334">
        <f>-'5C1C_Intl High'!$R16</f>
        <v>0</v>
      </c>
      <c r="H16" s="334">
        <f>-'5C1D_NOMMA'!$R16</f>
        <v>0</v>
      </c>
      <c r="I16" s="334">
        <f>-'5C1E_LFNO'!$R16</f>
        <v>0</v>
      </c>
      <c r="J16" s="334">
        <f>-'5C1F_L.C. Charter'!$R16</f>
        <v>-3721726</v>
      </c>
      <c r="K16" s="334">
        <f>-'5C1G_JS Clark'!$R16</f>
        <v>0</v>
      </c>
      <c r="L16" s="334">
        <f>-'5C1H_Southwest'!$R16</f>
        <v>-2645540</v>
      </c>
      <c r="M16" s="334">
        <f>-'5C1I_LA Key'!$R16</f>
        <v>0</v>
      </c>
      <c r="N16" s="334">
        <f>-'5C1J_JCFA-East'!$R16</f>
        <v>0</v>
      </c>
      <c r="O16" s="334">
        <f>-'5C1M_GEO Mid'!$R16</f>
        <v>0</v>
      </c>
      <c r="P16" s="334">
        <f>-'5C1N_Delta'!$R16</f>
        <v>0</v>
      </c>
      <c r="Q16" s="334">
        <f>-'5C1O_Impact'!$R16</f>
        <v>0</v>
      </c>
      <c r="R16" s="334">
        <f>-'5C1Q_Advantage'!$R16</f>
        <v>0</v>
      </c>
      <c r="S16" s="334">
        <f>-'5C1R_Iberville'!$R16</f>
        <v>0</v>
      </c>
      <c r="T16" s="334">
        <f>-'5C1S_LC Col Prep'!$R16</f>
        <v>-1833721</v>
      </c>
      <c r="U16" s="334">
        <f>-'5C1T_Northeast'!$R16</f>
        <v>0</v>
      </c>
      <c r="V16" s="334">
        <f>-'5C1U_Acadiana Ren'!$R16</f>
        <v>0</v>
      </c>
      <c r="W16" s="334">
        <f>-'5C1V_Laf Ren'!$R16</f>
        <v>0</v>
      </c>
      <c r="X16" s="334">
        <f>-'5C1W_Willow'!$R16</f>
        <v>0</v>
      </c>
      <c r="Y16" s="334">
        <f>-'5C1Y_GEO'!$R16</f>
        <v>0</v>
      </c>
      <c r="Z16" s="334">
        <f>-'5C1Z_Lincoln Prep'!$R16</f>
        <v>0</v>
      </c>
      <c r="AA16" s="334">
        <f>-'5C1AD_Greater'!$R16</f>
        <v>0</v>
      </c>
      <c r="AB16" s="610">
        <f>-'5C1AE_Noble Minds'!$R16</f>
        <v>0</v>
      </c>
      <c r="AC16" s="610">
        <f>-'5C1AF_JCFA-Laf'!$R16</f>
        <v>0</v>
      </c>
      <c r="AD16" s="610">
        <f>-'5C1AG_Collegiate'!$R16</f>
        <v>0</v>
      </c>
      <c r="AE16" s="334">
        <f>-'5C1AH_BRUP'!$R16</f>
        <v>0</v>
      </c>
      <c r="AF16" s="881">
        <f>-'5C1AI_Harmony'!$R16</f>
        <v>0</v>
      </c>
      <c r="AG16" s="881">
        <f>-'5C1AJ_Athlos'!$R16</f>
        <v>0</v>
      </c>
      <c r="AH16" s="334">
        <f>-('5C2_LAVCA'!$R16+'5C2_LAVCA'!$S16)</f>
        <v>-388274</v>
      </c>
      <c r="AI16" s="334">
        <f>-('5C3_UnvView'!$R16+'5C3_UnvView'!$S16)</f>
        <v>-312772</v>
      </c>
      <c r="AJ16" s="335">
        <f t="shared" si="3"/>
        <v>-8902033</v>
      </c>
      <c r="AK16" s="335">
        <f t="shared" si="4"/>
        <v>126558393</v>
      </c>
      <c r="AL16" s="335">
        <f>ROUND(AK16/'8_2.1.19 SIS'!C16,0)</f>
        <v>4083</v>
      </c>
      <c r="AM16" s="1064">
        <f>'3B_Pay Raise'!O16</f>
        <v>5044849</v>
      </c>
      <c r="AN16" s="336">
        <f>'[1]LEA Summary'!$K16</f>
        <v>-99827</v>
      </c>
      <c r="AO16" s="334">
        <f t="shared" si="8"/>
        <v>0</v>
      </c>
      <c r="AP16" s="334">
        <f t="shared" si="9"/>
        <v>-99827</v>
      </c>
      <c r="AQ16" s="334">
        <f>VLOOKUP($A16,'[2]Oct_MidYear Adj'!$A$7:$N$137,10,FALSE)</f>
        <v>-1261647</v>
      </c>
      <c r="AR16" s="334">
        <f>VLOOKUP($A16,'[3]Feb_MidYear Adj'!$A$7:$N$137,10,FALSE)</f>
        <v>-426674</v>
      </c>
      <c r="AS16" s="336">
        <f t="shared" si="10"/>
        <v>-1688321</v>
      </c>
      <c r="AT16" s="335">
        <f t="shared" si="11"/>
        <v>129815094</v>
      </c>
      <c r="AU16" s="334">
        <f>'4_Level 4'!E16</f>
        <v>693000</v>
      </c>
      <c r="AV16" s="334">
        <f>'4_Level 4'!Q16</f>
        <v>798034</v>
      </c>
      <c r="AW16" s="335">
        <f t="shared" si="5"/>
        <v>131306128</v>
      </c>
      <c r="AX16" s="334">
        <f>('[4]2_State Distrib and Adjs'!AZ16*2)+'[5]2_State Distrib and Adjs'!AZ16+('[6]2_State Distrib and Adjs'!AZ16*3)+('[7]2_State Distrib and Adjs'!AZ16*2)</f>
        <v>88686036</v>
      </c>
      <c r="AY16" s="334">
        <f t="shared" si="12"/>
        <v>42620092</v>
      </c>
      <c r="AZ16" s="334">
        <f t="shared" si="6"/>
        <v>10655023</v>
      </c>
      <c r="BA16" s="334">
        <f>'4_Level 4'!J16</f>
        <v>90000</v>
      </c>
      <c r="BB16" s="334">
        <f>'4_Level 4'!L16</f>
        <v>569965</v>
      </c>
      <c r="BC16" s="334">
        <f>'4_Level 4'!M16</f>
        <v>1156324</v>
      </c>
      <c r="BD16" s="335">
        <f t="shared" si="7"/>
        <v>133122417</v>
      </c>
    </row>
    <row r="17" spans="1:56" ht="15.6" customHeight="1" x14ac:dyDescent="0.2">
      <c r="A17" s="325">
        <v>11</v>
      </c>
      <c r="B17" s="326" t="s">
        <v>15</v>
      </c>
      <c r="C17" s="33">
        <f>'3_Levels 1&amp;2'!AP17</f>
        <v>12223555</v>
      </c>
      <c r="D17" s="33">
        <v>0</v>
      </c>
      <c r="E17" s="33">
        <f>-'5C1A_Madison'!$R17</f>
        <v>0</v>
      </c>
      <c r="F17" s="33">
        <f>-'5C1B_DArbonne'!$R17</f>
        <v>0</v>
      </c>
      <c r="G17" s="33">
        <f>-'5C1C_Intl High'!$R17</f>
        <v>0</v>
      </c>
      <c r="H17" s="33">
        <f>-'5C1D_NOMMA'!$R17</f>
        <v>0</v>
      </c>
      <c r="I17" s="33">
        <f>-'5C1E_LFNO'!$R17</f>
        <v>0</v>
      </c>
      <c r="J17" s="33">
        <f>-'5C1F_L.C. Charter'!$R17</f>
        <v>0</v>
      </c>
      <c r="K17" s="33">
        <f>-'5C1G_JS Clark'!$R17</f>
        <v>0</v>
      </c>
      <c r="L17" s="33">
        <f>-'5C1H_Southwest'!$R17</f>
        <v>0</v>
      </c>
      <c r="M17" s="33">
        <f>-'5C1I_LA Key'!$R17</f>
        <v>0</v>
      </c>
      <c r="N17" s="33">
        <f>-'5C1J_JCFA-East'!$R17</f>
        <v>0</v>
      </c>
      <c r="O17" s="33">
        <f>-'5C1M_GEO Mid'!$R17</f>
        <v>0</v>
      </c>
      <c r="P17" s="33">
        <f>-'5C1N_Delta'!$R17</f>
        <v>0</v>
      </c>
      <c r="Q17" s="33">
        <f>-'5C1O_Impact'!$R17</f>
        <v>0</v>
      </c>
      <c r="R17" s="33">
        <f>-'5C1Q_Advantage'!$R17</f>
        <v>0</v>
      </c>
      <c r="S17" s="33">
        <f>-'5C1R_Iberville'!$R17</f>
        <v>0</v>
      </c>
      <c r="T17" s="33">
        <f>-'5C1S_LC Col Prep'!$R17</f>
        <v>0</v>
      </c>
      <c r="U17" s="33">
        <f>-'5C1T_Northeast'!$R17</f>
        <v>0</v>
      </c>
      <c r="V17" s="33">
        <f>-'5C1U_Acadiana Ren'!$R17</f>
        <v>0</v>
      </c>
      <c r="W17" s="33">
        <f>-'5C1V_Laf Ren'!$R17</f>
        <v>0</v>
      </c>
      <c r="X17" s="33">
        <f>-'5C1W_Willow'!$R17</f>
        <v>0</v>
      </c>
      <c r="Y17" s="33">
        <f>-'5C1Y_GEO'!$R17</f>
        <v>0</v>
      </c>
      <c r="Z17" s="33">
        <f>-'5C1Z_Lincoln Prep'!$R17</f>
        <v>0</v>
      </c>
      <c r="AA17" s="33">
        <f>-'5C1AD_Greater'!$R17</f>
        <v>0</v>
      </c>
      <c r="AB17" s="33">
        <f>-'5C1AE_Noble Minds'!$R17</f>
        <v>0</v>
      </c>
      <c r="AC17" s="33">
        <f>-'5C1AF_JCFA-Laf'!$R17</f>
        <v>0</v>
      </c>
      <c r="AD17" s="33">
        <f>-'5C1AG_Collegiate'!$R17</f>
        <v>0</v>
      </c>
      <c r="AE17" s="33">
        <f>-'5C1AH_BRUP'!$R17</f>
        <v>0</v>
      </c>
      <c r="AF17" s="33">
        <f>-'5C1AI_Harmony'!$R17</f>
        <v>0</v>
      </c>
      <c r="AG17" s="33">
        <f>-'5C1AJ_Athlos'!$R17</f>
        <v>0</v>
      </c>
      <c r="AH17" s="33">
        <f>-('5C2_LAVCA'!$R17+'5C2_LAVCA'!$S17)</f>
        <v>-12241</v>
      </c>
      <c r="AI17" s="33">
        <f>-('5C3_UnvView'!$R17+'5C3_UnvView'!$S17)</f>
        <v>-24347</v>
      </c>
      <c r="AJ17" s="32">
        <f t="shared" si="3"/>
        <v>-36588</v>
      </c>
      <c r="AK17" s="32">
        <f t="shared" si="4"/>
        <v>12186967</v>
      </c>
      <c r="AL17" s="32">
        <f>ROUND(AK17/'8_2.1.19 SIS'!C17,0)</f>
        <v>7908</v>
      </c>
      <c r="AM17" s="32">
        <f>'3B_Pay Raise'!O17</f>
        <v>267468</v>
      </c>
      <c r="AN17" s="34">
        <f>'[1]LEA Summary'!$K17</f>
        <v>5016</v>
      </c>
      <c r="AO17" s="33">
        <f t="shared" si="8"/>
        <v>5016</v>
      </c>
      <c r="AP17" s="33">
        <f t="shared" si="9"/>
        <v>0</v>
      </c>
      <c r="AQ17" s="33">
        <f>VLOOKUP($A17,'[2]Oct_MidYear Adj'!$A$7:$N$137,10,FALSE)</f>
        <v>0</v>
      </c>
      <c r="AR17" s="33">
        <f>VLOOKUP($A17,'[3]Feb_MidYear Adj'!$A$7:$N$137,10,FALSE)</f>
        <v>-19770</v>
      </c>
      <c r="AS17" s="34">
        <f t="shared" si="10"/>
        <v>-19770</v>
      </c>
      <c r="AT17" s="32">
        <f t="shared" si="11"/>
        <v>12439681</v>
      </c>
      <c r="AU17" s="33">
        <f>'4_Level 4'!E17</f>
        <v>0</v>
      </c>
      <c r="AV17" s="33">
        <f>'4_Level 4'!Q17</f>
        <v>40120</v>
      </c>
      <c r="AW17" s="32">
        <f t="shared" si="5"/>
        <v>12479801</v>
      </c>
      <c r="AX17" s="33">
        <f>('[4]2_State Distrib and Adjs'!AZ17*2)+'[5]2_State Distrib and Adjs'!AZ17+('[6]2_State Distrib and Adjs'!AZ17*3)+('[7]2_State Distrib and Adjs'!AZ17*2)</f>
        <v>8340596</v>
      </c>
      <c r="AY17" s="33">
        <f t="shared" si="12"/>
        <v>4139205</v>
      </c>
      <c r="AZ17" s="33">
        <f t="shared" si="6"/>
        <v>1034801</v>
      </c>
      <c r="BA17" s="33">
        <f>'4_Level 4'!J17</f>
        <v>0</v>
      </c>
      <c r="BB17" s="33">
        <f>'4_Level 4'!L17</f>
        <v>69167</v>
      </c>
      <c r="BC17" s="33">
        <f>'4_Level 4'!M17</f>
        <v>0</v>
      </c>
      <c r="BD17" s="32">
        <f t="shared" si="7"/>
        <v>12548968</v>
      </c>
    </row>
    <row r="18" spans="1:56" ht="15.6" customHeight="1" x14ac:dyDescent="0.2">
      <c r="A18" s="327">
        <v>12</v>
      </c>
      <c r="B18" s="328" t="s">
        <v>16</v>
      </c>
      <c r="C18" s="329">
        <f>'3_Levels 1&amp;2'!AP18</f>
        <v>3661119</v>
      </c>
      <c r="D18" s="329">
        <v>0</v>
      </c>
      <c r="E18" s="329">
        <f>-'5C1A_Madison'!$R18</f>
        <v>0</v>
      </c>
      <c r="F18" s="329">
        <f>-'5C1B_DArbonne'!$R18</f>
        <v>0</v>
      </c>
      <c r="G18" s="329">
        <f>-'5C1C_Intl High'!$R18</f>
        <v>0</v>
      </c>
      <c r="H18" s="329">
        <f>-'5C1D_NOMMA'!$R18</f>
        <v>0</v>
      </c>
      <c r="I18" s="329">
        <f>-'5C1E_LFNO'!$R18</f>
        <v>0</v>
      </c>
      <c r="J18" s="329">
        <f>-'5C1F_L.C. Charter'!$R18</f>
        <v>0</v>
      </c>
      <c r="K18" s="329">
        <f>-'5C1G_JS Clark'!$R18</f>
        <v>0</v>
      </c>
      <c r="L18" s="329">
        <f>-'5C1H_Southwest'!$R18</f>
        <v>0</v>
      </c>
      <c r="M18" s="329">
        <f>-'5C1I_LA Key'!$R18</f>
        <v>0</v>
      </c>
      <c r="N18" s="329">
        <f>-'5C1J_JCFA-East'!$R18</f>
        <v>0</v>
      </c>
      <c r="O18" s="329">
        <f>-'5C1M_GEO Mid'!$R18</f>
        <v>0</v>
      </c>
      <c r="P18" s="329">
        <f>-'5C1N_Delta'!$R18</f>
        <v>0</v>
      </c>
      <c r="Q18" s="329">
        <f>-'5C1O_Impact'!$R18</f>
        <v>0</v>
      </c>
      <c r="R18" s="329">
        <f>-'5C1Q_Advantage'!$R18</f>
        <v>0</v>
      </c>
      <c r="S18" s="329">
        <f>-'5C1R_Iberville'!$R18</f>
        <v>0</v>
      </c>
      <c r="T18" s="329">
        <f>-'5C1S_LC Col Prep'!$R18</f>
        <v>0</v>
      </c>
      <c r="U18" s="329">
        <f>-'5C1T_Northeast'!$R18</f>
        <v>0</v>
      </c>
      <c r="V18" s="329">
        <f>-'5C1U_Acadiana Ren'!$R18</f>
        <v>0</v>
      </c>
      <c r="W18" s="329">
        <f>-'5C1V_Laf Ren'!$R18</f>
        <v>0</v>
      </c>
      <c r="X18" s="329">
        <f>-'5C1W_Willow'!$R18</f>
        <v>0</v>
      </c>
      <c r="Y18" s="329">
        <f>-'5C1Y_GEO'!$R18</f>
        <v>0</v>
      </c>
      <c r="Z18" s="329">
        <f>-'5C1Z_Lincoln Prep'!$R18</f>
        <v>0</v>
      </c>
      <c r="AA18" s="329">
        <f>-'5C1AD_Greater'!$R18</f>
        <v>0</v>
      </c>
      <c r="AB18" s="329">
        <f>-'5C1AE_Noble Minds'!$R18</f>
        <v>0</v>
      </c>
      <c r="AC18" s="329">
        <f>-'5C1AF_JCFA-Laf'!$R18</f>
        <v>0</v>
      </c>
      <c r="AD18" s="329">
        <f>-'5C1AG_Collegiate'!$R18</f>
        <v>0</v>
      </c>
      <c r="AE18" s="329">
        <f>-'5C1AH_BRUP'!$R18</f>
        <v>0</v>
      </c>
      <c r="AF18" s="329">
        <f>-'5C1AI_Harmony'!$R18</f>
        <v>0</v>
      </c>
      <c r="AG18" s="329">
        <f>-'5C1AJ_Athlos'!$R18</f>
        <v>0</v>
      </c>
      <c r="AH18" s="329">
        <f>-('5C2_LAVCA'!$R18+'5C2_LAVCA'!$S18)</f>
        <v>-2458</v>
      </c>
      <c r="AI18" s="329">
        <f>-('5C3_UnvView'!$R18+'5C3_UnvView'!$S18)</f>
        <v>-3963</v>
      </c>
      <c r="AJ18" s="330">
        <f t="shared" si="3"/>
        <v>-6421</v>
      </c>
      <c r="AK18" s="330">
        <f t="shared" si="4"/>
        <v>3654698</v>
      </c>
      <c r="AL18" s="330">
        <f>ROUND(AK18/'8_2.1.19 SIS'!C18,0)</f>
        <v>2783</v>
      </c>
      <c r="AM18" s="330">
        <f>'3B_Pay Raise'!O18</f>
        <v>271281</v>
      </c>
      <c r="AN18" s="331">
        <f>'[1]LEA Summary'!$K18</f>
        <v>2550</v>
      </c>
      <c r="AO18" s="329">
        <f t="shared" si="8"/>
        <v>2550</v>
      </c>
      <c r="AP18" s="329">
        <f t="shared" si="9"/>
        <v>0</v>
      </c>
      <c r="AQ18" s="329">
        <f>VLOOKUP($A18,'[2]Oct_MidYear Adj'!$A$7:$N$137,10,FALSE)</f>
        <v>-58443</v>
      </c>
      <c r="AR18" s="329">
        <f>VLOOKUP($A18,'[3]Feb_MidYear Adj'!$A$7:$N$137,10,FALSE)</f>
        <v>-19481</v>
      </c>
      <c r="AS18" s="331">
        <f t="shared" si="10"/>
        <v>-77924</v>
      </c>
      <c r="AT18" s="330">
        <f t="shared" si="11"/>
        <v>3850605</v>
      </c>
      <c r="AU18" s="329">
        <f>'4_Level 4'!E18</f>
        <v>0</v>
      </c>
      <c r="AV18" s="329">
        <f>'4_Level 4'!Q18</f>
        <v>34279</v>
      </c>
      <c r="AW18" s="330">
        <f t="shared" si="5"/>
        <v>3884884</v>
      </c>
      <c r="AX18" s="329">
        <f>('[4]2_State Distrib and Adjs'!AZ18*2)+'[5]2_State Distrib and Adjs'!AZ18+('[6]2_State Distrib and Adjs'!AZ18*3)+('[7]2_State Distrib and Adjs'!AZ18*2)</f>
        <v>2646884</v>
      </c>
      <c r="AY18" s="329">
        <f t="shared" si="12"/>
        <v>1238000</v>
      </c>
      <c r="AZ18" s="329">
        <f t="shared" si="6"/>
        <v>309500</v>
      </c>
      <c r="BA18" s="329">
        <f>'4_Level 4'!J18</f>
        <v>0</v>
      </c>
      <c r="BB18" s="329">
        <f>'4_Level 4'!L18</f>
        <v>25000</v>
      </c>
      <c r="BC18" s="329">
        <f>'4_Level 4'!M18</f>
        <v>0</v>
      </c>
      <c r="BD18" s="330">
        <f t="shared" si="7"/>
        <v>3909884</v>
      </c>
    </row>
    <row r="19" spans="1:56" ht="15.6" customHeight="1" x14ac:dyDescent="0.2">
      <c r="A19" s="327">
        <v>13</v>
      </c>
      <c r="B19" s="328" t="s">
        <v>17</v>
      </c>
      <c r="C19" s="329">
        <f>'3_Levels 1&amp;2'!AP19</f>
        <v>9394152</v>
      </c>
      <c r="D19" s="329">
        <v>0</v>
      </c>
      <c r="E19" s="329">
        <f>-'5C1A_Madison'!$R19</f>
        <v>0</v>
      </c>
      <c r="F19" s="329">
        <f>-'5C1B_DArbonne'!$R19</f>
        <v>0</v>
      </c>
      <c r="G19" s="329">
        <f>-'5C1C_Intl High'!$R19</f>
        <v>0</v>
      </c>
      <c r="H19" s="329">
        <f>-'5C1D_NOMMA'!$R19</f>
        <v>0</v>
      </c>
      <c r="I19" s="329">
        <f>-'5C1E_LFNO'!$R19</f>
        <v>0</v>
      </c>
      <c r="J19" s="329">
        <f>-'5C1F_L.C. Charter'!$R19</f>
        <v>0</v>
      </c>
      <c r="K19" s="329">
        <f>-'5C1G_JS Clark'!$R19</f>
        <v>0</v>
      </c>
      <c r="L19" s="329">
        <f>-'5C1H_Southwest'!$R19</f>
        <v>0</v>
      </c>
      <c r="M19" s="329">
        <f>-'5C1I_LA Key'!$R19</f>
        <v>0</v>
      </c>
      <c r="N19" s="329">
        <f>-'5C1J_JCFA-East'!$R19</f>
        <v>0</v>
      </c>
      <c r="O19" s="329">
        <f>-'5C1M_GEO Mid'!$R19</f>
        <v>0</v>
      </c>
      <c r="P19" s="329">
        <f>-'5C1N_Delta'!$R19</f>
        <v>-578421</v>
      </c>
      <c r="Q19" s="329">
        <f>-'5C1O_Impact'!$R19</f>
        <v>0</v>
      </c>
      <c r="R19" s="329">
        <f>-'5C1Q_Advantage'!$R19</f>
        <v>0</v>
      </c>
      <c r="S19" s="329">
        <f>-'5C1R_Iberville'!$R19</f>
        <v>0</v>
      </c>
      <c r="T19" s="329">
        <f>-'5C1S_LC Col Prep'!$R19</f>
        <v>0</v>
      </c>
      <c r="U19" s="329">
        <f>-'5C1T_Northeast'!$R19</f>
        <v>0</v>
      </c>
      <c r="V19" s="329">
        <f>-'5C1U_Acadiana Ren'!$R19</f>
        <v>0</v>
      </c>
      <c r="W19" s="329">
        <f>-'5C1V_Laf Ren'!$R19</f>
        <v>0</v>
      </c>
      <c r="X19" s="329">
        <f>-'5C1W_Willow'!$R19</f>
        <v>0</v>
      </c>
      <c r="Y19" s="329">
        <f>-'5C1Y_GEO'!$R19</f>
        <v>0</v>
      </c>
      <c r="Z19" s="329">
        <f>-'5C1Z_Lincoln Prep'!$R19</f>
        <v>0</v>
      </c>
      <c r="AA19" s="329">
        <f>-'5C1AD_Greater'!$R19</f>
        <v>0</v>
      </c>
      <c r="AB19" s="329">
        <f>-'5C1AE_Noble Minds'!$R19</f>
        <v>0</v>
      </c>
      <c r="AC19" s="329">
        <f>-'5C1AF_JCFA-Laf'!$R19</f>
        <v>0</v>
      </c>
      <c r="AD19" s="329">
        <f>-'5C1AG_Collegiate'!$R19</f>
        <v>0</v>
      </c>
      <c r="AE19" s="329">
        <f>-'5C1AH_BRUP'!$R19</f>
        <v>0</v>
      </c>
      <c r="AF19" s="329">
        <f>-'5C1AI_Harmony'!$R19</f>
        <v>0</v>
      </c>
      <c r="AG19" s="329">
        <f>-'5C1AJ_Athlos'!$R19</f>
        <v>0</v>
      </c>
      <c r="AH19" s="329">
        <f>-('5C2_LAVCA'!$R19+'5C2_LAVCA'!$S19)</f>
        <v>-52617</v>
      </c>
      <c r="AI19" s="329">
        <f>-('5C3_UnvView'!$R19+'5C3_UnvView'!$S19)</f>
        <v>-28560</v>
      </c>
      <c r="AJ19" s="330">
        <f t="shared" si="3"/>
        <v>-659598</v>
      </c>
      <c r="AK19" s="330">
        <f t="shared" si="4"/>
        <v>8734554</v>
      </c>
      <c r="AL19" s="330">
        <f>ROUND(AK19/'8_2.1.19 SIS'!C19,0)</f>
        <v>7497</v>
      </c>
      <c r="AM19" s="330">
        <f>'3B_Pay Raise'!O19</f>
        <v>197586</v>
      </c>
      <c r="AN19" s="331">
        <f>'[1]LEA Summary'!$K19</f>
        <v>-181</v>
      </c>
      <c r="AO19" s="329">
        <f t="shared" si="8"/>
        <v>0</v>
      </c>
      <c r="AP19" s="329">
        <f t="shared" si="9"/>
        <v>-181</v>
      </c>
      <c r="AQ19" s="329">
        <f>VLOOKUP($A19,'[2]Oct_MidYear Adj'!$A$7:$N$137,10,FALSE)</f>
        <v>-374850</v>
      </c>
      <c r="AR19" s="329">
        <f>VLOOKUP($A19,'[3]Feb_MidYear Adj'!$A$7:$N$137,10,FALSE)</f>
        <v>-52479</v>
      </c>
      <c r="AS19" s="331">
        <f t="shared" si="10"/>
        <v>-427329</v>
      </c>
      <c r="AT19" s="330">
        <f t="shared" si="11"/>
        <v>8504630</v>
      </c>
      <c r="AU19" s="329">
        <f>'4_Level 4'!E19</f>
        <v>0</v>
      </c>
      <c r="AV19" s="329">
        <f>'4_Level 4'!Q19</f>
        <v>30326</v>
      </c>
      <c r="AW19" s="330">
        <f t="shared" si="5"/>
        <v>8534956</v>
      </c>
      <c r="AX19" s="329">
        <f>('[4]2_State Distrib and Adjs'!AZ19*2)+'[5]2_State Distrib and Adjs'!AZ19+('[6]2_State Distrib and Adjs'!AZ19*3)+('[7]2_State Distrib and Adjs'!AZ19*2)</f>
        <v>5852466</v>
      </c>
      <c r="AY19" s="329">
        <f t="shared" si="12"/>
        <v>2682490</v>
      </c>
      <c r="AZ19" s="329">
        <f t="shared" si="6"/>
        <v>670623</v>
      </c>
      <c r="BA19" s="329">
        <f>'4_Level 4'!J19</f>
        <v>0</v>
      </c>
      <c r="BB19" s="329">
        <f>'4_Level 4'!L19</f>
        <v>25000</v>
      </c>
      <c r="BC19" s="329">
        <f>'4_Level 4'!M19</f>
        <v>0</v>
      </c>
      <c r="BD19" s="330">
        <f t="shared" si="7"/>
        <v>8559956</v>
      </c>
    </row>
    <row r="20" spans="1:56" ht="15.6" customHeight="1" x14ac:dyDescent="0.2">
      <c r="A20" s="327">
        <v>14</v>
      </c>
      <c r="B20" s="328" t="s">
        <v>18</v>
      </c>
      <c r="C20" s="329">
        <f>'3_Levels 1&amp;2'!AP20</f>
        <v>12492523</v>
      </c>
      <c r="D20" s="329">
        <v>0</v>
      </c>
      <c r="E20" s="329">
        <f>-'5C1A_Madison'!$R20</f>
        <v>0</v>
      </c>
      <c r="F20" s="329">
        <f>-'5C1B_DArbonne'!$R20</f>
        <v>-17267</v>
      </c>
      <c r="G20" s="329">
        <f>-'5C1C_Intl High'!$R20</f>
        <v>0</v>
      </c>
      <c r="H20" s="329">
        <f>-'5C1D_NOMMA'!$R20</f>
        <v>0</v>
      </c>
      <c r="I20" s="329">
        <f>-'5C1E_LFNO'!$R20</f>
        <v>0</v>
      </c>
      <c r="J20" s="329">
        <f>-'5C1F_L.C. Charter'!$R20</f>
        <v>0</v>
      </c>
      <c r="K20" s="329">
        <f>-'5C1G_JS Clark'!$R20</f>
        <v>0</v>
      </c>
      <c r="L20" s="329">
        <f>-'5C1H_Southwest'!$R20</f>
        <v>0</v>
      </c>
      <c r="M20" s="329">
        <f>-'5C1I_LA Key'!$R20</f>
        <v>0</v>
      </c>
      <c r="N20" s="329">
        <f>-'5C1J_JCFA-East'!$R20</f>
        <v>0</v>
      </c>
      <c r="O20" s="329">
        <f>-'5C1M_GEO Mid'!$R20</f>
        <v>0</v>
      </c>
      <c r="P20" s="329">
        <f>-'5C1N_Delta'!$R20</f>
        <v>0</v>
      </c>
      <c r="Q20" s="329">
        <f>-'5C1O_Impact'!$R20</f>
        <v>0</v>
      </c>
      <c r="R20" s="329">
        <f>-'5C1Q_Advantage'!$R20</f>
        <v>0</v>
      </c>
      <c r="S20" s="329">
        <f>-'5C1R_Iberville'!$R20</f>
        <v>0</v>
      </c>
      <c r="T20" s="329">
        <f>-'5C1S_LC Col Prep'!$R20</f>
        <v>0</v>
      </c>
      <c r="U20" s="329">
        <f>-'5C1T_Northeast'!$R20</f>
        <v>-273724</v>
      </c>
      <c r="V20" s="329">
        <f>-'5C1U_Acadiana Ren'!$R20</f>
        <v>0</v>
      </c>
      <c r="W20" s="329">
        <f>-'5C1V_Laf Ren'!$R20</f>
        <v>0</v>
      </c>
      <c r="X20" s="329">
        <f>-'5C1W_Willow'!$R20</f>
        <v>0</v>
      </c>
      <c r="Y20" s="329">
        <f>-'5C1Y_GEO'!$R20</f>
        <v>0</v>
      </c>
      <c r="Z20" s="329">
        <f>-'5C1Z_Lincoln Prep'!$R20</f>
        <v>-308412</v>
      </c>
      <c r="AA20" s="329">
        <f>-'5C1AD_Greater'!$R20</f>
        <v>0</v>
      </c>
      <c r="AB20" s="329">
        <f>-'5C1AE_Noble Minds'!$R20</f>
        <v>0</v>
      </c>
      <c r="AC20" s="329">
        <f>-'5C1AF_JCFA-Laf'!$R20</f>
        <v>0</v>
      </c>
      <c r="AD20" s="329">
        <f>-'5C1AG_Collegiate'!$R20</f>
        <v>0</v>
      </c>
      <c r="AE20" s="329">
        <f>-'5C1AH_BRUP'!$R20</f>
        <v>0</v>
      </c>
      <c r="AF20" s="329">
        <f>-'5C1AI_Harmony'!$R20</f>
        <v>0</v>
      </c>
      <c r="AG20" s="329">
        <f>-'5C1AJ_Athlos'!$R20</f>
        <v>0</v>
      </c>
      <c r="AH20" s="329">
        <f>-('5C2_LAVCA'!$R20+'5C2_LAVCA'!$S20)</f>
        <v>-56183</v>
      </c>
      <c r="AI20" s="329">
        <f>-('5C3_UnvView'!$R20+'5C3_UnvView'!$S20)</f>
        <v>-41070</v>
      </c>
      <c r="AJ20" s="330">
        <f t="shared" si="3"/>
        <v>-696656</v>
      </c>
      <c r="AK20" s="330">
        <f t="shared" si="4"/>
        <v>11795867</v>
      </c>
      <c r="AL20" s="330">
        <f>ROUND(AK20/'8_2.1.19 SIS'!C20,0)</f>
        <v>7241</v>
      </c>
      <c r="AM20" s="330">
        <f>'3B_Pay Raise'!O20</f>
        <v>267137</v>
      </c>
      <c r="AN20" s="331">
        <f>'[1]LEA Summary'!$K20</f>
        <v>-3525</v>
      </c>
      <c r="AO20" s="329">
        <f t="shared" si="8"/>
        <v>0</v>
      </c>
      <c r="AP20" s="329">
        <f t="shared" si="9"/>
        <v>-3525</v>
      </c>
      <c r="AQ20" s="329">
        <f>VLOOKUP($A20,'[2]Oct_MidYear Adj'!$A$7:$N$137,10,FALSE)</f>
        <v>-246194</v>
      </c>
      <c r="AR20" s="329">
        <f>VLOOKUP($A20,'[3]Feb_MidYear Adj'!$A$7:$N$137,10,FALSE)</f>
        <v>28964</v>
      </c>
      <c r="AS20" s="331">
        <f t="shared" si="10"/>
        <v>-217230</v>
      </c>
      <c r="AT20" s="330">
        <f t="shared" si="11"/>
        <v>11842249</v>
      </c>
      <c r="AU20" s="329">
        <f>'4_Level 4'!E20</f>
        <v>0</v>
      </c>
      <c r="AV20" s="329">
        <f>'4_Level 4'!Q20</f>
        <v>39766</v>
      </c>
      <c r="AW20" s="330">
        <f t="shared" si="5"/>
        <v>11882015</v>
      </c>
      <c r="AX20" s="329">
        <f>('[4]2_State Distrib and Adjs'!AZ20*2)+'[5]2_State Distrib and Adjs'!AZ20+('[6]2_State Distrib and Adjs'!AZ20*3)+('[7]2_State Distrib and Adjs'!AZ20*2)</f>
        <v>8061358</v>
      </c>
      <c r="AY20" s="329">
        <f t="shared" si="12"/>
        <v>3820657</v>
      </c>
      <c r="AZ20" s="329">
        <f t="shared" si="6"/>
        <v>955164</v>
      </c>
      <c r="BA20" s="329">
        <f>'4_Level 4'!J20</f>
        <v>0</v>
      </c>
      <c r="BB20" s="329">
        <f>'4_Level 4'!L20</f>
        <v>64588</v>
      </c>
      <c r="BC20" s="329">
        <f>'4_Level 4'!M20</f>
        <v>0</v>
      </c>
      <c r="BD20" s="330">
        <f t="shared" si="7"/>
        <v>11946603</v>
      </c>
    </row>
    <row r="21" spans="1:56" ht="15.6" customHeight="1" x14ac:dyDescent="0.2">
      <c r="A21" s="332">
        <v>15</v>
      </c>
      <c r="B21" s="333" t="s">
        <v>19</v>
      </c>
      <c r="C21" s="334">
        <f>'3_Levels 1&amp;2'!AP21</f>
        <v>24593174</v>
      </c>
      <c r="D21" s="334">
        <v>0</v>
      </c>
      <c r="E21" s="334">
        <f>-'5C1A_Madison'!$R21</f>
        <v>0</v>
      </c>
      <c r="F21" s="334">
        <f>-'5C1B_DArbonne'!$R21</f>
        <v>0</v>
      </c>
      <c r="G21" s="334">
        <f>-'5C1C_Intl High'!$R21</f>
        <v>0</v>
      </c>
      <c r="H21" s="334">
        <f>-'5C1D_NOMMA'!$R21</f>
        <v>0</v>
      </c>
      <c r="I21" s="334">
        <f>-'5C1E_LFNO'!$R21</f>
        <v>0</v>
      </c>
      <c r="J21" s="334">
        <f>-'5C1F_L.C. Charter'!$R21</f>
        <v>0</v>
      </c>
      <c r="K21" s="334">
        <f>-'5C1G_JS Clark'!$R21</f>
        <v>0</v>
      </c>
      <c r="L21" s="334">
        <f>-'5C1H_Southwest'!$R21</f>
        <v>0</v>
      </c>
      <c r="M21" s="334">
        <f>-'5C1I_LA Key'!$R21</f>
        <v>0</v>
      </c>
      <c r="N21" s="334">
        <f>-'5C1J_JCFA-East'!$R21</f>
        <v>0</v>
      </c>
      <c r="O21" s="334">
        <f>-'5C1M_GEO Mid'!$R21</f>
        <v>0</v>
      </c>
      <c r="P21" s="334">
        <f>-'5C1N_Delta'!$R21</f>
        <v>-2130400</v>
      </c>
      <c r="Q21" s="334">
        <f>-'5C1O_Impact'!$R21</f>
        <v>0</v>
      </c>
      <c r="R21" s="334">
        <f>-'5C1Q_Advantage'!$R21</f>
        <v>0</v>
      </c>
      <c r="S21" s="334">
        <f>-'5C1R_Iberville'!$R21</f>
        <v>0</v>
      </c>
      <c r="T21" s="334">
        <f>-'5C1S_LC Col Prep'!$R21</f>
        <v>0</v>
      </c>
      <c r="U21" s="334">
        <f>-'5C1T_Northeast'!$R21</f>
        <v>0</v>
      </c>
      <c r="V21" s="334">
        <f>-'5C1U_Acadiana Ren'!$R21</f>
        <v>0</v>
      </c>
      <c r="W21" s="334">
        <f>-'5C1V_Laf Ren'!$R21</f>
        <v>0</v>
      </c>
      <c r="X21" s="334">
        <f>-'5C1W_Willow'!$R21</f>
        <v>0</v>
      </c>
      <c r="Y21" s="334">
        <f>-'5C1Y_GEO'!$R21</f>
        <v>0</v>
      </c>
      <c r="Z21" s="334">
        <f>-'5C1Z_Lincoln Prep'!$R21</f>
        <v>0</v>
      </c>
      <c r="AA21" s="334">
        <f>-'5C1AD_Greater'!$R21</f>
        <v>0</v>
      </c>
      <c r="AB21" s="610">
        <f>-'5C1AE_Noble Minds'!$R21</f>
        <v>0</v>
      </c>
      <c r="AC21" s="610">
        <f>-'5C1AF_JCFA-Laf'!$R21</f>
        <v>0</v>
      </c>
      <c r="AD21" s="610">
        <f>-'5C1AG_Collegiate'!$R21</f>
        <v>0</v>
      </c>
      <c r="AE21" s="334">
        <f>-'5C1AH_BRUP'!$R21</f>
        <v>0</v>
      </c>
      <c r="AF21" s="881">
        <f>-'5C1AI_Harmony'!$R21</f>
        <v>0</v>
      </c>
      <c r="AG21" s="881">
        <f>-'5C1AJ_Athlos'!$R21</f>
        <v>0</v>
      </c>
      <c r="AH21" s="334">
        <f>-('5C2_LAVCA'!$R21+'5C2_LAVCA'!$S21)</f>
        <v>-64924</v>
      </c>
      <c r="AI21" s="334">
        <f>-('5C3_UnvView'!$R21+'5C3_UnvView'!$S21)</f>
        <v>-11789</v>
      </c>
      <c r="AJ21" s="335">
        <f t="shared" si="3"/>
        <v>-2207113</v>
      </c>
      <c r="AK21" s="335">
        <f t="shared" si="4"/>
        <v>22386061</v>
      </c>
      <c r="AL21" s="335">
        <f>ROUND(AK21/'8_2.1.19 SIS'!C21,0)</f>
        <v>6976</v>
      </c>
      <c r="AM21" s="1064">
        <f>'3B_Pay Raise'!O21</f>
        <v>522011</v>
      </c>
      <c r="AN21" s="336">
        <f>'[1]LEA Summary'!$K21</f>
        <v>-14116</v>
      </c>
      <c r="AO21" s="334">
        <f t="shared" si="8"/>
        <v>0</v>
      </c>
      <c r="AP21" s="334">
        <f t="shared" si="9"/>
        <v>-14116</v>
      </c>
      <c r="AQ21" s="334">
        <f>VLOOKUP($A21,'[2]Oct_MidYear Adj'!$A$7:$N$137,10,FALSE)</f>
        <v>-230208</v>
      </c>
      <c r="AR21" s="334">
        <f>VLOOKUP($A21,'[3]Feb_MidYear Adj'!$A$7:$N$137,10,FALSE)</f>
        <v>3488</v>
      </c>
      <c r="AS21" s="336">
        <f t="shared" si="10"/>
        <v>-226720</v>
      </c>
      <c r="AT21" s="335">
        <f t="shared" si="11"/>
        <v>22667236</v>
      </c>
      <c r="AU21" s="334">
        <f>'4_Level 4'!E21</f>
        <v>42000</v>
      </c>
      <c r="AV21" s="334">
        <f>'4_Level 4'!Q21</f>
        <v>83131</v>
      </c>
      <c r="AW21" s="335">
        <f t="shared" si="5"/>
        <v>22792367</v>
      </c>
      <c r="AX21" s="334">
        <f>('[4]2_State Distrib and Adjs'!AZ21*2)+'[5]2_State Distrib and Adjs'!AZ21+('[6]2_State Distrib and Adjs'!AZ21*3)+('[7]2_State Distrib and Adjs'!AZ21*2)</f>
        <v>15346538</v>
      </c>
      <c r="AY21" s="334">
        <f t="shared" si="12"/>
        <v>7445829</v>
      </c>
      <c r="AZ21" s="334">
        <f t="shared" si="6"/>
        <v>1861457</v>
      </c>
      <c r="BA21" s="334">
        <f>'4_Level 4'!J21</f>
        <v>0</v>
      </c>
      <c r="BB21" s="334">
        <f>'4_Level 4'!L21</f>
        <v>97364</v>
      </c>
      <c r="BC21" s="334">
        <f>'4_Level 4'!M21</f>
        <v>0</v>
      </c>
      <c r="BD21" s="335">
        <f t="shared" si="7"/>
        <v>22889731</v>
      </c>
    </row>
    <row r="22" spans="1:56" ht="15.6" customHeight="1" x14ac:dyDescent="0.2">
      <c r="A22" s="325">
        <v>16</v>
      </c>
      <c r="B22" s="326" t="s">
        <v>20</v>
      </c>
      <c r="C22" s="33">
        <f>'3_Levels 1&amp;2'!AP22</f>
        <v>13836319</v>
      </c>
      <c r="D22" s="33">
        <v>0</v>
      </c>
      <c r="E22" s="33">
        <f>-'5C1A_Madison'!$R22</f>
        <v>0</v>
      </c>
      <c r="F22" s="33">
        <f>-'5C1B_DArbonne'!$R22</f>
        <v>0</v>
      </c>
      <c r="G22" s="33">
        <f>-'5C1C_Intl High'!$R22</f>
        <v>0</v>
      </c>
      <c r="H22" s="33">
        <f>-'5C1D_NOMMA'!$R22</f>
        <v>0</v>
      </c>
      <c r="I22" s="33">
        <f>-'5C1E_LFNO'!$R22</f>
        <v>0</v>
      </c>
      <c r="J22" s="33">
        <f>-'5C1F_L.C. Charter'!$R22</f>
        <v>0</v>
      </c>
      <c r="K22" s="33">
        <f>-'5C1G_JS Clark'!$R22</f>
        <v>0</v>
      </c>
      <c r="L22" s="33">
        <f>-'5C1H_Southwest'!$R22</f>
        <v>0</v>
      </c>
      <c r="M22" s="33">
        <f>-'5C1I_LA Key'!$R22</f>
        <v>0</v>
      </c>
      <c r="N22" s="33">
        <f>-'5C1J_JCFA-East'!$R22</f>
        <v>0</v>
      </c>
      <c r="O22" s="33">
        <f>-'5C1M_GEO Mid'!$R22</f>
        <v>0</v>
      </c>
      <c r="P22" s="33">
        <f>-'5C1N_Delta'!$R22</f>
        <v>0</v>
      </c>
      <c r="Q22" s="33">
        <f>-'5C1O_Impact'!$R22</f>
        <v>0</v>
      </c>
      <c r="R22" s="33">
        <f>-'5C1Q_Advantage'!$R22</f>
        <v>0</v>
      </c>
      <c r="S22" s="33">
        <f>-'5C1R_Iberville'!$R22</f>
        <v>0</v>
      </c>
      <c r="T22" s="33">
        <f>-'5C1S_LC Col Prep'!$R22</f>
        <v>0</v>
      </c>
      <c r="U22" s="33">
        <f>-'5C1T_Northeast'!$R22</f>
        <v>0</v>
      </c>
      <c r="V22" s="33">
        <f>-'5C1U_Acadiana Ren'!$R22</f>
        <v>0</v>
      </c>
      <c r="W22" s="33">
        <f>-'5C1V_Laf Ren'!$R22</f>
        <v>0</v>
      </c>
      <c r="X22" s="33">
        <f>-'5C1W_Willow'!$R22</f>
        <v>0</v>
      </c>
      <c r="Y22" s="33">
        <f>-'5C1Y_GEO'!$R22</f>
        <v>0</v>
      </c>
      <c r="Z22" s="33">
        <f>-'5C1Z_Lincoln Prep'!$R22</f>
        <v>0</v>
      </c>
      <c r="AA22" s="33">
        <f>-'5C1AD_Greater'!$R22</f>
        <v>0</v>
      </c>
      <c r="AB22" s="33">
        <f>-'5C1AE_Noble Minds'!$R22</f>
        <v>0</v>
      </c>
      <c r="AC22" s="33">
        <f>-'5C1AF_JCFA-Laf'!$R22</f>
        <v>0</v>
      </c>
      <c r="AD22" s="33">
        <f>-'5C1AG_Collegiate'!$R22</f>
        <v>0</v>
      </c>
      <c r="AE22" s="33">
        <f>-'5C1AH_BRUP'!$R22</f>
        <v>0</v>
      </c>
      <c r="AF22" s="33">
        <f>-'5C1AI_Harmony'!$R22</f>
        <v>0</v>
      </c>
      <c r="AG22" s="33">
        <f>-'5C1AJ_Athlos'!$R22</f>
        <v>0</v>
      </c>
      <c r="AH22" s="33">
        <f>-('5C2_LAVCA'!$R22+'5C2_LAVCA'!$S22)</f>
        <v>-47517</v>
      </c>
      <c r="AI22" s="33">
        <f>-('5C3_UnvView'!$R22+'5C3_UnvView'!$S22)</f>
        <v>-28558</v>
      </c>
      <c r="AJ22" s="32">
        <f t="shared" si="3"/>
        <v>-76075</v>
      </c>
      <c r="AK22" s="32">
        <f t="shared" si="4"/>
        <v>13760244</v>
      </c>
      <c r="AL22" s="32">
        <f>ROUND(AK22/'8_2.1.19 SIS'!C22,0)</f>
        <v>2869</v>
      </c>
      <c r="AM22" s="32">
        <f>'3B_Pay Raise'!O22</f>
        <v>737057</v>
      </c>
      <c r="AN22" s="34">
        <f>'[1]LEA Summary'!$K22</f>
        <v>-7665</v>
      </c>
      <c r="AO22" s="33">
        <f t="shared" si="8"/>
        <v>0</v>
      </c>
      <c r="AP22" s="33">
        <f t="shared" si="9"/>
        <v>-7665</v>
      </c>
      <c r="AQ22" s="33">
        <f>VLOOKUP($A22,'[2]Oct_MidYear Adj'!$A$7:$N$137,10,FALSE)</f>
        <v>-68856</v>
      </c>
      <c r="AR22" s="33">
        <f>VLOOKUP($A22,'[3]Feb_MidYear Adj'!$A$7:$N$137,10,FALSE)</f>
        <v>15780</v>
      </c>
      <c r="AS22" s="34">
        <f t="shared" si="10"/>
        <v>-53076</v>
      </c>
      <c r="AT22" s="32">
        <f t="shared" si="11"/>
        <v>14436560</v>
      </c>
      <c r="AU22" s="33">
        <f>'4_Level 4'!E22</f>
        <v>0</v>
      </c>
      <c r="AV22" s="33">
        <f>'4_Level 4'!Q22</f>
        <v>127145</v>
      </c>
      <c r="AW22" s="32">
        <f t="shared" si="5"/>
        <v>14563705</v>
      </c>
      <c r="AX22" s="33">
        <f>('[4]2_State Distrib and Adjs'!AZ22*2)+'[5]2_State Distrib and Adjs'!AZ22+('[6]2_State Distrib and Adjs'!AZ22*3)+('[7]2_State Distrib and Adjs'!AZ22*2)</f>
        <v>9746030</v>
      </c>
      <c r="AY22" s="33">
        <f t="shared" si="12"/>
        <v>4817675</v>
      </c>
      <c r="AZ22" s="33">
        <f t="shared" si="6"/>
        <v>1204419</v>
      </c>
      <c r="BA22" s="33">
        <f>'4_Level 4'!J22</f>
        <v>0</v>
      </c>
      <c r="BB22" s="33">
        <f>'4_Level 4'!L22</f>
        <v>173279</v>
      </c>
      <c r="BC22" s="33">
        <f>'4_Level 4'!M22</f>
        <v>356715</v>
      </c>
      <c r="BD22" s="32">
        <f t="shared" si="7"/>
        <v>15093699</v>
      </c>
    </row>
    <row r="23" spans="1:56" ht="15.6" customHeight="1" x14ac:dyDescent="0.2">
      <c r="A23" s="327">
        <v>17</v>
      </c>
      <c r="B23" s="328" t="s">
        <v>21</v>
      </c>
      <c r="C23" s="329">
        <f>'3_Levels 1&amp;2'!AP23</f>
        <v>188676282</v>
      </c>
      <c r="D23" s="329">
        <f>-('5B2_RSD LA'!J17-'5B2_RSD LA'!I17)-('5B2_RSD LA'!J8-'5B2_RSD LA'!I8)</f>
        <v>-9137591</v>
      </c>
      <c r="E23" s="329">
        <f>-'5C1A_Madison'!$R23</f>
        <v>-2090745</v>
      </c>
      <c r="F23" s="329">
        <f>-'5C1B_DArbonne'!$R23</f>
        <v>0</v>
      </c>
      <c r="G23" s="329">
        <f>-'5C1C_Intl High'!$R23</f>
        <v>0</v>
      </c>
      <c r="H23" s="329">
        <f>-'5C1D_NOMMA'!$R23</f>
        <v>0</v>
      </c>
      <c r="I23" s="329">
        <f>-'5C1E_LFNO'!$R23</f>
        <v>0</v>
      </c>
      <c r="J23" s="329">
        <f>-'5C1F_L.C. Charter'!$R23</f>
        <v>0</v>
      </c>
      <c r="K23" s="329">
        <f>-'5C1G_JS Clark'!$R23</f>
        <v>0</v>
      </c>
      <c r="L23" s="329">
        <f>-'5C1H_Southwest'!$R23</f>
        <v>0</v>
      </c>
      <c r="M23" s="329">
        <f>-'5C1I_LA Key'!$R23</f>
        <v>-1313264</v>
      </c>
      <c r="N23" s="329">
        <f>-'5C1J_JCFA-East'!$R23</f>
        <v>0</v>
      </c>
      <c r="O23" s="329">
        <f>-'5C1M_GEO Mid'!$R23</f>
        <v>-2566966</v>
      </c>
      <c r="P23" s="329">
        <f>-'5C1N_Delta'!$R23</f>
        <v>0</v>
      </c>
      <c r="Q23" s="329">
        <f>-'5C1O_Impact'!$R23</f>
        <v>-727491</v>
      </c>
      <c r="R23" s="329">
        <f>-'5C1Q_Advantage'!$R23</f>
        <v>-917650</v>
      </c>
      <c r="S23" s="329">
        <f>-'5C1R_Iberville'!$R23</f>
        <v>-7862</v>
      </c>
      <c r="T23" s="329">
        <f>-'5C1S_LC Col Prep'!$R23</f>
        <v>0</v>
      </c>
      <c r="U23" s="329">
        <f>-'5C1T_Northeast'!$R23</f>
        <v>0</v>
      </c>
      <c r="V23" s="329">
        <f>-'5C1U_Acadiana Ren'!$R23</f>
        <v>0</v>
      </c>
      <c r="W23" s="329">
        <f>-'5C1V_Laf Ren'!$R23</f>
        <v>0</v>
      </c>
      <c r="X23" s="329">
        <f>-'5C1W_Willow'!$R23</f>
        <v>0</v>
      </c>
      <c r="Y23" s="329">
        <f>-'5C1Y_GEO'!$R23</f>
        <v>-1969193</v>
      </c>
      <c r="Z23" s="329">
        <f>-'5C1Z_Lincoln Prep'!$R23</f>
        <v>0</v>
      </c>
      <c r="AA23" s="329">
        <f>-'5C1AD_Greater'!$R23</f>
        <v>0</v>
      </c>
      <c r="AB23" s="329">
        <f>-'5C1AE_Noble Minds'!$R23</f>
        <v>0</v>
      </c>
      <c r="AC23" s="329">
        <f>-'5C1AF_JCFA-Laf'!$R23</f>
        <v>0</v>
      </c>
      <c r="AD23" s="329">
        <f>-'5C1AG_Collegiate'!$R23</f>
        <v>-1122784</v>
      </c>
      <c r="AE23" s="329">
        <f>-'5C1AH_BRUP'!$R23</f>
        <v>-1287377</v>
      </c>
      <c r="AF23" s="329">
        <f>-'5C1AI_Harmony'!$R23</f>
        <v>0</v>
      </c>
      <c r="AG23" s="329">
        <f>-'5C1AJ_Athlos'!$R23</f>
        <v>0</v>
      </c>
      <c r="AH23" s="329">
        <f>-('5C2_LAVCA'!$R23+'5C2_LAVCA'!$S23)</f>
        <v>-471549</v>
      </c>
      <c r="AI23" s="329">
        <f>-('5C3_UnvView'!$R23+'5C3_UnvView'!$S23)</f>
        <v>-964728</v>
      </c>
      <c r="AJ23" s="330">
        <f t="shared" si="3"/>
        <v>-22577200</v>
      </c>
      <c r="AK23" s="330">
        <f t="shared" si="4"/>
        <v>166099082</v>
      </c>
      <c r="AL23" s="330">
        <f>ROUND(AK23/'8_2.1.19 SIS'!C23,0)</f>
        <v>4211</v>
      </c>
      <c r="AM23" s="330">
        <f>'3B_Pay Raise'!O23</f>
        <v>6204975</v>
      </c>
      <c r="AN23" s="331">
        <f>'[1]LEA Summary'!$K23</f>
        <v>-21234</v>
      </c>
      <c r="AO23" s="329">
        <f t="shared" si="8"/>
        <v>0</v>
      </c>
      <c r="AP23" s="329">
        <f t="shared" si="9"/>
        <v>-21234</v>
      </c>
      <c r="AQ23" s="329">
        <f>VLOOKUP($A23,'[2]Oct_MidYear Adj'!$A$7:$N$137,10,FALSE)</f>
        <v>922209</v>
      </c>
      <c r="AR23" s="329">
        <f>VLOOKUP($A23,'[3]Feb_MidYear Adj'!$A$7:$N$137,10,FALSE)</f>
        <v>-437944</v>
      </c>
      <c r="AS23" s="331">
        <f t="shared" si="10"/>
        <v>484265</v>
      </c>
      <c r="AT23" s="330">
        <f t="shared" si="11"/>
        <v>172767088</v>
      </c>
      <c r="AU23" s="329">
        <f>'4_Level 4'!E23</f>
        <v>420000</v>
      </c>
      <c r="AV23" s="329">
        <f>'4_Level 4'!Q23</f>
        <v>965712</v>
      </c>
      <c r="AW23" s="330">
        <f t="shared" si="5"/>
        <v>174152800</v>
      </c>
      <c r="AX23" s="329">
        <f>('[4]2_State Distrib and Adjs'!AZ23*2)+'[5]2_State Distrib and Adjs'!AZ23+('[6]2_State Distrib and Adjs'!AZ23*3)+('[7]2_State Distrib and Adjs'!AZ23*2)</f>
        <v>115882945</v>
      </c>
      <c r="AY23" s="329">
        <f t="shared" si="12"/>
        <v>58269855</v>
      </c>
      <c r="AZ23" s="329">
        <f t="shared" si="6"/>
        <v>14567464</v>
      </c>
      <c r="BA23" s="329">
        <f>'4_Level 4'!J23</f>
        <v>42000</v>
      </c>
      <c r="BB23" s="329">
        <f>'4_Level 4'!L23</f>
        <v>612381</v>
      </c>
      <c r="BC23" s="329">
        <f>'4_Level 4'!M23</f>
        <v>181722</v>
      </c>
      <c r="BD23" s="330">
        <f t="shared" si="7"/>
        <v>174988903</v>
      </c>
    </row>
    <row r="24" spans="1:56" ht="15.6" customHeight="1" x14ac:dyDescent="0.2">
      <c r="A24" s="327">
        <v>18</v>
      </c>
      <c r="B24" s="328" t="s">
        <v>22</v>
      </c>
      <c r="C24" s="329">
        <f>'3_Levels 1&amp;2'!AP24</f>
        <v>6470537</v>
      </c>
      <c r="D24" s="329">
        <v>0</v>
      </c>
      <c r="E24" s="329">
        <f>-'5C1A_Madison'!$R24</f>
        <v>0</v>
      </c>
      <c r="F24" s="329">
        <f>-'5C1B_DArbonne'!$R24</f>
        <v>0</v>
      </c>
      <c r="G24" s="329">
        <f>-'5C1C_Intl High'!$R24</f>
        <v>0</v>
      </c>
      <c r="H24" s="329">
        <f>-'5C1D_NOMMA'!$R24</f>
        <v>0</v>
      </c>
      <c r="I24" s="329">
        <f>-'5C1E_LFNO'!$R24</f>
        <v>0</v>
      </c>
      <c r="J24" s="329">
        <f>-'5C1F_L.C. Charter'!$R24</f>
        <v>0</v>
      </c>
      <c r="K24" s="329">
        <f>-'5C1G_JS Clark'!$R24</f>
        <v>0</v>
      </c>
      <c r="L24" s="329">
        <f>-'5C1H_Southwest'!$R24</f>
        <v>0</v>
      </c>
      <c r="M24" s="329">
        <f>-'5C1I_LA Key'!$R24</f>
        <v>0</v>
      </c>
      <c r="N24" s="329">
        <f>-'5C1J_JCFA-East'!$R24</f>
        <v>0</v>
      </c>
      <c r="O24" s="329">
        <f>-'5C1M_GEO Mid'!$R24</f>
        <v>0</v>
      </c>
      <c r="P24" s="329">
        <f>-'5C1N_Delta'!$R24</f>
        <v>0</v>
      </c>
      <c r="Q24" s="329">
        <f>-'5C1O_Impact'!$R24</f>
        <v>0</v>
      </c>
      <c r="R24" s="329">
        <f>-'5C1Q_Advantage'!$R24</f>
        <v>0</v>
      </c>
      <c r="S24" s="329">
        <f>-'5C1R_Iberville'!$R24</f>
        <v>0</v>
      </c>
      <c r="T24" s="329">
        <f>-'5C1S_LC Col Prep'!$R24</f>
        <v>0</v>
      </c>
      <c r="U24" s="329">
        <f>-'5C1T_Northeast'!$R24</f>
        <v>0</v>
      </c>
      <c r="V24" s="329">
        <f>-'5C1U_Acadiana Ren'!$R24</f>
        <v>0</v>
      </c>
      <c r="W24" s="329">
        <f>-'5C1V_Laf Ren'!$R24</f>
        <v>0</v>
      </c>
      <c r="X24" s="329">
        <f>-'5C1W_Willow'!$R24</f>
        <v>0</v>
      </c>
      <c r="Y24" s="329">
        <f>-'5C1Y_GEO'!$R24</f>
        <v>0</v>
      </c>
      <c r="Z24" s="329">
        <f>-'5C1Z_Lincoln Prep'!$R24</f>
        <v>0</v>
      </c>
      <c r="AA24" s="329">
        <f>-'5C1AD_Greater'!$R24</f>
        <v>0</v>
      </c>
      <c r="AB24" s="329">
        <f>-'5C1AE_Noble Minds'!$R24</f>
        <v>0</v>
      </c>
      <c r="AC24" s="329">
        <f>-'5C1AF_JCFA-Laf'!$R24</f>
        <v>0</v>
      </c>
      <c r="AD24" s="329">
        <f>-'5C1AG_Collegiate'!$R24</f>
        <v>0</v>
      </c>
      <c r="AE24" s="329">
        <f>-'5C1AH_BRUP'!$R24</f>
        <v>0</v>
      </c>
      <c r="AF24" s="329">
        <f>-'5C1AI_Harmony'!$R24</f>
        <v>0</v>
      </c>
      <c r="AG24" s="329">
        <f>-'5C1AJ_Athlos'!$R24</f>
        <v>0</v>
      </c>
      <c r="AH24" s="329">
        <f>-('5C2_LAVCA'!$R24+'5C2_LAVCA'!$S24)</f>
        <v>-16177</v>
      </c>
      <c r="AI24" s="329">
        <f>-('5C3_UnvView'!$R24+'5C3_UnvView'!$S24)</f>
        <v>-16263</v>
      </c>
      <c r="AJ24" s="330">
        <f t="shared" si="3"/>
        <v>-32440</v>
      </c>
      <c r="AK24" s="330">
        <f t="shared" si="4"/>
        <v>6438097</v>
      </c>
      <c r="AL24" s="330">
        <f>ROUND(AK24/'8_2.1.19 SIS'!C24,0)</f>
        <v>7210</v>
      </c>
      <c r="AM24" s="330">
        <f>'3B_Pay Raise'!O24</f>
        <v>141488</v>
      </c>
      <c r="AN24" s="331">
        <f>'[1]LEA Summary'!$K24</f>
        <v>-11374</v>
      </c>
      <c r="AO24" s="329">
        <f t="shared" si="8"/>
        <v>0</v>
      </c>
      <c r="AP24" s="329">
        <f t="shared" si="9"/>
        <v>-11374</v>
      </c>
      <c r="AQ24" s="329">
        <f>VLOOKUP($A24,'[2]Oct_MidYear Adj'!$A$7:$N$137,10,FALSE)</f>
        <v>-21630</v>
      </c>
      <c r="AR24" s="329">
        <f>VLOOKUP($A24,'[3]Feb_MidYear Adj'!$A$7:$N$137,10,FALSE)</f>
        <v>-68495</v>
      </c>
      <c r="AS24" s="331">
        <f t="shared" si="10"/>
        <v>-90125</v>
      </c>
      <c r="AT24" s="330">
        <f t="shared" si="11"/>
        <v>6478086</v>
      </c>
      <c r="AU24" s="329">
        <f>'4_Level 4'!E24</f>
        <v>42000</v>
      </c>
      <c r="AV24" s="329">
        <f>'4_Level 4'!Q24</f>
        <v>23659</v>
      </c>
      <c r="AW24" s="330">
        <f t="shared" si="5"/>
        <v>6543745</v>
      </c>
      <c r="AX24" s="329">
        <f>('[4]2_State Distrib and Adjs'!AZ24*2)+'[5]2_State Distrib and Adjs'!AZ24+('[6]2_State Distrib and Adjs'!AZ24*3)+('[7]2_State Distrib and Adjs'!AZ24*2)</f>
        <v>4419414</v>
      </c>
      <c r="AY24" s="329">
        <f t="shared" si="12"/>
        <v>2124331</v>
      </c>
      <c r="AZ24" s="329">
        <f t="shared" si="6"/>
        <v>531083</v>
      </c>
      <c r="BA24" s="329">
        <f>'4_Level 4'!J24</f>
        <v>0</v>
      </c>
      <c r="BB24" s="329">
        <f>'4_Level 4'!L24</f>
        <v>33017</v>
      </c>
      <c r="BC24" s="329">
        <f>'4_Level 4'!M24</f>
        <v>0</v>
      </c>
      <c r="BD24" s="330">
        <f t="shared" si="7"/>
        <v>6576762</v>
      </c>
    </row>
    <row r="25" spans="1:56" ht="15.6" customHeight="1" x14ac:dyDescent="0.2">
      <c r="A25" s="327">
        <v>19</v>
      </c>
      <c r="B25" s="328" t="s">
        <v>23</v>
      </c>
      <c r="C25" s="329">
        <f>'3_Levels 1&amp;2'!AP25</f>
        <v>10993040</v>
      </c>
      <c r="D25" s="329">
        <v>0</v>
      </c>
      <c r="E25" s="329">
        <f>-'5C1A_Madison'!$R25</f>
        <v>0</v>
      </c>
      <c r="F25" s="329">
        <f>-'5C1B_DArbonne'!$R25</f>
        <v>0</v>
      </c>
      <c r="G25" s="329">
        <f>-'5C1C_Intl High'!$R25</f>
        <v>0</v>
      </c>
      <c r="H25" s="329">
        <f>-'5C1D_NOMMA'!$R25</f>
        <v>0</v>
      </c>
      <c r="I25" s="329">
        <f>-'5C1E_LFNO'!$R25</f>
        <v>0</v>
      </c>
      <c r="J25" s="329">
        <f>-'5C1F_L.C. Charter'!$R25</f>
        <v>0</v>
      </c>
      <c r="K25" s="329">
        <f>-'5C1G_JS Clark'!$R25</f>
        <v>0</v>
      </c>
      <c r="L25" s="329">
        <f>-'5C1H_Southwest'!$R25</f>
        <v>0</v>
      </c>
      <c r="M25" s="329">
        <f>-'5C1I_LA Key'!$R25</f>
        <v>-49641</v>
      </c>
      <c r="N25" s="329">
        <f>-'5C1J_JCFA-East'!$R25</f>
        <v>0</v>
      </c>
      <c r="O25" s="329">
        <f>-'5C1M_GEO Mid'!$R25</f>
        <v>0</v>
      </c>
      <c r="P25" s="329">
        <f>-'5C1N_Delta'!$R25</f>
        <v>0</v>
      </c>
      <c r="Q25" s="329">
        <f>-'5C1O_Impact'!$R25</f>
        <v>-5235</v>
      </c>
      <c r="R25" s="329">
        <f>-'5C1Q_Advantage'!$R25</f>
        <v>-136914</v>
      </c>
      <c r="S25" s="329">
        <f>-'5C1R_Iberville'!$R25</f>
        <v>0</v>
      </c>
      <c r="T25" s="329">
        <f>-'5C1S_LC Col Prep'!$R25</f>
        <v>0</v>
      </c>
      <c r="U25" s="329">
        <f>-'5C1T_Northeast'!$R25</f>
        <v>0</v>
      </c>
      <c r="V25" s="329">
        <f>-'5C1U_Acadiana Ren'!$R25</f>
        <v>0</v>
      </c>
      <c r="W25" s="329">
        <f>-'5C1V_Laf Ren'!$R25</f>
        <v>0</v>
      </c>
      <c r="X25" s="329">
        <f>-'5C1W_Willow'!$R25</f>
        <v>0</v>
      </c>
      <c r="Y25" s="329">
        <f>-'5C1Y_GEO'!$R25</f>
        <v>0</v>
      </c>
      <c r="Z25" s="329">
        <f>-'5C1Z_Lincoln Prep'!$R25</f>
        <v>0</v>
      </c>
      <c r="AA25" s="329">
        <f>-'5C1AD_Greater'!$R25</f>
        <v>0</v>
      </c>
      <c r="AB25" s="329">
        <f>-'5C1AE_Noble Minds'!$R25</f>
        <v>0</v>
      </c>
      <c r="AC25" s="329">
        <f>-'5C1AF_JCFA-Laf'!$R25</f>
        <v>0</v>
      </c>
      <c r="AD25" s="329">
        <f>-'5C1AG_Collegiate'!$R25</f>
        <v>0</v>
      </c>
      <c r="AE25" s="329">
        <f>-'5C1AH_BRUP'!$R25</f>
        <v>0</v>
      </c>
      <c r="AF25" s="329">
        <f>-'5C1AI_Harmony'!$R25</f>
        <v>0</v>
      </c>
      <c r="AG25" s="329">
        <f>-'5C1AJ_Athlos'!$R25</f>
        <v>0</v>
      </c>
      <c r="AH25" s="329">
        <f>-('5C2_LAVCA'!$R25+'5C2_LAVCA'!$S25)</f>
        <v>-69153</v>
      </c>
      <c r="AI25" s="329">
        <f>-('5C3_UnvView'!$R25+'5C3_UnvView'!$S25)</f>
        <v>-141337</v>
      </c>
      <c r="AJ25" s="330">
        <f t="shared" si="3"/>
        <v>-402280</v>
      </c>
      <c r="AK25" s="330">
        <f t="shared" si="4"/>
        <v>10590760</v>
      </c>
      <c r="AL25" s="330">
        <f>ROUND(AK25/'8_2.1.19 SIS'!C25,0)</f>
        <v>5907</v>
      </c>
      <c r="AM25" s="330">
        <f>'3B_Pay Raise'!O25</f>
        <v>294420</v>
      </c>
      <c r="AN25" s="331">
        <f>'[1]LEA Summary'!$K25</f>
        <v>5233</v>
      </c>
      <c r="AO25" s="329">
        <f t="shared" si="8"/>
        <v>5233</v>
      </c>
      <c r="AP25" s="329">
        <f t="shared" si="9"/>
        <v>0</v>
      </c>
      <c r="AQ25" s="329">
        <f>VLOOKUP($A25,'[2]Oct_MidYear Adj'!$A$7:$N$137,10,FALSE)</f>
        <v>-431211</v>
      </c>
      <c r="AR25" s="329">
        <f>VLOOKUP($A25,'[3]Feb_MidYear Adj'!$A$7:$N$137,10,FALSE)</f>
        <v>11814</v>
      </c>
      <c r="AS25" s="331">
        <f t="shared" si="10"/>
        <v>-419397</v>
      </c>
      <c r="AT25" s="330">
        <f t="shared" si="11"/>
        <v>10471016</v>
      </c>
      <c r="AU25" s="329">
        <f>'4_Level 4'!E25</f>
        <v>0</v>
      </c>
      <c r="AV25" s="329">
        <f>'4_Level 4'!Q25</f>
        <v>48026</v>
      </c>
      <c r="AW25" s="330">
        <f t="shared" si="5"/>
        <v>10519042</v>
      </c>
      <c r="AX25" s="329">
        <f>('[4]2_State Distrib and Adjs'!AZ25*2)+'[5]2_State Distrib and Adjs'!AZ25+('[6]2_State Distrib and Adjs'!AZ25*3)+('[7]2_State Distrib and Adjs'!AZ25*2)</f>
        <v>7149664</v>
      </c>
      <c r="AY25" s="329">
        <f t="shared" si="12"/>
        <v>3369378</v>
      </c>
      <c r="AZ25" s="329">
        <f t="shared" si="6"/>
        <v>842345</v>
      </c>
      <c r="BA25" s="329">
        <f>'4_Level 4'!J25</f>
        <v>0</v>
      </c>
      <c r="BB25" s="329">
        <f>'4_Level 4'!L25</f>
        <v>25000</v>
      </c>
      <c r="BC25" s="329">
        <f>'4_Level 4'!M25</f>
        <v>56885</v>
      </c>
      <c r="BD25" s="330">
        <f t="shared" si="7"/>
        <v>10600927</v>
      </c>
    </row>
    <row r="26" spans="1:56" ht="15.6" customHeight="1" x14ac:dyDescent="0.2">
      <c r="A26" s="332">
        <v>20</v>
      </c>
      <c r="B26" s="333" t="s">
        <v>24</v>
      </c>
      <c r="C26" s="334">
        <f>'3_Levels 1&amp;2'!AP26</f>
        <v>35344103</v>
      </c>
      <c r="D26" s="334">
        <v>0</v>
      </c>
      <c r="E26" s="334">
        <f>-'5C1A_Madison'!$R26</f>
        <v>0</v>
      </c>
      <c r="F26" s="334">
        <f>-'5C1B_DArbonne'!$R26</f>
        <v>0</v>
      </c>
      <c r="G26" s="334">
        <f>-'5C1C_Intl High'!$R26</f>
        <v>0</v>
      </c>
      <c r="H26" s="334">
        <f>-'5C1D_NOMMA'!$R26</f>
        <v>0</v>
      </c>
      <c r="I26" s="334">
        <f>-'5C1E_LFNO'!$R26</f>
        <v>0</v>
      </c>
      <c r="J26" s="334">
        <f>-'5C1F_L.C. Charter'!$R26</f>
        <v>0</v>
      </c>
      <c r="K26" s="334">
        <f>-'5C1G_JS Clark'!$R26</f>
        <v>-17728</v>
      </c>
      <c r="L26" s="334">
        <f>-'5C1H_Southwest'!$R26</f>
        <v>0</v>
      </c>
      <c r="M26" s="334">
        <f>-'5C1I_LA Key'!$R26</f>
        <v>0</v>
      </c>
      <c r="N26" s="334">
        <f>-'5C1J_JCFA-East'!$R26</f>
        <v>0</v>
      </c>
      <c r="O26" s="334">
        <f>-'5C1M_GEO Mid'!$R26</f>
        <v>0</v>
      </c>
      <c r="P26" s="334">
        <f>-'5C1N_Delta'!$R26</f>
        <v>0</v>
      </c>
      <c r="Q26" s="334">
        <f>-'5C1O_Impact'!$R26</f>
        <v>0</v>
      </c>
      <c r="R26" s="334">
        <f>-'5C1Q_Advantage'!$R26</f>
        <v>0</v>
      </c>
      <c r="S26" s="334">
        <f>-'5C1R_Iberville'!$R26</f>
        <v>0</v>
      </c>
      <c r="T26" s="334">
        <f>-'5C1S_LC Col Prep'!$R26</f>
        <v>0</v>
      </c>
      <c r="U26" s="334">
        <f>-'5C1T_Northeast'!$R26</f>
        <v>0</v>
      </c>
      <c r="V26" s="334">
        <f>-'5C1U_Acadiana Ren'!$R26</f>
        <v>0</v>
      </c>
      <c r="W26" s="334">
        <f>-'5C1V_Laf Ren'!$R26</f>
        <v>0</v>
      </c>
      <c r="X26" s="334">
        <f>-'5C1W_Willow'!$R26</f>
        <v>0</v>
      </c>
      <c r="Y26" s="334">
        <f>-'5C1Y_GEO'!$R26</f>
        <v>0</v>
      </c>
      <c r="Z26" s="334">
        <f>-'5C1Z_Lincoln Prep'!$R26</f>
        <v>0</v>
      </c>
      <c r="AA26" s="334">
        <f>-'5C1AD_Greater'!$R26</f>
        <v>0</v>
      </c>
      <c r="AB26" s="610">
        <f>-'5C1AE_Noble Minds'!$R26</f>
        <v>0</v>
      </c>
      <c r="AC26" s="610">
        <f>-'5C1AF_JCFA-Laf'!$R26</f>
        <v>0</v>
      </c>
      <c r="AD26" s="610">
        <f>-'5C1AG_Collegiate'!$R26</f>
        <v>0</v>
      </c>
      <c r="AE26" s="334">
        <f>-'5C1AH_BRUP'!$R26</f>
        <v>0</v>
      </c>
      <c r="AF26" s="881">
        <f>-'5C1AI_Harmony'!$R26</f>
        <v>0</v>
      </c>
      <c r="AG26" s="881">
        <f>-'5C1AJ_Athlos'!$R26</f>
        <v>0</v>
      </c>
      <c r="AH26" s="334">
        <f>-('5C2_LAVCA'!$R26+'5C2_LAVCA'!$S26)</f>
        <v>-117998</v>
      </c>
      <c r="AI26" s="334">
        <f>-('5C3_UnvView'!$R26+'5C3_UnvView'!$S26)</f>
        <v>-111617</v>
      </c>
      <c r="AJ26" s="335">
        <f t="shared" si="3"/>
        <v>-247343</v>
      </c>
      <c r="AK26" s="335">
        <f t="shared" si="4"/>
        <v>35096760</v>
      </c>
      <c r="AL26" s="335">
        <f>ROUND(AK26/'8_2.1.19 SIS'!C26,0)</f>
        <v>6299</v>
      </c>
      <c r="AM26" s="1064">
        <f>'3B_Pay Raise'!O26</f>
        <v>756377</v>
      </c>
      <c r="AN26" s="336">
        <f>'[1]LEA Summary'!$K26</f>
        <v>-9104</v>
      </c>
      <c r="AO26" s="334">
        <f t="shared" si="8"/>
        <v>0</v>
      </c>
      <c r="AP26" s="334">
        <f t="shared" si="9"/>
        <v>-9104</v>
      </c>
      <c r="AQ26" s="334">
        <f>VLOOKUP($A26,'[2]Oct_MidYear Adj'!$A$7:$N$137,10,FALSE)</f>
        <v>-308651</v>
      </c>
      <c r="AR26" s="334">
        <f>VLOOKUP($A26,'[3]Feb_MidYear Adj'!$A$7:$N$137,10,FALSE)</f>
        <v>-22047</v>
      </c>
      <c r="AS26" s="336">
        <f t="shared" si="10"/>
        <v>-330698</v>
      </c>
      <c r="AT26" s="335">
        <f t="shared" si="11"/>
        <v>35513335</v>
      </c>
      <c r="AU26" s="334">
        <f>'4_Level 4'!E26</f>
        <v>105000</v>
      </c>
      <c r="AV26" s="334">
        <f>'4_Level 4'!Q26</f>
        <v>139063</v>
      </c>
      <c r="AW26" s="335">
        <f t="shared" si="5"/>
        <v>35757398</v>
      </c>
      <c r="AX26" s="334">
        <f>('[4]2_State Distrib and Adjs'!AZ26*2)+'[5]2_State Distrib and Adjs'!AZ26+('[6]2_State Distrib and Adjs'!AZ26*3)+('[7]2_State Distrib and Adjs'!AZ26*2)</f>
        <v>24059462</v>
      </c>
      <c r="AY26" s="334">
        <f t="shared" si="12"/>
        <v>11697936</v>
      </c>
      <c r="AZ26" s="334">
        <f t="shared" si="6"/>
        <v>2924484</v>
      </c>
      <c r="BA26" s="334">
        <f>'4_Level 4'!J26</f>
        <v>12000</v>
      </c>
      <c r="BB26" s="334">
        <f>'4_Level 4'!L26</f>
        <v>174725</v>
      </c>
      <c r="BC26" s="334">
        <f>'4_Level 4'!M26</f>
        <v>373668</v>
      </c>
      <c r="BD26" s="335">
        <f t="shared" si="7"/>
        <v>36317791</v>
      </c>
    </row>
    <row r="27" spans="1:56" ht="15.6" customHeight="1" x14ac:dyDescent="0.2">
      <c r="A27" s="325">
        <v>21</v>
      </c>
      <c r="B27" s="326" t="s">
        <v>25</v>
      </c>
      <c r="C27" s="33">
        <f>'3_Levels 1&amp;2'!AP27</f>
        <v>20714427</v>
      </c>
      <c r="D27" s="33">
        <v>0</v>
      </c>
      <c r="E27" s="33">
        <f>-'5C1A_Madison'!$R27</f>
        <v>0</v>
      </c>
      <c r="F27" s="33">
        <f>-'5C1B_DArbonne'!$R27</f>
        <v>0</v>
      </c>
      <c r="G27" s="33">
        <f>-'5C1C_Intl High'!$R27</f>
        <v>0</v>
      </c>
      <c r="H27" s="33">
        <f>-'5C1D_NOMMA'!$R27</f>
        <v>0</v>
      </c>
      <c r="I27" s="33">
        <f>-'5C1E_LFNO'!$R27</f>
        <v>0</v>
      </c>
      <c r="J27" s="33">
        <f>-'5C1F_L.C. Charter'!$R27</f>
        <v>0</v>
      </c>
      <c r="K27" s="33">
        <f>-'5C1G_JS Clark'!$R27</f>
        <v>0</v>
      </c>
      <c r="L27" s="33">
        <f>-'5C1H_Southwest'!$R27</f>
        <v>0</v>
      </c>
      <c r="M27" s="33">
        <f>-'5C1I_LA Key'!$R27</f>
        <v>0</v>
      </c>
      <c r="N27" s="33">
        <f>-'5C1J_JCFA-East'!$R27</f>
        <v>0</v>
      </c>
      <c r="O27" s="33">
        <f>-'5C1M_GEO Mid'!$R27</f>
        <v>0</v>
      </c>
      <c r="P27" s="33">
        <f>-'5C1N_Delta'!$R27</f>
        <v>-12281</v>
      </c>
      <c r="Q27" s="33">
        <f>-'5C1O_Impact'!$R27</f>
        <v>0</v>
      </c>
      <c r="R27" s="33">
        <f>-'5C1Q_Advantage'!$R27</f>
        <v>0</v>
      </c>
      <c r="S27" s="33">
        <f>-'5C1R_Iberville'!$R27</f>
        <v>0</v>
      </c>
      <c r="T27" s="33">
        <f>-'5C1S_LC Col Prep'!$R27</f>
        <v>0</v>
      </c>
      <c r="U27" s="33">
        <f>-'5C1T_Northeast'!$R27</f>
        <v>0</v>
      </c>
      <c r="V27" s="33">
        <f>-'5C1U_Acadiana Ren'!$R27</f>
        <v>0</v>
      </c>
      <c r="W27" s="33">
        <f>-'5C1V_Laf Ren'!$R27</f>
        <v>0</v>
      </c>
      <c r="X27" s="33">
        <f>-'5C1W_Willow'!$R27</f>
        <v>0</v>
      </c>
      <c r="Y27" s="33">
        <f>-'5C1Y_GEO'!$R27</f>
        <v>0</v>
      </c>
      <c r="Z27" s="33">
        <f>-'5C1Z_Lincoln Prep'!$R27</f>
        <v>0</v>
      </c>
      <c r="AA27" s="33">
        <f>-'5C1AD_Greater'!$R27</f>
        <v>0</v>
      </c>
      <c r="AB27" s="33">
        <f>-'5C1AE_Noble Minds'!$R27</f>
        <v>0</v>
      </c>
      <c r="AC27" s="33">
        <f>-'5C1AF_JCFA-Laf'!$R27</f>
        <v>0</v>
      </c>
      <c r="AD27" s="33">
        <f>-'5C1AG_Collegiate'!$R27</f>
        <v>0</v>
      </c>
      <c r="AE27" s="33">
        <f>-'5C1AH_BRUP'!$R27</f>
        <v>0</v>
      </c>
      <c r="AF27" s="33">
        <f>-'5C1AI_Harmony'!$R27</f>
        <v>0</v>
      </c>
      <c r="AG27" s="33">
        <f>-'5C1AJ_Athlos'!$R27</f>
        <v>0</v>
      </c>
      <c r="AH27" s="33">
        <f>-('5C2_LAVCA'!$R27+'5C2_LAVCA'!$S27)</f>
        <v>-103212</v>
      </c>
      <c r="AI27" s="33">
        <f>-('5C3_UnvView'!$R27+'5C3_UnvView'!$S27)</f>
        <v>-54349</v>
      </c>
      <c r="AJ27" s="32">
        <f t="shared" si="3"/>
        <v>-169842</v>
      </c>
      <c r="AK27" s="32">
        <f t="shared" si="4"/>
        <v>20544585</v>
      </c>
      <c r="AL27" s="32">
        <f>ROUND(AK27/'8_2.1.19 SIS'!C27,0)</f>
        <v>7017</v>
      </c>
      <c r="AM27" s="32">
        <f>'3B_Pay Raise'!O27</f>
        <v>453943</v>
      </c>
      <c r="AN27" s="34">
        <f>'[1]LEA Summary'!$K27</f>
        <v>-19398</v>
      </c>
      <c r="AO27" s="33">
        <f t="shared" si="8"/>
        <v>0</v>
      </c>
      <c r="AP27" s="33">
        <f t="shared" si="9"/>
        <v>-19398</v>
      </c>
      <c r="AQ27" s="33">
        <f>VLOOKUP($A27,'[2]Oct_MidYear Adj'!$A$7:$N$137,10,FALSE)</f>
        <v>-364884</v>
      </c>
      <c r="AR27" s="33">
        <f>VLOOKUP($A27,'[3]Feb_MidYear Adj'!$A$7:$N$137,10,FALSE)</f>
        <v>-59645</v>
      </c>
      <c r="AS27" s="34">
        <f t="shared" si="10"/>
        <v>-424529</v>
      </c>
      <c r="AT27" s="32">
        <f t="shared" si="11"/>
        <v>20554601</v>
      </c>
      <c r="AU27" s="33">
        <f>'4_Level 4'!E27</f>
        <v>0</v>
      </c>
      <c r="AV27" s="33">
        <f>'4_Level 4'!Q27</f>
        <v>71095</v>
      </c>
      <c r="AW27" s="32">
        <f t="shared" si="5"/>
        <v>20625696</v>
      </c>
      <c r="AX27" s="33">
        <f>('[4]2_State Distrib and Adjs'!AZ27*2)+'[5]2_State Distrib and Adjs'!AZ27+('[6]2_State Distrib and Adjs'!AZ27*3)+('[7]2_State Distrib and Adjs'!AZ27*2)</f>
        <v>14042190</v>
      </c>
      <c r="AY27" s="33">
        <f t="shared" si="12"/>
        <v>6583506</v>
      </c>
      <c r="AZ27" s="33">
        <f t="shared" si="6"/>
        <v>1645877</v>
      </c>
      <c r="BA27" s="33">
        <f>'4_Level 4'!J27</f>
        <v>0</v>
      </c>
      <c r="BB27" s="33">
        <f>'4_Level 4'!L27</f>
        <v>25000</v>
      </c>
      <c r="BC27" s="33">
        <f>'4_Level 4'!M27</f>
        <v>0</v>
      </c>
      <c r="BD27" s="32">
        <f t="shared" si="7"/>
        <v>20650696</v>
      </c>
    </row>
    <row r="28" spans="1:56" ht="15.6" customHeight="1" x14ac:dyDescent="0.2">
      <c r="A28" s="327">
        <v>22</v>
      </c>
      <c r="B28" s="328" t="s">
        <v>26</v>
      </c>
      <c r="C28" s="329">
        <f>'3_Levels 1&amp;2'!AP28</f>
        <v>21857190</v>
      </c>
      <c r="D28" s="329">
        <v>0</v>
      </c>
      <c r="E28" s="329">
        <f>-'5C1A_Madison'!$R28</f>
        <v>0</v>
      </c>
      <c r="F28" s="329">
        <f>-'5C1B_DArbonne'!$R28</f>
        <v>0</v>
      </c>
      <c r="G28" s="329">
        <f>-'5C1C_Intl High'!$R28</f>
        <v>0</v>
      </c>
      <c r="H28" s="329">
        <f>-'5C1D_NOMMA'!$R28</f>
        <v>0</v>
      </c>
      <c r="I28" s="329">
        <f>-'5C1E_LFNO'!$R28</f>
        <v>0</v>
      </c>
      <c r="J28" s="329">
        <f>-'5C1F_L.C. Charter'!$R28</f>
        <v>0</v>
      </c>
      <c r="K28" s="329">
        <f>-'5C1G_JS Clark'!$R28</f>
        <v>0</v>
      </c>
      <c r="L28" s="329">
        <f>-'5C1H_Southwest'!$R28</f>
        <v>0</v>
      </c>
      <c r="M28" s="329">
        <f>-'5C1I_LA Key'!$R28</f>
        <v>0</v>
      </c>
      <c r="N28" s="329">
        <f>-'5C1J_JCFA-East'!$R28</f>
        <v>0</v>
      </c>
      <c r="O28" s="329">
        <f>-'5C1M_GEO Mid'!$R28</f>
        <v>0</v>
      </c>
      <c r="P28" s="329">
        <f>-'5C1N_Delta'!$R28</f>
        <v>0</v>
      </c>
      <c r="Q28" s="329">
        <f>-'5C1O_Impact'!$R28</f>
        <v>0</v>
      </c>
      <c r="R28" s="329">
        <f>-'5C1Q_Advantage'!$R28</f>
        <v>0</v>
      </c>
      <c r="S28" s="329">
        <f>-'5C1R_Iberville'!$R28</f>
        <v>0</v>
      </c>
      <c r="T28" s="329">
        <f>-'5C1S_LC Col Prep'!$R28</f>
        <v>0</v>
      </c>
      <c r="U28" s="329">
        <f>-'5C1T_Northeast'!$R28</f>
        <v>0</v>
      </c>
      <c r="V28" s="329">
        <f>-'5C1U_Acadiana Ren'!$R28</f>
        <v>0</v>
      </c>
      <c r="W28" s="329">
        <f>-'5C1V_Laf Ren'!$R28</f>
        <v>0</v>
      </c>
      <c r="X28" s="329">
        <f>-'5C1W_Willow'!$R28</f>
        <v>0</v>
      </c>
      <c r="Y28" s="329">
        <f>-'5C1Y_GEO'!$R28</f>
        <v>0</v>
      </c>
      <c r="Z28" s="329">
        <f>-'5C1Z_Lincoln Prep'!$R28</f>
        <v>0</v>
      </c>
      <c r="AA28" s="329">
        <f>-'5C1AD_Greater'!$R28</f>
        <v>0</v>
      </c>
      <c r="AB28" s="329">
        <f>-'5C1AE_Noble Minds'!$R28</f>
        <v>0</v>
      </c>
      <c r="AC28" s="329">
        <f>-'5C1AF_JCFA-Laf'!$R28</f>
        <v>0</v>
      </c>
      <c r="AD28" s="329">
        <f>-'5C1AG_Collegiate'!$R28</f>
        <v>0</v>
      </c>
      <c r="AE28" s="329">
        <f>-'5C1AH_BRUP'!$R28</f>
        <v>0</v>
      </c>
      <c r="AF28" s="329">
        <f>-'5C1AI_Harmony'!$R28</f>
        <v>0</v>
      </c>
      <c r="AG28" s="329">
        <f>-'5C1AJ_Athlos'!$R28</f>
        <v>0</v>
      </c>
      <c r="AH28" s="329">
        <f>-('5C2_LAVCA'!$R28+'5C2_LAVCA'!$S28)</f>
        <v>-36483</v>
      </c>
      <c r="AI28" s="329">
        <f>-('5C3_UnvView'!$R28+'5C3_UnvView'!$S28)</f>
        <v>-117412</v>
      </c>
      <c r="AJ28" s="330">
        <f t="shared" si="3"/>
        <v>-153895</v>
      </c>
      <c r="AK28" s="330">
        <f t="shared" si="4"/>
        <v>21703295</v>
      </c>
      <c r="AL28" s="330">
        <f>ROUND(AK28/'8_2.1.19 SIS'!C28,0)</f>
        <v>7507</v>
      </c>
      <c r="AM28" s="330">
        <f>'3B_Pay Raise'!O28</f>
        <v>423800</v>
      </c>
      <c r="AN28" s="331">
        <f>'[1]LEA Summary'!$K28</f>
        <v>2972</v>
      </c>
      <c r="AO28" s="329">
        <f t="shared" si="8"/>
        <v>2972</v>
      </c>
      <c r="AP28" s="329">
        <f t="shared" si="9"/>
        <v>0</v>
      </c>
      <c r="AQ28" s="329">
        <f>VLOOKUP($A28,'[2]Oct_MidYear Adj'!$A$7:$N$137,10,FALSE)</f>
        <v>-210196</v>
      </c>
      <c r="AR28" s="329">
        <f>VLOOKUP($A28,'[3]Feb_MidYear Adj'!$A$7:$N$137,10,FALSE)</f>
        <v>-187675</v>
      </c>
      <c r="AS28" s="331">
        <f t="shared" si="10"/>
        <v>-397871</v>
      </c>
      <c r="AT28" s="330">
        <f t="shared" si="11"/>
        <v>21732196</v>
      </c>
      <c r="AU28" s="329">
        <f>'4_Level 4'!E28</f>
        <v>0</v>
      </c>
      <c r="AV28" s="329">
        <f>'4_Level 4'!Q28</f>
        <v>74635</v>
      </c>
      <c r="AW28" s="330">
        <f t="shared" si="5"/>
        <v>21806831</v>
      </c>
      <c r="AX28" s="329">
        <f>('[4]2_State Distrib and Adjs'!AZ28*2)+'[5]2_State Distrib and Adjs'!AZ28+('[6]2_State Distrib and Adjs'!AZ28*3)+('[7]2_State Distrib and Adjs'!AZ28*2)</f>
        <v>14803972</v>
      </c>
      <c r="AY28" s="329">
        <f t="shared" si="12"/>
        <v>7002859</v>
      </c>
      <c r="AZ28" s="329">
        <f t="shared" si="6"/>
        <v>1750715</v>
      </c>
      <c r="BA28" s="329">
        <f>'4_Level 4'!J28</f>
        <v>0</v>
      </c>
      <c r="BB28" s="329">
        <f>'4_Level 4'!L28</f>
        <v>111101</v>
      </c>
      <c r="BC28" s="329">
        <f>'4_Level 4'!M28</f>
        <v>0</v>
      </c>
      <c r="BD28" s="330">
        <f t="shared" si="7"/>
        <v>21917932</v>
      </c>
    </row>
    <row r="29" spans="1:56" ht="15.6" customHeight="1" x14ac:dyDescent="0.2">
      <c r="A29" s="327">
        <v>23</v>
      </c>
      <c r="B29" s="328" t="s">
        <v>27</v>
      </c>
      <c r="C29" s="329">
        <f>'3_Levels 1&amp;2'!AP29</f>
        <v>74951151</v>
      </c>
      <c r="D29" s="329">
        <v>0</v>
      </c>
      <c r="E29" s="329">
        <f>-'5C1A_Madison'!$R29</f>
        <v>0</v>
      </c>
      <c r="F29" s="329">
        <f>-'5C1B_DArbonne'!$R29</f>
        <v>0</v>
      </c>
      <c r="G29" s="329">
        <f>-'5C1C_Intl High'!$R29</f>
        <v>0</v>
      </c>
      <c r="H29" s="329">
        <f>-'5C1D_NOMMA'!$R29</f>
        <v>0</v>
      </c>
      <c r="I29" s="329">
        <f>-'5C1E_LFNO'!$R29</f>
        <v>0</v>
      </c>
      <c r="J29" s="329">
        <f>-'5C1F_L.C. Charter'!$R29</f>
        <v>0</v>
      </c>
      <c r="K29" s="329">
        <f>-'5C1G_JS Clark'!$R29</f>
        <v>0</v>
      </c>
      <c r="L29" s="329">
        <f>-'5C1H_Southwest'!$R29</f>
        <v>0</v>
      </c>
      <c r="M29" s="329">
        <f>-'5C1I_LA Key'!$R29</f>
        <v>0</v>
      </c>
      <c r="N29" s="329">
        <f>-'5C1J_JCFA-East'!$R29</f>
        <v>-5512</v>
      </c>
      <c r="O29" s="329">
        <f>-'5C1M_GEO Mid'!$R29</f>
        <v>0</v>
      </c>
      <c r="P29" s="329">
        <f>-'5C1N_Delta'!$R29</f>
        <v>0</v>
      </c>
      <c r="Q29" s="329">
        <f>-'5C1O_Impact'!$R29</f>
        <v>0</v>
      </c>
      <c r="R29" s="329">
        <f>-'5C1Q_Advantage'!$R29</f>
        <v>0</v>
      </c>
      <c r="S29" s="329">
        <f>-'5C1R_Iberville'!$R29</f>
        <v>0</v>
      </c>
      <c r="T29" s="329">
        <f>-'5C1S_LC Col Prep'!$R29</f>
        <v>0</v>
      </c>
      <c r="U29" s="329">
        <f>-'5C1T_Northeast'!$R29</f>
        <v>0</v>
      </c>
      <c r="V29" s="329">
        <f>-'5C1U_Acadiana Ren'!$R29</f>
        <v>-412669</v>
      </c>
      <c r="W29" s="329">
        <f>-'5C1V_Laf Ren'!$R29</f>
        <v>-9934</v>
      </c>
      <c r="X29" s="329">
        <f>-'5C1W_Willow'!$R29</f>
        <v>-5512</v>
      </c>
      <c r="Y29" s="329">
        <f>-'5C1Y_GEO'!$R29</f>
        <v>0</v>
      </c>
      <c r="Z29" s="329">
        <f>-'5C1Z_Lincoln Prep'!$R29</f>
        <v>0</v>
      </c>
      <c r="AA29" s="329">
        <f>-'5C1AD_Greater'!$R29</f>
        <v>0</v>
      </c>
      <c r="AB29" s="329">
        <f>-'5C1AE_Noble Minds'!$R29</f>
        <v>0</v>
      </c>
      <c r="AC29" s="329">
        <f>-'5C1AF_JCFA-Laf'!$R29</f>
        <v>-9934</v>
      </c>
      <c r="AD29" s="329">
        <f>-'5C1AG_Collegiate'!$R29</f>
        <v>0</v>
      </c>
      <c r="AE29" s="329">
        <f>-'5C1AH_BRUP'!$R29</f>
        <v>0</v>
      </c>
      <c r="AF29" s="329">
        <f>-'5C1AI_Harmony'!$R29</f>
        <v>0</v>
      </c>
      <c r="AG29" s="329">
        <f>-'5C1AJ_Athlos'!$R29</f>
        <v>0</v>
      </c>
      <c r="AH29" s="329">
        <f>-('5C2_LAVCA'!$R29+'5C2_LAVCA'!$S29)</f>
        <v>-183520</v>
      </c>
      <c r="AI29" s="329">
        <f>-('5C3_UnvView'!$R29+'5C3_UnvView'!$S29)</f>
        <v>-204683</v>
      </c>
      <c r="AJ29" s="330">
        <f t="shared" si="3"/>
        <v>-831764</v>
      </c>
      <c r="AK29" s="330">
        <f t="shared" si="4"/>
        <v>74119387</v>
      </c>
      <c r="AL29" s="330">
        <f>ROUND(AK29/'8_2.1.19 SIS'!C29,0)</f>
        <v>6124</v>
      </c>
      <c r="AM29" s="330">
        <f>'3B_Pay Raise'!O29</f>
        <v>1707453</v>
      </c>
      <c r="AN29" s="331">
        <f>'[1]LEA Summary'!$K29</f>
        <v>-47092</v>
      </c>
      <c r="AO29" s="329">
        <f t="shared" si="8"/>
        <v>0</v>
      </c>
      <c r="AP29" s="329">
        <f t="shared" si="9"/>
        <v>-47092</v>
      </c>
      <c r="AQ29" s="329">
        <f>VLOOKUP($A29,'[2]Oct_MidYear Adj'!$A$7:$N$137,10,FALSE)</f>
        <v>-416432</v>
      </c>
      <c r="AR29" s="329">
        <f>VLOOKUP($A29,'[3]Feb_MidYear Adj'!$A$7:$N$137,10,FALSE)</f>
        <v>-407246</v>
      </c>
      <c r="AS29" s="331">
        <f t="shared" si="10"/>
        <v>-823678</v>
      </c>
      <c r="AT29" s="330">
        <f t="shared" si="11"/>
        <v>74956070</v>
      </c>
      <c r="AU29" s="329">
        <f>'4_Level 4'!E29</f>
        <v>315000</v>
      </c>
      <c r="AV29" s="329">
        <f>'4_Level 4'!Q29</f>
        <v>305443</v>
      </c>
      <c r="AW29" s="330">
        <f t="shared" si="5"/>
        <v>75576513</v>
      </c>
      <c r="AX29" s="329">
        <f>('[4]2_State Distrib and Adjs'!AZ29*2)+'[5]2_State Distrib and Adjs'!AZ29+('[6]2_State Distrib and Adjs'!AZ29*3)+('[7]2_State Distrib and Adjs'!AZ29*2)</f>
        <v>50955710</v>
      </c>
      <c r="AY29" s="329">
        <f t="shared" si="12"/>
        <v>24620803</v>
      </c>
      <c r="AZ29" s="329">
        <f t="shared" si="6"/>
        <v>6155201</v>
      </c>
      <c r="BA29" s="329">
        <f>'4_Level 4'!J29</f>
        <v>18000</v>
      </c>
      <c r="BB29" s="329">
        <f>'4_Level 4'!L29</f>
        <v>456695</v>
      </c>
      <c r="BC29" s="329">
        <f>'4_Level 4'!M29</f>
        <v>246656</v>
      </c>
      <c r="BD29" s="330">
        <f t="shared" si="7"/>
        <v>76297864</v>
      </c>
    </row>
    <row r="30" spans="1:56" ht="15.6" customHeight="1" x14ac:dyDescent="0.2">
      <c r="A30" s="327">
        <v>24</v>
      </c>
      <c r="B30" s="328" t="s">
        <v>28</v>
      </c>
      <c r="C30" s="329">
        <f>'3_Levels 1&amp;2'!AP30</f>
        <v>15184200</v>
      </c>
      <c r="D30" s="329">
        <v>0</v>
      </c>
      <c r="E30" s="329">
        <f>-'5C1A_Madison'!$R30</f>
        <v>-3006</v>
      </c>
      <c r="F30" s="329">
        <f>-'5C1B_DArbonne'!$R30</f>
        <v>0</v>
      </c>
      <c r="G30" s="329">
        <f>-'5C1C_Intl High'!$R30</f>
        <v>0</v>
      </c>
      <c r="H30" s="329">
        <f>-'5C1D_NOMMA'!$R30</f>
        <v>0</v>
      </c>
      <c r="I30" s="329">
        <f>-'5C1E_LFNO'!$R30</f>
        <v>0</v>
      </c>
      <c r="J30" s="329">
        <f>-'5C1F_L.C. Charter'!$R30</f>
        <v>0</v>
      </c>
      <c r="K30" s="329">
        <f>-'5C1G_JS Clark'!$R30</f>
        <v>0</v>
      </c>
      <c r="L30" s="329">
        <f>-'5C1H_Southwest'!$R30</f>
        <v>0</v>
      </c>
      <c r="M30" s="329">
        <f>-'5C1I_LA Key'!$R30</f>
        <v>-78407</v>
      </c>
      <c r="N30" s="329">
        <f>-'5C1J_JCFA-East'!$R30</f>
        <v>0</v>
      </c>
      <c r="O30" s="329">
        <f>-'5C1M_GEO Mid'!$R30</f>
        <v>0</v>
      </c>
      <c r="P30" s="329">
        <f>-'5C1N_Delta'!$R30</f>
        <v>0</v>
      </c>
      <c r="Q30" s="329">
        <f>-'5C1O_Impact'!$R30</f>
        <v>0</v>
      </c>
      <c r="R30" s="329">
        <f>-'5C1Q_Advantage'!$R30</f>
        <v>-3006</v>
      </c>
      <c r="S30" s="329">
        <f>-'5C1R_Iberville'!$R30</f>
        <v>-656421</v>
      </c>
      <c r="T30" s="329">
        <f>-'5C1S_LC Col Prep'!$R30</f>
        <v>0</v>
      </c>
      <c r="U30" s="329">
        <f>-'5C1T_Northeast'!$R30</f>
        <v>0</v>
      </c>
      <c r="V30" s="329">
        <f>-'5C1U_Acadiana Ren'!$R30</f>
        <v>0</v>
      </c>
      <c r="W30" s="329">
        <f>-'5C1V_Laf Ren'!$R30</f>
        <v>0</v>
      </c>
      <c r="X30" s="329">
        <f>-'5C1W_Willow'!$R30</f>
        <v>0</v>
      </c>
      <c r="Y30" s="329">
        <f>-'5C1Y_GEO'!$R30</f>
        <v>0</v>
      </c>
      <c r="Z30" s="329">
        <f>-'5C1Z_Lincoln Prep'!$R30</f>
        <v>0</v>
      </c>
      <c r="AA30" s="329">
        <f>-'5C1AD_Greater'!$R30</f>
        <v>0</v>
      </c>
      <c r="AB30" s="329">
        <f>-'5C1AE_Noble Minds'!$R30</f>
        <v>0</v>
      </c>
      <c r="AC30" s="329">
        <f>-'5C1AF_JCFA-Laf'!$R30</f>
        <v>0</v>
      </c>
      <c r="AD30" s="329">
        <f>-'5C1AG_Collegiate'!$R30</f>
        <v>0</v>
      </c>
      <c r="AE30" s="329">
        <f>-'5C1AH_BRUP'!$R30</f>
        <v>0</v>
      </c>
      <c r="AF30" s="329">
        <f>-'5C1AI_Harmony'!$R30</f>
        <v>0</v>
      </c>
      <c r="AG30" s="329">
        <f>-'5C1AJ_Athlos'!$R30</f>
        <v>0</v>
      </c>
      <c r="AH30" s="329">
        <f>-('5C2_LAVCA'!$R30+'5C2_LAVCA'!$S30)</f>
        <v>-28327</v>
      </c>
      <c r="AI30" s="329">
        <f>-('5C3_UnvView'!$R30+'5C3_UnvView'!$S30)</f>
        <v>-31363</v>
      </c>
      <c r="AJ30" s="330">
        <f t="shared" si="3"/>
        <v>-800530</v>
      </c>
      <c r="AK30" s="330">
        <f t="shared" si="4"/>
        <v>14383670</v>
      </c>
      <c r="AL30" s="330">
        <f>ROUND(AK30/'8_2.1.19 SIS'!C30,0)</f>
        <v>3333</v>
      </c>
      <c r="AM30" s="330">
        <f>'3B_Pay Raise'!O30</f>
        <v>769170</v>
      </c>
      <c r="AN30" s="331">
        <f>'[1]LEA Summary'!$K30</f>
        <v>-2647</v>
      </c>
      <c r="AO30" s="329">
        <f t="shared" si="8"/>
        <v>0</v>
      </c>
      <c r="AP30" s="329">
        <f t="shared" si="9"/>
        <v>-2647</v>
      </c>
      <c r="AQ30" s="329">
        <f>VLOOKUP($A30,'[2]Oct_MidYear Adj'!$A$7:$N$137,10,FALSE)</f>
        <v>-693264</v>
      </c>
      <c r="AR30" s="329">
        <f>VLOOKUP($A30,'[3]Feb_MidYear Adj'!$A$7:$N$137,10,FALSE)</f>
        <v>19998</v>
      </c>
      <c r="AS30" s="331">
        <f t="shared" si="10"/>
        <v>-673266</v>
      </c>
      <c r="AT30" s="330">
        <f t="shared" si="11"/>
        <v>14476927</v>
      </c>
      <c r="AU30" s="329">
        <f>'4_Level 4'!E30</f>
        <v>0</v>
      </c>
      <c r="AV30" s="329">
        <f>'4_Level 4'!Q30</f>
        <v>116525</v>
      </c>
      <c r="AW30" s="330">
        <f t="shared" si="5"/>
        <v>14593452</v>
      </c>
      <c r="AX30" s="329">
        <f>('[4]2_State Distrib and Adjs'!AZ30*2)+'[5]2_State Distrib and Adjs'!AZ30+('[6]2_State Distrib and Adjs'!AZ30*3)+('[7]2_State Distrib and Adjs'!AZ30*2)</f>
        <v>9954410</v>
      </c>
      <c r="AY30" s="329">
        <f t="shared" si="12"/>
        <v>4639042</v>
      </c>
      <c r="AZ30" s="329">
        <f t="shared" si="6"/>
        <v>1159761</v>
      </c>
      <c r="BA30" s="329">
        <f>'4_Level 4'!J30</f>
        <v>0</v>
      </c>
      <c r="BB30" s="329">
        <f>'4_Level 4'!L30</f>
        <v>97364</v>
      </c>
      <c r="BC30" s="329">
        <f>'4_Level 4'!M30</f>
        <v>68261</v>
      </c>
      <c r="BD30" s="330">
        <f t="shared" si="7"/>
        <v>14759077</v>
      </c>
    </row>
    <row r="31" spans="1:56" ht="15.6" customHeight="1" x14ac:dyDescent="0.2">
      <c r="A31" s="332">
        <v>25</v>
      </c>
      <c r="B31" s="333" t="s">
        <v>29</v>
      </c>
      <c r="C31" s="334">
        <f>'3_Levels 1&amp;2'!AP31</f>
        <v>12321093</v>
      </c>
      <c r="D31" s="334">
        <v>0</v>
      </c>
      <c r="E31" s="334">
        <f>-'5C1A_Madison'!$R31</f>
        <v>0</v>
      </c>
      <c r="F31" s="334">
        <f>-'5C1B_DArbonne'!$R31</f>
        <v>0</v>
      </c>
      <c r="G31" s="334">
        <f>-'5C1C_Intl High'!$R31</f>
        <v>0</v>
      </c>
      <c r="H31" s="334">
        <f>-'5C1D_NOMMA'!$R31</f>
        <v>0</v>
      </c>
      <c r="I31" s="334">
        <f>-'5C1E_LFNO'!$R31</f>
        <v>0</v>
      </c>
      <c r="J31" s="334">
        <f>-'5C1F_L.C. Charter'!$R31</f>
        <v>0</v>
      </c>
      <c r="K31" s="334">
        <f>-'5C1G_JS Clark'!$R31</f>
        <v>0</v>
      </c>
      <c r="L31" s="334">
        <f>-'5C1H_Southwest'!$R31</f>
        <v>0</v>
      </c>
      <c r="M31" s="334">
        <f>-'5C1I_LA Key'!$R31</f>
        <v>0</v>
      </c>
      <c r="N31" s="334">
        <f>-'5C1J_JCFA-East'!$R31</f>
        <v>0</v>
      </c>
      <c r="O31" s="334">
        <f>-'5C1M_GEO Mid'!$R31</f>
        <v>0</v>
      </c>
      <c r="P31" s="334">
        <f>-'5C1N_Delta'!$R31</f>
        <v>0</v>
      </c>
      <c r="Q31" s="334">
        <f>-'5C1O_Impact'!$R31</f>
        <v>0</v>
      </c>
      <c r="R31" s="334">
        <f>-'5C1Q_Advantage'!$R31</f>
        <v>0</v>
      </c>
      <c r="S31" s="334">
        <f>-'5C1R_Iberville'!$R31</f>
        <v>0</v>
      </c>
      <c r="T31" s="334">
        <f>-'5C1S_LC Col Prep'!$R31</f>
        <v>0</v>
      </c>
      <c r="U31" s="334">
        <f>-'5C1T_Northeast'!$R31</f>
        <v>0</v>
      </c>
      <c r="V31" s="334">
        <f>-'5C1U_Acadiana Ren'!$R31</f>
        <v>0</v>
      </c>
      <c r="W31" s="334">
        <f>-'5C1V_Laf Ren'!$R31</f>
        <v>0</v>
      </c>
      <c r="X31" s="334">
        <f>-'5C1W_Willow'!$R31</f>
        <v>0</v>
      </c>
      <c r="Y31" s="334">
        <f>-'5C1Y_GEO'!$R31</f>
        <v>0</v>
      </c>
      <c r="Z31" s="334">
        <f>-'5C1Z_Lincoln Prep'!$R31</f>
        <v>-92003</v>
      </c>
      <c r="AA31" s="334">
        <f>-'5C1AD_Greater'!$R31</f>
        <v>0</v>
      </c>
      <c r="AB31" s="610">
        <f>-'5C1AE_Noble Minds'!$R31</f>
        <v>0</v>
      </c>
      <c r="AC31" s="610">
        <f>-'5C1AF_JCFA-Laf'!$R31</f>
        <v>0</v>
      </c>
      <c r="AD31" s="610">
        <f>-'5C1AG_Collegiate'!$R31</f>
        <v>0</v>
      </c>
      <c r="AE31" s="334">
        <f>-'5C1AH_BRUP'!$R31</f>
        <v>0</v>
      </c>
      <c r="AF31" s="881">
        <f>-'5C1AI_Harmony'!$R31</f>
        <v>0</v>
      </c>
      <c r="AG31" s="881">
        <f>-'5C1AJ_Athlos'!$R31</f>
        <v>0</v>
      </c>
      <c r="AH31" s="334">
        <f>-('5C2_LAVCA'!$R31+'5C2_LAVCA'!$S31)</f>
        <v>-47231</v>
      </c>
      <c r="AI31" s="334">
        <f>-('5C3_UnvView'!$R31+'5C3_UnvView'!$S31)</f>
        <v>-19464</v>
      </c>
      <c r="AJ31" s="335">
        <f t="shared" si="3"/>
        <v>-158698</v>
      </c>
      <c r="AK31" s="335">
        <f t="shared" si="4"/>
        <v>12162395</v>
      </c>
      <c r="AL31" s="335">
        <f>ROUND(AK31/'8_2.1.19 SIS'!C31,0)</f>
        <v>5496</v>
      </c>
      <c r="AM31" s="1064">
        <f>'3B_Pay Raise'!O31</f>
        <v>332662</v>
      </c>
      <c r="AN31" s="336">
        <f>'[1]LEA Summary'!$K31</f>
        <v>4321</v>
      </c>
      <c r="AO31" s="334">
        <f t="shared" si="8"/>
        <v>4321</v>
      </c>
      <c r="AP31" s="334">
        <f t="shared" si="9"/>
        <v>0</v>
      </c>
      <c r="AQ31" s="334">
        <f>VLOOKUP($A31,'[2]Oct_MidYear Adj'!$A$7:$N$137,10,FALSE)</f>
        <v>-98928</v>
      </c>
      <c r="AR31" s="334">
        <f>VLOOKUP($A31,'[3]Feb_MidYear Adj'!$A$7:$N$137,10,FALSE)</f>
        <v>-74196</v>
      </c>
      <c r="AS31" s="336">
        <f t="shared" si="10"/>
        <v>-173124</v>
      </c>
      <c r="AT31" s="335">
        <f t="shared" si="11"/>
        <v>12326254</v>
      </c>
      <c r="AU31" s="334">
        <f>'4_Level 4'!E31</f>
        <v>0</v>
      </c>
      <c r="AV31" s="334">
        <f>'4_Level 4'!Q31</f>
        <v>58115</v>
      </c>
      <c r="AW31" s="335">
        <f t="shared" si="5"/>
        <v>12384369</v>
      </c>
      <c r="AX31" s="334">
        <f>('[4]2_State Distrib and Adjs'!AZ31*2)+'[5]2_State Distrib and Adjs'!AZ31+('[6]2_State Distrib and Adjs'!AZ31*3)+('[7]2_State Distrib and Adjs'!AZ31*2)</f>
        <v>8372929</v>
      </c>
      <c r="AY31" s="334">
        <f t="shared" si="12"/>
        <v>4011440</v>
      </c>
      <c r="AZ31" s="334">
        <f t="shared" si="6"/>
        <v>1002860</v>
      </c>
      <c r="BA31" s="334">
        <f>'4_Level 4'!J31</f>
        <v>0</v>
      </c>
      <c r="BB31" s="334">
        <f>'4_Level 4'!L31</f>
        <v>80494</v>
      </c>
      <c r="BC31" s="334">
        <f>'4_Level 4'!M31</f>
        <v>0</v>
      </c>
      <c r="BD31" s="335">
        <f t="shared" si="7"/>
        <v>12464863</v>
      </c>
    </row>
    <row r="32" spans="1:56" ht="15.6" customHeight="1" x14ac:dyDescent="0.2">
      <c r="A32" s="325">
        <v>26</v>
      </c>
      <c r="B32" s="326" t="s">
        <v>30</v>
      </c>
      <c r="C32" s="33">
        <f>'3_Levels 1&amp;2'!AP32</f>
        <v>238759942</v>
      </c>
      <c r="D32" s="33">
        <v>0</v>
      </c>
      <c r="E32" s="33">
        <f>-'5C1A_Madison'!$R32</f>
        <v>0</v>
      </c>
      <c r="F32" s="33">
        <f>-'5C1B_DArbonne'!$R32</f>
        <v>0</v>
      </c>
      <c r="G32" s="33">
        <f>-'5C1C_Intl High'!$R32</f>
        <v>-239899</v>
      </c>
      <c r="H32" s="33">
        <f>-'5C1D_NOMMA'!$R32</f>
        <v>-2742387</v>
      </c>
      <c r="I32" s="33">
        <f>-'5C1E_LFNO'!$R32</f>
        <v>-962012</v>
      </c>
      <c r="J32" s="33">
        <f>-'5C1F_L.C. Charter'!$R32</f>
        <v>0</v>
      </c>
      <c r="K32" s="33">
        <f>-'5C1G_JS Clark'!$R32</f>
        <v>0</v>
      </c>
      <c r="L32" s="33">
        <f>-'5C1H_Southwest'!$R32</f>
        <v>0</v>
      </c>
      <c r="M32" s="33">
        <f>-'5C1I_LA Key'!$R32</f>
        <v>0</v>
      </c>
      <c r="N32" s="33">
        <f>-'5C1J_JCFA-East'!$R32</f>
        <v>-954675</v>
      </c>
      <c r="O32" s="33">
        <f>-'5C1M_GEO Mid'!$R32</f>
        <v>0</v>
      </c>
      <c r="P32" s="33">
        <f>-'5C1N_Delta'!$R32</f>
        <v>0</v>
      </c>
      <c r="Q32" s="33">
        <f>-'5C1O_Impact'!$R32</f>
        <v>0</v>
      </c>
      <c r="R32" s="33">
        <f>-'5C1Q_Advantage'!$R32</f>
        <v>0</v>
      </c>
      <c r="S32" s="33">
        <f>-'5C1R_Iberville'!$R32</f>
        <v>0</v>
      </c>
      <c r="T32" s="33">
        <f>-'5C1S_LC Col Prep'!$R32</f>
        <v>0</v>
      </c>
      <c r="U32" s="33">
        <f>-'5C1T_Northeast'!$R32</f>
        <v>0</v>
      </c>
      <c r="V32" s="33">
        <f>-'5C1U_Acadiana Ren'!$R32</f>
        <v>0</v>
      </c>
      <c r="W32" s="33">
        <f>-'5C1V_Laf Ren'!$R32</f>
        <v>0</v>
      </c>
      <c r="X32" s="33">
        <f>-'5C1W_Willow'!$R32</f>
        <v>0</v>
      </c>
      <c r="Y32" s="33">
        <f>-'5C1Y_GEO'!$R32</f>
        <v>0</v>
      </c>
      <c r="Z32" s="33">
        <f>-'5C1Z_Lincoln Prep'!$R32</f>
        <v>0</v>
      </c>
      <c r="AA32" s="33">
        <f>-'5C1AD_Greater'!$R32</f>
        <v>0</v>
      </c>
      <c r="AB32" s="33">
        <f>-'5C1AE_Noble Minds'!$R32</f>
        <v>-36637</v>
      </c>
      <c r="AC32" s="33">
        <f>-'5C1AF_JCFA-Laf'!$R32</f>
        <v>0</v>
      </c>
      <c r="AD32" s="33">
        <f>-'5C1AG_Collegiate'!$R32</f>
        <v>0</v>
      </c>
      <c r="AE32" s="33">
        <f>-'5C1AH_BRUP'!$R32</f>
        <v>0</v>
      </c>
      <c r="AF32" s="33">
        <f>-'5C1AI_Harmony'!$R32</f>
        <v>-35539</v>
      </c>
      <c r="AG32" s="33">
        <f>-'5C1AJ_Athlos'!$R32</f>
        <v>-4246442</v>
      </c>
      <c r="AH32" s="33">
        <f>-('5C2_LAVCA'!$R32+'5C2_LAVCA'!$S32)</f>
        <v>-873032</v>
      </c>
      <c r="AI32" s="33">
        <f>-('5C3_UnvView'!$R32+'5C3_UnvView'!$S32)</f>
        <v>-819987</v>
      </c>
      <c r="AJ32" s="32">
        <f t="shared" si="3"/>
        <v>-10910610</v>
      </c>
      <c r="AK32" s="32">
        <f t="shared" si="4"/>
        <v>227849332</v>
      </c>
      <c r="AL32" s="32">
        <f>ROUND(AK32/'8_2.1.19 SIS'!C32,0)</f>
        <v>4826</v>
      </c>
      <c r="AM32" s="32">
        <f>'3B_Pay Raise'!O32</f>
        <v>6989935</v>
      </c>
      <c r="AN32" s="34">
        <f>'[1]LEA Summary'!$K32</f>
        <v>-279703</v>
      </c>
      <c r="AO32" s="33">
        <f t="shared" si="8"/>
        <v>0</v>
      </c>
      <c r="AP32" s="33">
        <f t="shared" si="9"/>
        <v>-279703</v>
      </c>
      <c r="AQ32" s="33">
        <f>VLOOKUP($A32,'[2]Oct_MidYear Adj'!$A$7:$N$137,10,FALSE)</f>
        <v>6838442</v>
      </c>
      <c r="AR32" s="33">
        <f>VLOOKUP($A32,'[3]Feb_MidYear Adj'!$A$7:$N$137,10,FALSE)</f>
        <v>-755269</v>
      </c>
      <c r="AS32" s="34">
        <f t="shared" si="10"/>
        <v>6083173</v>
      </c>
      <c r="AT32" s="32">
        <f t="shared" si="11"/>
        <v>240642737</v>
      </c>
      <c r="AU32" s="33">
        <f>'4_Level 4'!E32</f>
        <v>462000</v>
      </c>
      <c r="AV32" s="33">
        <f>'4_Level 4'!Q32</f>
        <v>1157698</v>
      </c>
      <c r="AW32" s="32">
        <f t="shared" si="5"/>
        <v>242262435</v>
      </c>
      <c r="AX32" s="33">
        <f>('[4]2_State Distrib and Adjs'!AZ32*2)+'[5]2_State Distrib and Adjs'!AZ32+('[6]2_State Distrib and Adjs'!AZ32*3)+('[7]2_State Distrib and Adjs'!AZ32*2)</f>
        <v>157465036</v>
      </c>
      <c r="AY32" s="33">
        <f t="shared" si="12"/>
        <v>84797399</v>
      </c>
      <c r="AZ32" s="33">
        <f t="shared" si="6"/>
        <v>21199350</v>
      </c>
      <c r="BA32" s="33">
        <f>'4_Level 4'!J32</f>
        <v>42000</v>
      </c>
      <c r="BB32" s="33">
        <f>'4_Level 4'!L32</f>
        <v>1142340</v>
      </c>
      <c r="BC32" s="33">
        <f>'4_Level 4'!M32</f>
        <v>292109</v>
      </c>
      <c r="BD32" s="32">
        <f t="shared" si="7"/>
        <v>243738884</v>
      </c>
    </row>
    <row r="33" spans="1:56" ht="15.6" customHeight="1" x14ac:dyDescent="0.2">
      <c r="A33" s="327">
        <v>27</v>
      </c>
      <c r="B33" s="328" t="s">
        <v>31</v>
      </c>
      <c r="C33" s="329">
        <f>'3_Levels 1&amp;2'!AP33</f>
        <v>36922885</v>
      </c>
      <c r="D33" s="329">
        <v>0</v>
      </c>
      <c r="E33" s="329">
        <f>-'5C1A_Madison'!$R33</f>
        <v>0</v>
      </c>
      <c r="F33" s="329">
        <f>-'5C1B_DArbonne'!$R33</f>
        <v>0</v>
      </c>
      <c r="G33" s="329">
        <f>-'5C1C_Intl High'!$R33</f>
        <v>0</v>
      </c>
      <c r="H33" s="329">
        <f>-'5C1D_NOMMA'!$R33</f>
        <v>0</v>
      </c>
      <c r="I33" s="329">
        <f>-'5C1E_LFNO'!$R33</f>
        <v>0</v>
      </c>
      <c r="J33" s="329">
        <f>-'5C1F_L.C. Charter'!$R33</f>
        <v>-17998</v>
      </c>
      <c r="K33" s="329">
        <f>-'5C1G_JS Clark'!$R33</f>
        <v>0</v>
      </c>
      <c r="L33" s="329">
        <f>-'5C1H_Southwest'!$R33</f>
        <v>0</v>
      </c>
      <c r="M33" s="329">
        <f>-'5C1I_LA Key'!$R33</f>
        <v>0</v>
      </c>
      <c r="N33" s="329">
        <f>-'5C1J_JCFA-East'!$R33</f>
        <v>0</v>
      </c>
      <c r="O33" s="329">
        <f>-'5C1M_GEO Mid'!$R33</f>
        <v>0</v>
      </c>
      <c r="P33" s="329">
        <f>-'5C1N_Delta'!$R33</f>
        <v>0</v>
      </c>
      <c r="Q33" s="329">
        <f>-'5C1O_Impact'!$R33</f>
        <v>0</v>
      </c>
      <c r="R33" s="329">
        <f>-'5C1Q_Advantage'!$R33</f>
        <v>0</v>
      </c>
      <c r="S33" s="329">
        <f>-'5C1R_Iberville'!$R33</f>
        <v>0</v>
      </c>
      <c r="T33" s="329">
        <f>-'5C1S_LC Col Prep'!$R33</f>
        <v>0</v>
      </c>
      <c r="U33" s="329">
        <f>-'5C1T_Northeast'!$R33</f>
        <v>0</v>
      </c>
      <c r="V33" s="329">
        <f>-'5C1U_Acadiana Ren'!$R33</f>
        <v>0</v>
      </c>
      <c r="W33" s="329">
        <f>-'5C1V_Laf Ren'!$R33</f>
        <v>0</v>
      </c>
      <c r="X33" s="329">
        <f>-'5C1W_Willow'!$R33</f>
        <v>0</v>
      </c>
      <c r="Y33" s="329">
        <f>-'5C1Y_GEO'!$R33</f>
        <v>0</v>
      </c>
      <c r="Z33" s="329">
        <f>-'5C1Z_Lincoln Prep'!$R33</f>
        <v>0</v>
      </c>
      <c r="AA33" s="329">
        <f>-'5C1AD_Greater'!$R33</f>
        <v>0</v>
      </c>
      <c r="AB33" s="329">
        <f>-'5C1AE_Noble Minds'!$R33</f>
        <v>0</v>
      </c>
      <c r="AC33" s="329">
        <f>-'5C1AF_JCFA-Laf'!$R33</f>
        <v>0</v>
      </c>
      <c r="AD33" s="329">
        <f>-'5C1AG_Collegiate'!$R33</f>
        <v>0</v>
      </c>
      <c r="AE33" s="329">
        <f>-'5C1AH_BRUP'!$R33</f>
        <v>0</v>
      </c>
      <c r="AF33" s="329">
        <f>-'5C1AI_Harmony'!$R33</f>
        <v>0</v>
      </c>
      <c r="AG33" s="329">
        <f>-'5C1AJ_Athlos'!$R33</f>
        <v>0</v>
      </c>
      <c r="AH33" s="329">
        <f>-('5C2_LAVCA'!$R33+'5C2_LAVCA'!$S33)</f>
        <v>-105941</v>
      </c>
      <c r="AI33" s="329">
        <f>-('5C3_UnvView'!$R33+'5C3_UnvView'!$S33)</f>
        <v>-40550</v>
      </c>
      <c r="AJ33" s="330">
        <f t="shared" si="3"/>
        <v>-164489</v>
      </c>
      <c r="AK33" s="330">
        <f t="shared" si="4"/>
        <v>36758396</v>
      </c>
      <c r="AL33" s="330">
        <f>ROUND(AK33/'8_2.1.19 SIS'!C33,0)</f>
        <v>6677</v>
      </c>
      <c r="AM33" s="330">
        <f>'3B_Pay Raise'!O33</f>
        <v>761538</v>
      </c>
      <c r="AN33" s="331">
        <f>'[1]LEA Summary'!$K33</f>
        <v>-5850</v>
      </c>
      <c r="AO33" s="329">
        <f t="shared" si="8"/>
        <v>0</v>
      </c>
      <c r="AP33" s="329">
        <f t="shared" si="9"/>
        <v>-5850</v>
      </c>
      <c r="AQ33" s="329">
        <f>VLOOKUP($A33,'[2]Oct_MidYear Adj'!$A$7:$N$137,10,FALSE)</f>
        <v>-347204</v>
      </c>
      <c r="AR33" s="329">
        <f>VLOOKUP($A33,'[3]Feb_MidYear Adj'!$A$7:$N$137,10,FALSE)</f>
        <v>43401</v>
      </c>
      <c r="AS33" s="331">
        <f t="shared" si="10"/>
        <v>-303803</v>
      </c>
      <c r="AT33" s="330">
        <f t="shared" si="11"/>
        <v>37210281</v>
      </c>
      <c r="AU33" s="329">
        <f>'4_Level 4'!E33</f>
        <v>0</v>
      </c>
      <c r="AV33" s="329">
        <f>'4_Level 4'!Q33</f>
        <v>145907</v>
      </c>
      <c r="AW33" s="330">
        <f t="shared" si="5"/>
        <v>37356188</v>
      </c>
      <c r="AX33" s="329">
        <f>('[4]2_State Distrib and Adjs'!AZ33*2)+'[5]2_State Distrib and Adjs'!AZ33+('[6]2_State Distrib and Adjs'!AZ33*3)+('[7]2_State Distrib and Adjs'!AZ33*2)</f>
        <v>25117546</v>
      </c>
      <c r="AY33" s="329">
        <f t="shared" si="12"/>
        <v>12238642</v>
      </c>
      <c r="AZ33" s="329">
        <f t="shared" si="6"/>
        <v>3059661</v>
      </c>
      <c r="BA33" s="329">
        <f>'4_Level 4'!J33</f>
        <v>0</v>
      </c>
      <c r="BB33" s="329">
        <f>'4_Level 4'!L33</f>
        <v>127007</v>
      </c>
      <c r="BC33" s="329">
        <f>'4_Level 4'!M33</f>
        <v>0</v>
      </c>
      <c r="BD33" s="330">
        <f t="shared" si="7"/>
        <v>37483195</v>
      </c>
    </row>
    <row r="34" spans="1:56" ht="15.6" customHeight="1" x14ac:dyDescent="0.2">
      <c r="A34" s="327">
        <v>28</v>
      </c>
      <c r="B34" s="328" t="s">
        <v>32</v>
      </c>
      <c r="C34" s="329">
        <f>'3_Levels 1&amp;2'!AP34</f>
        <v>140049155</v>
      </c>
      <c r="D34" s="329">
        <v>0</v>
      </c>
      <c r="E34" s="329">
        <f>-'5C1A_Madison'!$R34</f>
        <v>0</v>
      </c>
      <c r="F34" s="329">
        <f>-'5C1B_DArbonne'!$R34</f>
        <v>0</v>
      </c>
      <c r="G34" s="329">
        <f>-'5C1C_Intl High'!$R34</f>
        <v>0</v>
      </c>
      <c r="H34" s="329">
        <f>-'5C1D_NOMMA'!$R34</f>
        <v>0</v>
      </c>
      <c r="I34" s="329">
        <f>-'5C1E_LFNO'!$R34</f>
        <v>0</v>
      </c>
      <c r="J34" s="329">
        <f>-'5C1F_L.C. Charter'!$R34</f>
        <v>0</v>
      </c>
      <c r="K34" s="329">
        <f>-'5C1G_JS Clark'!$R34</f>
        <v>0</v>
      </c>
      <c r="L34" s="329">
        <f>-'5C1H_Southwest'!$R34</f>
        <v>0</v>
      </c>
      <c r="M34" s="329">
        <f>-'5C1I_LA Key'!$R34</f>
        <v>0</v>
      </c>
      <c r="N34" s="329">
        <f>-'5C1J_JCFA-East'!$R34</f>
        <v>0</v>
      </c>
      <c r="O34" s="329">
        <f>-'5C1M_GEO Mid'!$R34</f>
        <v>0</v>
      </c>
      <c r="P34" s="329">
        <f>-'5C1N_Delta'!$R34</f>
        <v>0</v>
      </c>
      <c r="Q34" s="329">
        <f>-'5C1O_Impact'!$R34</f>
        <v>0</v>
      </c>
      <c r="R34" s="329">
        <f>-'5C1Q_Advantage'!$R34</f>
        <v>0</v>
      </c>
      <c r="S34" s="329">
        <f>-'5C1R_Iberville'!$R34</f>
        <v>0</v>
      </c>
      <c r="T34" s="329">
        <f>-'5C1S_LC Col Prep'!$R34</f>
        <v>0</v>
      </c>
      <c r="U34" s="329">
        <f>-'5C1T_Northeast'!$R34</f>
        <v>0</v>
      </c>
      <c r="V34" s="329">
        <f>-'5C1U_Acadiana Ren'!$R34</f>
        <v>-3006805</v>
      </c>
      <c r="W34" s="329">
        <f>-'5C1V_Laf Ren'!$R34</f>
        <v>-3151583</v>
      </c>
      <c r="X34" s="329">
        <f>-'5C1W_Willow'!$R34</f>
        <v>-2333121</v>
      </c>
      <c r="Y34" s="329">
        <f>-'5C1Y_GEO'!$R34</f>
        <v>0</v>
      </c>
      <c r="Z34" s="329">
        <f>-'5C1Z_Lincoln Prep'!$R34</f>
        <v>0</v>
      </c>
      <c r="AA34" s="329">
        <f>-'5C1AD_Greater'!$R34</f>
        <v>0</v>
      </c>
      <c r="AB34" s="329">
        <f>-'5C1AE_Noble Minds'!$R34</f>
        <v>0</v>
      </c>
      <c r="AC34" s="329">
        <f>-'5C1AF_JCFA-Laf'!$R34</f>
        <v>-243925</v>
      </c>
      <c r="AD34" s="329">
        <f>-'5C1AG_Collegiate'!$R34</f>
        <v>0</v>
      </c>
      <c r="AE34" s="329">
        <f>-'5C1AH_BRUP'!$R34</f>
        <v>0</v>
      </c>
      <c r="AF34" s="329">
        <f>-'5C1AI_Harmony'!$R34</f>
        <v>0</v>
      </c>
      <c r="AG34" s="329">
        <f>-'5C1AJ_Athlos'!$R34</f>
        <v>0</v>
      </c>
      <c r="AH34" s="329">
        <f>-('5C2_LAVCA'!$R34+'5C2_LAVCA'!$S34)</f>
        <v>-244626</v>
      </c>
      <c r="AI34" s="329">
        <f>-('5C3_UnvView'!$R34+'5C3_UnvView'!$S34)</f>
        <v>-460283</v>
      </c>
      <c r="AJ34" s="330">
        <f t="shared" si="3"/>
        <v>-9440343</v>
      </c>
      <c r="AK34" s="330">
        <f t="shared" si="4"/>
        <v>130608812</v>
      </c>
      <c r="AL34" s="330">
        <f>ROUND(AK34/'8_2.1.19 SIS'!C34,0)</f>
        <v>4304</v>
      </c>
      <c r="AM34" s="330">
        <f>'3B_Pay Raise'!O34</f>
        <v>4244926</v>
      </c>
      <c r="AN34" s="331">
        <f>'[1]LEA Summary'!$K34</f>
        <v>-46666</v>
      </c>
      <c r="AO34" s="329">
        <f t="shared" si="8"/>
        <v>0</v>
      </c>
      <c r="AP34" s="329">
        <f t="shared" si="9"/>
        <v>-46666</v>
      </c>
      <c r="AQ34" s="329">
        <f>VLOOKUP($A34,'[2]Oct_MidYear Adj'!$A$7:$N$137,10,FALSE)</f>
        <v>2281120</v>
      </c>
      <c r="AR34" s="329">
        <f>VLOOKUP($A34,'[3]Feb_MidYear Adj'!$A$7:$N$137,10,FALSE)</f>
        <v>253936</v>
      </c>
      <c r="AS34" s="331">
        <f t="shared" si="10"/>
        <v>2535056</v>
      </c>
      <c r="AT34" s="330">
        <f t="shared" si="11"/>
        <v>137342128</v>
      </c>
      <c r="AU34" s="329">
        <f>'4_Level 4'!E34</f>
        <v>882000</v>
      </c>
      <c r="AV34" s="329">
        <f>'4_Level 4'!Q34</f>
        <v>802223</v>
      </c>
      <c r="AW34" s="330">
        <f t="shared" si="5"/>
        <v>139026351</v>
      </c>
      <c r="AX34" s="329">
        <f>('[4]2_State Distrib and Adjs'!AZ34*2)+'[5]2_State Distrib and Adjs'!AZ34+('[6]2_State Distrib and Adjs'!AZ34*3)+('[7]2_State Distrib and Adjs'!AZ34*2)</f>
        <v>91003234</v>
      </c>
      <c r="AY34" s="329">
        <f t="shared" si="12"/>
        <v>48023117</v>
      </c>
      <c r="AZ34" s="329">
        <f t="shared" si="6"/>
        <v>12005779</v>
      </c>
      <c r="BA34" s="329">
        <f>'4_Level 4'!J34</f>
        <v>72000</v>
      </c>
      <c r="BB34" s="329">
        <f>'4_Level 4'!L34</f>
        <v>866154</v>
      </c>
      <c r="BC34" s="329">
        <f>'4_Level 4'!M34</f>
        <v>0</v>
      </c>
      <c r="BD34" s="330">
        <f t="shared" si="7"/>
        <v>139964505</v>
      </c>
    </row>
    <row r="35" spans="1:56" ht="15.6" customHeight="1" x14ac:dyDescent="0.2">
      <c r="A35" s="327">
        <v>29</v>
      </c>
      <c r="B35" s="328" t="s">
        <v>33</v>
      </c>
      <c r="C35" s="329">
        <f>'3_Levels 1&amp;2'!AP35</f>
        <v>72032884</v>
      </c>
      <c r="D35" s="329">
        <v>0</v>
      </c>
      <c r="E35" s="329">
        <f>-'5C1A_Madison'!$R35</f>
        <v>0</v>
      </c>
      <c r="F35" s="329">
        <f>-'5C1B_DArbonne'!$R35</f>
        <v>0</v>
      </c>
      <c r="G35" s="329">
        <f>-'5C1C_Intl High'!$R35</f>
        <v>-4281</v>
      </c>
      <c r="H35" s="329">
        <f>-'5C1D_NOMMA'!$R35</f>
        <v>0</v>
      </c>
      <c r="I35" s="329">
        <f>-'5C1E_LFNO'!$R35</f>
        <v>0</v>
      </c>
      <c r="J35" s="329">
        <f>-'5C1F_L.C. Charter'!$R35</f>
        <v>0</v>
      </c>
      <c r="K35" s="329">
        <f>-'5C1G_JS Clark'!$R35</f>
        <v>0</v>
      </c>
      <c r="L35" s="329">
        <f>-'5C1H_Southwest'!$R35</f>
        <v>0</v>
      </c>
      <c r="M35" s="329">
        <f>-'5C1I_LA Key'!$R35</f>
        <v>0</v>
      </c>
      <c r="N35" s="329">
        <f>-'5C1J_JCFA-East'!$R35</f>
        <v>0</v>
      </c>
      <c r="O35" s="329">
        <f>-'5C1M_GEO Mid'!$R35</f>
        <v>0</v>
      </c>
      <c r="P35" s="329">
        <f>-'5C1N_Delta'!$R35</f>
        <v>0</v>
      </c>
      <c r="Q35" s="329">
        <f>-'5C1O_Impact'!$R35</f>
        <v>0</v>
      </c>
      <c r="R35" s="329">
        <f>-'5C1Q_Advantage'!$R35</f>
        <v>0</v>
      </c>
      <c r="S35" s="329">
        <f>-'5C1R_Iberville'!$R35</f>
        <v>0</v>
      </c>
      <c r="T35" s="329">
        <f>-'5C1S_LC Col Prep'!$R35</f>
        <v>0</v>
      </c>
      <c r="U35" s="329">
        <f>-'5C1T_Northeast'!$R35</f>
        <v>0</v>
      </c>
      <c r="V35" s="329">
        <f>-'5C1U_Acadiana Ren'!$R35</f>
        <v>0</v>
      </c>
      <c r="W35" s="329">
        <f>-'5C1V_Laf Ren'!$R35</f>
        <v>0</v>
      </c>
      <c r="X35" s="329">
        <f>-'5C1W_Willow'!$R35</f>
        <v>0</v>
      </c>
      <c r="Y35" s="329">
        <f>-'5C1Y_GEO'!$R35</f>
        <v>0</v>
      </c>
      <c r="Z35" s="329">
        <f>-'5C1Z_Lincoln Prep'!$R35</f>
        <v>0</v>
      </c>
      <c r="AA35" s="329">
        <f>-'5C1AD_Greater'!$R35</f>
        <v>-4858</v>
      </c>
      <c r="AB35" s="329">
        <f>-'5C1AE_Noble Minds'!$R35</f>
        <v>0</v>
      </c>
      <c r="AC35" s="329">
        <f>-'5C1AF_JCFA-Laf'!$R35</f>
        <v>0</v>
      </c>
      <c r="AD35" s="329">
        <f>-'5C1AG_Collegiate'!$R35</f>
        <v>0</v>
      </c>
      <c r="AE35" s="329">
        <f>-'5C1AH_BRUP'!$R35</f>
        <v>0</v>
      </c>
      <c r="AF35" s="329">
        <f>-'5C1AI_Harmony'!$R35</f>
        <v>0</v>
      </c>
      <c r="AG35" s="329">
        <f>-'5C1AJ_Athlos'!$R35</f>
        <v>0</v>
      </c>
      <c r="AH35" s="329">
        <f>-('5C2_LAVCA'!$R35+'5C2_LAVCA'!$S35)</f>
        <v>-155674</v>
      </c>
      <c r="AI35" s="329">
        <f>-('5C3_UnvView'!$R35+'5C3_UnvView'!$S35)</f>
        <v>-503520</v>
      </c>
      <c r="AJ35" s="330">
        <f t="shared" si="3"/>
        <v>-668333</v>
      </c>
      <c r="AK35" s="330">
        <f t="shared" si="4"/>
        <v>71364551</v>
      </c>
      <c r="AL35" s="330">
        <f>ROUND(AK35/'8_2.1.19 SIS'!C35,0)</f>
        <v>5168</v>
      </c>
      <c r="AM35" s="330">
        <f>'3B_Pay Raise'!O35</f>
        <v>1854051</v>
      </c>
      <c r="AN35" s="331">
        <f>'[1]LEA Summary'!$K35</f>
        <v>-9580</v>
      </c>
      <c r="AO35" s="329">
        <f t="shared" si="8"/>
        <v>0</v>
      </c>
      <c r="AP35" s="329">
        <f t="shared" si="9"/>
        <v>-9580</v>
      </c>
      <c r="AQ35" s="329">
        <f>VLOOKUP($A35,'[2]Oct_MidYear Adj'!$A$7:$N$137,10,FALSE)</f>
        <v>1710608</v>
      </c>
      <c r="AR35" s="329">
        <f>VLOOKUP($A35,'[3]Feb_MidYear Adj'!$A$7:$N$137,10,FALSE)</f>
        <v>-503880</v>
      </c>
      <c r="AS35" s="331">
        <f t="shared" si="10"/>
        <v>1206728</v>
      </c>
      <c r="AT35" s="330">
        <f t="shared" si="11"/>
        <v>74415750</v>
      </c>
      <c r="AU35" s="329">
        <f>'4_Level 4'!E35</f>
        <v>273000</v>
      </c>
      <c r="AV35" s="329">
        <f>'4_Level 4'!Q35</f>
        <v>353174</v>
      </c>
      <c r="AW35" s="330">
        <f t="shared" si="5"/>
        <v>75041924</v>
      </c>
      <c r="AX35" s="329">
        <f>('[4]2_State Distrib and Adjs'!AZ35*2)+'[5]2_State Distrib and Adjs'!AZ35+('[6]2_State Distrib and Adjs'!AZ35*3)+('[7]2_State Distrib and Adjs'!AZ35*2)</f>
        <v>49241715</v>
      </c>
      <c r="AY35" s="329">
        <f t="shared" si="12"/>
        <v>25800209</v>
      </c>
      <c r="AZ35" s="329">
        <f t="shared" si="6"/>
        <v>6450052</v>
      </c>
      <c r="BA35" s="329">
        <f>'4_Level 4'!J35</f>
        <v>30000</v>
      </c>
      <c r="BB35" s="329">
        <f>'4_Level 4'!L35</f>
        <v>646844</v>
      </c>
      <c r="BC35" s="329">
        <f>'4_Level 4'!M35</f>
        <v>0</v>
      </c>
      <c r="BD35" s="330">
        <f t="shared" si="7"/>
        <v>75718768</v>
      </c>
    </row>
    <row r="36" spans="1:56" ht="15.6" customHeight="1" x14ac:dyDescent="0.2">
      <c r="A36" s="332">
        <v>30</v>
      </c>
      <c r="B36" s="333" t="s">
        <v>34</v>
      </c>
      <c r="C36" s="334">
        <f>'3_Levels 1&amp;2'!AP36</f>
        <v>16952078</v>
      </c>
      <c r="D36" s="334">
        <v>0</v>
      </c>
      <c r="E36" s="334">
        <f>-'5C1A_Madison'!$R36</f>
        <v>0</v>
      </c>
      <c r="F36" s="334">
        <f>-'5C1B_DArbonne'!$R36</f>
        <v>0</v>
      </c>
      <c r="G36" s="334">
        <f>-'5C1C_Intl High'!$R36</f>
        <v>0</v>
      </c>
      <c r="H36" s="334">
        <f>-'5C1D_NOMMA'!$R36</f>
        <v>0</v>
      </c>
      <c r="I36" s="334">
        <f>-'5C1E_LFNO'!$R36</f>
        <v>0</v>
      </c>
      <c r="J36" s="334">
        <f>-'5C1F_L.C. Charter'!$R36</f>
        <v>0</v>
      </c>
      <c r="K36" s="334">
        <f>-'5C1G_JS Clark'!$R36</f>
        <v>0</v>
      </c>
      <c r="L36" s="334">
        <f>-'5C1H_Southwest'!$R36</f>
        <v>0</v>
      </c>
      <c r="M36" s="334">
        <f>-'5C1I_LA Key'!$R36</f>
        <v>0</v>
      </c>
      <c r="N36" s="334">
        <f>-'5C1J_JCFA-East'!$R36</f>
        <v>0</v>
      </c>
      <c r="O36" s="334">
        <f>-'5C1M_GEO Mid'!$R36</f>
        <v>0</v>
      </c>
      <c r="P36" s="334">
        <f>-'5C1N_Delta'!$R36</f>
        <v>0</v>
      </c>
      <c r="Q36" s="334">
        <f>-'5C1O_Impact'!$R36</f>
        <v>0</v>
      </c>
      <c r="R36" s="334">
        <f>-'5C1Q_Advantage'!$R36</f>
        <v>0</v>
      </c>
      <c r="S36" s="334">
        <f>-'5C1R_Iberville'!$R36</f>
        <v>0</v>
      </c>
      <c r="T36" s="334">
        <f>-'5C1S_LC Col Prep'!$R36</f>
        <v>0</v>
      </c>
      <c r="U36" s="334">
        <f>-'5C1T_Northeast'!$R36</f>
        <v>0</v>
      </c>
      <c r="V36" s="334">
        <f>-'5C1U_Acadiana Ren'!$R36</f>
        <v>0</v>
      </c>
      <c r="W36" s="334">
        <f>-'5C1V_Laf Ren'!$R36</f>
        <v>0</v>
      </c>
      <c r="X36" s="334">
        <f>-'5C1W_Willow'!$R36</f>
        <v>0</v>
      </c>
      <c r="Y36" s="334">
        <f>-'5C1Y_GEO'!$R36</f>
        <v>0</v>
      </c>
      <c r="Z36" s="334">
        <f>-'5C1Z_Lincoln Prep'!$R36</f>
        <v>0</v>
      </c>
      <c r="AA36" s="334">
        <f>-'5C1AD_Greater'!$R36</f>
        <v>0</v>
      </c>
      <c r="AB36" s="610">
        <f>-'5C1AE_Noble Minds'!$R36</f>
        <v>0</v>
      </c>
      <c r="AC36" s="610">
        <f>-'5C1AF_JCFA-Laf'!$R36</f>
        <v>0</v>
      </c>
      <c r="AD36" s="610">
        <f>-'5C1AG_Collegiate'!$R36</f>
        <v>0</v>
      </c>
      <c r="AE36" s="334">
        <f>-'5C1AH_BRUP'!$R36</f>
        <v>0</v>
      </c>
      <c r="AF36" s="881">
        <f>-'5C1AI_Harmony'!$R36</f>
        <v>0</v>
      </c>
      <c r="AG36" s="881">
        <f>-'5C1AJ_Athlos'!$R36</f>
        <v>0</v>
      </c>
      <c r="AH36" s="334">
        <f>-('5C2_LAVCA'!$R36+'5C2_LAVCA'!$S36)</f>
        <v>0</v>
      </c>
      <c r="AI36" s="334">
        <f>-('5C3_UnvView'!$R36+'5C3_UnvView'!$S36)</f>
        <v>-51936</v>
      </c>
      <c r="AJ36" s="335">
        <f t="shared" si="3"/>
        <v>-51936</v>
      </c>
      <c r="AK36" s="335">
        <f t="shared" si="4"/>
        <v>16900142</v>
      </c>
      <c r="AL36" s="335">
        <f>ROUND(AK36/'8_2.1.19 SIS'!C36,0)</f>
        <v>6848</v>
      </c>
      <c r="AM36" s="1064">
        <f>'3B_Pay Raise'!O36</f>
        <v>373997</v>
      </c>
      <c r="AN36" s="336">
        <f>'[1]LEA Summary'!$K36</f>
        <v>8827</v>
      </c>
      <c r="AO36" s="334">
        <f t="shared" si="8"/>
        <v>8827</v>
      </c>
      <c r="AP36" s="334">
        <f t="shared" si="9"/>
        <v>0</v>
      </c>
      <c r="AQ36" s="334">
        <f>VLOOKUP($A36,'[2]Oct_MidYear Adj'!$A$7:$N$137,10,FALSE)</f>
        <v>246528</v>
      </c>
      <c r="AR36" s="334">
        <f>VLOOKUP($A36,'[3]Feb_MidYear Adj'!$A$7:$N$137,10,FALSE)</f>
        <v>-17120</v>
      </c>
      <c r="AS36" s="336">
        <f t="shared" si="10"/>
        <v>229408</v>
      </c>
      <c r="AT36" s="335">
        <f t="shared" si="11"/>
        <v>17512374</v>
      </c>
      <c r="AU36" s="334">
        <f>'4_Level 4'!E36</f>
        <v>0</v>
      </c>
      <c r="AV36" s="334">
        <f>'4_Level 4'!Q36</f>
        <v>65962</v>
      </c>
      <c r="AW36" s="335">
        <f t="shared" si="5"/>
        <v>17578336</v>
      </c>
      <c r="AX36" s="334">
        <f>('[4]2_State Distrib and Adjs'!AZ36*2)+'[5]2_State Distrib and Adjs'!AZ36+('[6]2_State Distrib and Adjs'!AZ36*3)+('[7]2_State Distrib and Adjs'!AZ36*2)</f>
        <v>11570064</v>
      </c>
      <c r="AY36" s="334">
        <f t="shared" si="12"/>
        <v>6008272</v>
      </c>
      <c r="AZ36" s="334">
        <f t="shared" si="6"/>
        <v>1502068</v>
      </c>
      <c r="BA36" s="334">
        <f>'4_Level 4'!J36</f>
        <v>0</v>
      </c>
      <c r="BB36" s="334">
        <f>'4_Level 4'!L36</f>
        <v>48682</v>
      </c>
      <c r="BC36" s="334">
        <f>'4_Level 4'!M36</f>
        <v>0</v>
      </c>
      <c r="BD36" s="335">
        <f t="shared" si="7"/>
        <v>17627018</v>
      </c>
    </row>
    <row r="37" spans="1:56" ht="15.6" customHeight="1" x14ac:dyDescent="0.2">
      <c r="A37" s="325">
        <v>31</v>
      </c>
      <c r="B37" s="326" t="s">
        <v>35</v>
      </c>
      <c r="C37" s="33">
        <f>'3_Levels 1&amp;2'!AP37</f>
        <v>31260096</v>
      </c>
      <c r="D37" s="33">
        <v>0</v>
      </c>
      <c r="E37" s="33">
        <f>-'5C1A_Madison'!$R37</f>
        <v>0</v>
      </c>
      <c r="F37" s="33">
        <f>-'5C1B_DArbonne'!$R37</f>
        <v>-246166</v>
      </c>
      <c r="G37" s="33">
        <f>-'5C1C_Intl High'!$R37</f>
        <v>0</v>
      </c>
      <c r="H37" s="33">
        <f>-'5C1D_NOMMA'!$R37</f>
        <v>0</v>
      </c>
      <c r="I37" s="33">
        <f>-'5C1E_LFNO'!$R37</f>
        <v>0</v>
      </c>
      <c r="J37" s="33">
        <f>-'5C1F_L.C. Charter'!$R37</f>
        <v>0</v>
      </c>
      <c r="K37" s="33">
        <f>-'5C1G_JS Clark'!$R37</f>
        <v>0</v>
      </c>
      <c r="L37" s="33">
        <f>-'5C1H_Southwest'!$R37</f>
        <v>0</v>
      </c>
      <c r="M37" s="33">
        <f>-'5C1I_LA Key'!$R37</f>
        <v>0</v>
      </c>
      <c r="N37" s="33">
        <f>-'5C1J_JCFA-East'!$R37</f>
        <v>0</v>
      </c>
      <c r="O37" s="33">
        <f>-'5C1M_GEO Mid'!$R37</f>
        <v>0</v>
      </c>
      <c r="P37" s="33">
        <f>-'5C1N_Delta'!$R37</f>
        <v>0</v>
      </c>
      <c r="Q37" s="33">
        <f>-'5C1O_Impact'!$R37</f>
        <v>0</v>
      </c>
      <c r="R37" s="33">
        <f>-'5C1Q_Advantage'!$R37</f>
        <v>0</v>
      </c>
      <c r="S37" s="33">
        <f>-'5C1R_Iberville'!$R37</f>
        <v>0</v>
      </c>
      <c r="T37" s="33">
        <f>-'5C1S_LC Col Prep'!$R37</f>
        <v>0</v>
      </c>
      <c r="U37" s="33">
        <f>-'5C1T_Northeast'!$R37</f>
        <v>-17732</v>
      </c>
      <c r="V37" s="33">
        <f>-'5C1U_Acadiana Ren'!$R37</f>
        <v>0</v>
      </c>
      <c r="W37" s="33">
        <f>-'5C1V_Laf Ren'!$R37</f>
        <v>0</v>
      </c>
      <c r="X37" s="33">
        <f>-'5C1W_Willow'!$R37</f>
        <v>0</v>
      </c>
      <c r="Y37" s="33">
        <f>-'5C1Y_GEO'!$R37</f>
        <v>0</v>
      </c>
      <c r="Z37" s="33">
        <f>-'5C1Z_Lincoln Prep'!$R37</f>
        <v>-1474757</v>
      </c>
      <c r="AA37" s="33">
        <f>-'5C1AD_Greater'!$R37</f>
        <v>0</v>
      </c>
      <c r="AB37" s="33">
        <f>-'5C1AE_Noble Minds'!$R37</f>
        <v>0</v>
      </c>
      <c r="AC37" s="33">
        <f>-'5C1AF_JCFA-Laf'!$R37</f>
        <v>0</v>
      </c>
      <c r="AD37" s="33">
        <f>-'5C1AG_Collegiate'!$R37</f>
        <v>0</v>
      </c>
      <c r="AE37" s="33">
        <f>-'5C1AH_BRUP'!$R37</f>
        <v>0</v>
      </c>
      <c r="AF37" s="33">
        <f>-'5C1AI_Harmony'!$R37</f>
        <v>0</v>
      </c>
      <c r="AG37" s="33">
        <f>-'5C1AJ_Athlos'!$R37</f>
        <v>0</v>
      </c>
      <c r="AH37" s="33">
        <f>-('5C2_LAVCA'!$R37+'5C2_LAVCA'!$S37)</f>
        <v>-52659</v>
      </c>
      <c r="AI37" s="33">
        <f>-('5C3_UnvView'!$R37+'5C3_UnvView'!$S37)</f>
        <v>-35690</v>
      </c>
      <c r="AJ37" s="32">
        <f t="shared" si="3"/>
        <v>-1827004</v>
      </c>
      <c r="AK37" s="32">
        <f t="shared" si="4"/>
        <v>29433092</v>
      </c>
      <c r="AL37" s="32">
        <f>ROUND(AK37/'8_2.1.19 SIS'!C37,0)</f>
        <v>5056</v>
      </c>
      <c r="AM37" s="32">
        <f>'3B_Pay Raise'!O37</f>
        <v>857338</v>
      </c>
      <c r="AN37" s="34">
        <f>'[1]LEA Summary'!$K37</f>
        <v>-1267</v>
      </c>
      <c r="AO37" s="33">
        <f t="shared" si="8"/>
        <v>0</v>
      </c>
      <c r="AP37" s="33">
        <f t="shared" si="9"/>
        <v>-1267</v>
      </c>
      <c r="AQ37" s="33">
        <f>VLOOKUP($A37,'[2]Oct_MidYear Adj'!$A$7:$N$137,10,FALSE)</f>
        <v>-141568</v>
      </c>
      <c r="AR37" s="33">
        <f>VLOOKUP($A37,'[3]Feb_MidYear Adj'!$A$7:$N$137,10,FALSE)</f>
        <v>-65728</v>
      </c>
      <c r="AS37" s="34">
        <f t="shared" si="10"/>
        <v>-207296</v>
      </c>
      <c r="AT37" s="32">
        <f t="shared" si="11"/>
        <v>30081867</v>
      </c>
      <c r="AU37" s="33">
        <f>'4_Level 4'!E37</f>
        <v>42000</v>
      </c>
      <c r="AV37" s="33">
        <f>'4_Level 4'!Q37</f>
        <v>152692</v>
      </c>
      <c r="AW37" s="32">
        <f t="shared" si="5"/>
        <v>30276559</v>
      </c>
      <c r="AX37" s="33">
        <f>('[4]2_State Distrib and Adjs'!AZ37*2)+'[5]2_State Distrib and Adjs'!AZ37+('[6]2_State Distrib and Adjs'!AZ37*3)+('[7]2_State Distrib and Adjs'!AZ37*2)</f>
        <v>20332130</v>
      </c>
      <c r="AY37" s="33">
        <f t="shared" si="12"/>
        <v>9944429</v>
      </c>
      <c r="AZ37" s="33">
        <f t="shared" si="6"/>
        <v>2486107</v>
      </c>
      <c r="BA37" s="33">
        <f>'4_Level 4'!J37</f>
        <v>18000</v>
      </c>
      <c r="BB37" s="33">
        <f>'4_Level 4'!L37</f>
        <v>80012</v>
      </c>
      <c r="BC37" s="33">
        <f>'4_Level 4'!M37</f>
        <v>0</v>
      </c>
      <c r="BD37" s="32">
        <f t="shared" si="7"/>
        <v>30374571</v>
      </c>
    </row>
    <row r="38" spans="1:56" ht="15.6" customHeight="1" x14ac:dyDescent="0.2">
      <c r="A38" s="327">
        <v>32</v>
      </c>
      <c r="B38" s="328" t="s">
        <v>36</v>
      </c>
      <c r="C38" s="329">
        <f>'3_Levels 1&amp;2'!AP38</f>
        <v>164845548</v>
      </c>
      <c r="D38" s="329">
        <v>0</v>
      </c>
      <c r="E38" s="329">
        <f>-'5C1A_Madison'!$R38</f>
        <v>-34138</v>
      </c>
      <c r="F38" s="329">
        <f>-'5C1B_DArbonne'!$R38</f>
        <v>0</v>
      </c>
      <c r="G38" s="329">
        <f>-'5C1C_Intl High'!$R38</f>
        <v>0</v>
      </c>
      <c r="H38" s="329">
        <f>-'5C1D_NOMMA'!$R38</f>
        <v>0</v>
      </c>
      <c r="I38" s="329">
        <f>-'5C1E_LFNO'!$R38</f>
        <v>0</v>
      </c>
      <c r="J38" s="329">
        <f>-'5C1F_L.C. Charter'!$R38</f>
        <v>0</v>
      </c>
      <c r="K38" s="329">
        <f>-'5C1G_JS Clark'!$R38</f>
        <v>0</v>
      </c>
      <c r="L38" s="329">
        <f>-'5C1H_Southwest'!$R38</f>
        <v>0</v>
      </c>
      <c r="M38" s="329">
        <f>-'5C1I_LA Key'!$R38</f>
        <v>-168927</v>
      </c>
      <c r="N38" s="329">
        <f>-'5C1J_JCFA-East'!$R38</f>
        <v>0</v>
      </c>
      <c r="O38" s="329">
        <f>-'5C1M_GEO Mid'!$R38</f>
        <v>0</v>
      </c>
      <c r="P38" s="329">
        <f>-'5C1N_Delta'!$R38</f>
        <v>0</v>
      </c>
      <c r="Q38" s="329">
        <f>-'5C1O_Impact'!$R38</f>
        <v>0</v>
      </c>
      <c r="R38" s="329">
        <f>-'5C1Q_Advantage'!$R38</f>
        <v>0</v>
      </c>
      <c r="S38" s="329">
        <f>-'5C1R_Iberville'!$R38</f>
        <v>0</v>
      </c>
      <c r="T38" s="329">
        <f>-'5C1S_LC Col Prep'!$R38</f>
        <v>0</v>
      </c>
      <c r="U38" s="329">
        <f>-'5C1T_Northeast'!$R38</f>
        <v>0</v>
      </c>
      <c r="V38" s="329">
        <f>-'5C1U_Acadiana Ren'!$R38</f>
        <v>0</v>
      </c>
      <c r="W38" s="329">
        <f>-'5C1V_Laf Ren'!$R38</f>
        <v>0</v>
      </c>
      <c r="X38" s="329">
        <f>-'5C1W_Willow'!$R38</f>
        <v>0</v>
      </c>
      <c r="Y38" s="329">
        <f>-'5C1Y_GEO'!$R38</f>
        <v>-16570</v>
      </c>
      <c r="Z38" s="329">
        <f>-'5C1Z_Lincoln Prep'!$R38</f>
        <v>0</v>
      </c>
      <c r="AA38" s="329">
        <f>-'5C1AD_Greater'!$R38</f>
        <v>0</v>
      </c>
      <c r="AB38" s="329">
        <f>-'5C1AE_Noble Minds'!$R38</f>
        <v>0</v>
      </c>
      <c r="AC38" s="329">
        <f>-'5C1AF_JCFA-Laf'!$R38</f>
        <v>0</v>
      </c>
      <c r="AD38" s="329">
        <f>-'5C1AG_Collegiate'!$R38</f>
        <v>-200</v>
      </c>
      <c r="AE38" s="329">
        <f>-'5C1AH_BRUP'!$R38</f>
        <v>0</v>
      </c>
      <c r="AF38" s="329">
        <f>-'5C1AI_Harmony'!$R38</f>
        <v>0</v>
      </c>
      <c r="AG38" s="329">
        <f>-'5C1AJ_Athlos'!$R38</f>
        <v>0</v>
      </c>
      <c r="AH38" s="329">
        <f>-('5C2_LAVCA'!$R38+'5C2_LAVCA'!$S38)</f>
        <v>-597223</v>
      </c>
      <c r="AI38" s="329">
        <f>-('5C3_UnvView'!$R38+'5C3_UnvView'!$S38)</f>
        <v>-1303941</v>
      </c>
      <c r="AJ38" s="330">
        <f t="shared" si="3"/>
        <v>-2120999</v>
      </c>
      <c r="AK38" s="330">
        <f t="shared" si="4"/>
        <v>162724549</v>
      </c>
      <c r="AL38" s="330">
        <f>ROUND(AK38/'8_2.1.19 SIS'!C38,0)</f>
        <v>6469</v>
      </c>
      <c r="AM38" s="330">
        <f>'3B_Pay Raise'!O38</f>
        <v>3510634</v>
      </c>
      <c r="AN38" s="331">
        <f>'[1]LEA Summary'!$K38</f>
        <v>-123346</v>
      </c>
      <c r="AO38" s="329">
        <f t="shared" si="8"/>
        <v>0</v>
      </c>
      <c r="AP38" s="329">
        <f t="shared" si="9"/>
        <v>-123346</v>
      </c>
      <c r="AQ38" s="329">
        <f>VLOOKUP($A38,'[2]Oct_MidYear Adj'!$A$7:$N$137,10,FALSE)</f>
        <v>2658759</v>
      </c>
      <c r="AR38" s="329">
        <f>VLOOKUP($A38,'[3]Feb_MidYear Adj'!$A$7:$N$137,10,FALSE)</f>
        <v>-67925</v>
      </c>
      <c r="AS38" s="331">
        <f t="shared" si="10"/>
        <v>2590834</v>
      </c>
      <c r="AT38" s="330">
        <f t="shared" si="11"/>
        <v>168702671</v>
      </c>
      <c r="AU38" s="329">
        <f>'4_Level 4'!E38</f>
        <v>0</v>
      </c>
      <c r="AV38" s="329">
        <f>'4_Level 4'!Q38</f>
        <v>642923</v>
      </c>
      <c r="AW38" s="330">
        <f t="shared" si="5"/>
        <v>169345594</v>
      </c>
      <c r="AX38" s="329">
        <f>('[4]2_State Distrib and Adjs'!AZ38*2)+'[5]2_State Distrib and Adjs'!AZ38+('[6]2_State Distrib and Adjs'!AZ38*3)+('[7]2_State Distrib and Adjs'!AZ38*2)</f>
        <v>111157572</v>
      </c>
      <c r="AY38" s="329">
        <f t="shared" si="12"/>
        <v>58188022</v>
      </c>
      <c r="AZ38" s="329">
        <f t="shared" si="6"/>
        <v>14547006</v>
      </c>
      <c r="BA38" s="329">
        <f>'4_Level 4'!J38</f>
        <v>0</v>
      </c>
      <c r="BB38" s="329">
        <f>'4_Level 4'!L38</f>
        <v>1180900</v>
      </c>
      <c r="BC38" s="329">
        <f>'4_Level 4'!M38</f>
        <v>148331</v>
      </c>
      <c r="BD38" s="330">
        <f t="shared" si="7"/>
        <v>170674825</v>
      </c>
    </row>
    <row r="39" spans="1:56" ht="15.6" customHeight="1" x14ac:dyDescent="0.2">
      <c r="A39" s="327">
        <v>33</v>
      </c>
      <c r="B39" s="328" t="s">
        <v>37</v>
      </c>
      <c r="C39" s="329">
        <f>'3_Levels 1&amp;2'!AP39</f>
        <v>10050061</v>
      </c>
      <c r="D39" s="329">
        <v>0</v>
      </c>
      <c r="E39" s="329">
        <f>-'5C1A_Madison'!$R39</f>
        <v>0</v>
      </c>
      <c r="F39" s="329">
        <f>-'5C1B_DArbonne'!$R39</f>
        <v>0</v>
      </c>
      <c r="G39" s="329">
        <f>-'5C1C_Intl High'!$R39</f>
        <v>0</v>
      </c>
      <c r="H39" s="329">
        <f>-'5C1D_NOMMA'!$R39</f>
        <v>0</v>
      </c>
      <c r="I39" s="329">
        <f>-'5C1E_LFNO'!$R39</f>
        <v>0</v>
      </c>
      <c r="J39" s="329">
        <f>-'5C1F_L.C. Charter'!$R39</f>
        <v>0</v>
      </c>
      <c r="K39" s="329">
        <f>-'5C1G_JS Clark'!$R39</f>
        <v>0</v>
      </c>
      <c r="L39" s="329">
        <f>-'5C1H_Southwest'!$R39</f>
        <v>0</v>
      </c>
      <c r="M39" s="329">
        <f>-'5C1I_LA Key'!$R39</f>
        <v>0</v>
      </c>
      <c r="N39" s="329">
        <f>-'5C1J_JCFA-East'!$R39</f>
        <v>0</v>
      </c>
      <c r="O39" s="329">
        <f>-'5C1M_GEO Mid'!$R39</f>
        <v>0</v>
      </c>
      <c r="P39" s="329">
        <f>-'5C1N_Delta'!$R39</f>
        <v>0</v>
      </c>
      <c r="Q39" s="329">
        <f>-'5C1O_Impact'!$R39</f>
        <v>0</v>
      </c>
      <c r="R39" s="329">
        <f>-'5C1Q_Advantage'!$R39</f>
        <v>0</v>
      </c>
      <c r="S39" s="329">
        <f>-'5C1R_Iberville'!$R39</f>
        <v>0</v>
      </c>
      <c r="T39" s="329">
        <f>-'5C1S_LC Col Prep'!$R39</f>
        <v>0</v>
      </c>
      <c r="U39" s="329">
        <f>-'5C1T_Northeast'!$R39</f>
        <v>0</v>
      </c>
      <c r="V39" s="329">
        <f>-'5C1U_Acadiana Ren'!$R39</f>
        <v>0</v>
      </c>
      <c r="W39" s="329">
        <f>-'5C1V_Laf Ren'!$R39</f>
        <v>0</v>
      </c>
      <c r="X39" s="329">
        <f>-'5C1W_Willow'!$R39</f>
        <v>0</v>
      </c>
      <c r="Y39" s="329">
        <f>-'5C1Y_GEO'!$R39</f>
        <v>0</v>
      </c>
      <c r="Z39" s="329">
        <f>-'5C1Z_Lincoln Prep'!$R39</f>
        <v>0</v>
      </c>
      <c r="AA39" s="329">
        <f>-'5C1AD_Greater'!$R39</f>
        <v>0</v>
      </c>
      <c r="AB39" s="329">
        <f>-'5C1AE_Noble Minds'!$R39</f>
        <v>0</v>
      </c>
      <c r="AC39" s="329">
        <f>-'5C1AF_JCFA-Laf'!$R39</f>
        <v>0</v>
      </c>
      <c r="AD39" s="329">
        <f>-'5C1AG_Collegiate'!$R39</f>
        <v>0</v>
      </c>
      <c r="AE39" s="329">
        <f>-'5C1AH_BRUP'!$R39</f>
        <v>0</v>
      </c>
      <c r="AF39" s="329">
        <f>-'5C1AI_Harmony'!$R39</f>
        <v>0</v>
      </c>
      <c r="AG39" s="329">
        <f>-'5C1AJ_Athlos'!$R39</f>
        <v>0</v>
      </c>
      <c r="AH39" s="329">
        <f>-('5C2_LAVCA'!$R39+'5C2_LAVCA'!$S39)</f>
        <v>-15567</v>
      </c>
      <c r="AI39" s="329">
        <f>-('5C3_UnvView'!$R39+'5C3_UnvView'!$S39)</f>
        <v>-2180351</v>
      </c>
      <c r="AJ39" s="330">
        <f t="shared" ref="AJ39:AJ70" si="13">SUM(D39:AI39)</f>
        <v>-2195918</v>
      </c>
      <c r="AK39" s="330">
        <f t="shared" ref="AK39:AK75" si="14">SUM(C39:AI39)</f>
        <v>7854143</v>
      </c>
      <c r="AL39" s="330">
        <f>ROUND(AK39/'8_2.1.19 SIS'!C39,0)</f>
        <v>6742</v>
      </c>
      <c r="AM39" s="330">
        <f>'3B_Pay Raise'!O39</f>
        <v>183365</v>
      </c>
      <c r="AN39" s="331">
        <f>'[1]LEA Summary'!$K39</f>
        <v>-60370</v>
      </c>
      <c r="AO39" s="329">
        <f t="shared" si="8"/>
        <v>0</v>
      </c>
      <c r="AP39" s="329">
        <f t="shared" si="9"/>
        <v>-60370</v>
      </c>
      <c r="AQ39" s="329">
        <f>VLOOKUP($A39,'[2]Oct_MidYear Adj'!$A$7:$N$137,10,FALSE)</f>
        <v>-310132</v>
      </c>
      <c r="AR39" s="329">
        <f>VLOOKUP($A39,'[3]Feb_MidYear Adj'!$A$7:$N$137,10,FALSE)</f>
        <v>-37081</v>
      </c>
      <c r="AS39" s="331">
        <f t="shared" si="10"/>
        <v>-347213</v>
      </c>
      <c r="AT39" s="330">
        <f t="shared" si="11"/>
        <v>7629925</v>
      </c>
      <c r="AU39" s="329">
        <f>'4_Level 4'!E39</f>
        <v>0</v>
      </c>
      <c r="AV39" s="329">
        <f>'4_Level 4'!Q39</f>
        <v>34633</v>
      </c>
      <c r="AW39" s="330">
        <f t="shared" ref="AW39:AW70" si="15">ROUND(SUM(AT39:AV39),0)</f>
        <v>7664558</v>
      </c>
      <c r="AX39" s="329">
        <f>('[4]2_State Distrib and Adjs'!AZ39*2)+'[5]2_State Distrib and Adjs'!AZ39+('[6]2_State Distrib and Adjs'!AZ39*3)+('[7]2_State Distrib and Adjs'!AZ39*2)</f>
        <v>5338326</v>
      </c>
      <c r="AY39" s="329">
        <f t="shared" si="12"/>
        <v>2326232</v>
      </c>
      <c r="AZ39" s="329">
        <f t="shared" ref="AZ39:AZ70" si="16">ROUND(AY39/$AZ$77,0)</f>
        <v>581558</v>
      </c>
      <c r="BA39" s="329">
        <f>'4_Level 4'!J39</f>
        <v>0</v>
      </c>
      <c r="BB39" s="329">
        <f>'4_Level 4'!L39</f>
        <v>68444</v>
      </c>
      <c r="BC39" s="329">
        <f>'4_Level 4'!M39</f>
        <v>0</v>
      </c>
      <c r="BD39" s="330">
        <f t="shared" ref="BD39:BD70" si="17">AW39+BA39+BB39+BC39</f>
        <v>7733002</v>
      </c>
    </row>
    <row r="40" spans="1:56" ht="15.6" customHeight="1" x14ac:dyDescent="0.2">
      <c r="A40" s="327">
        <v>34</v>
      </c>
      <c r="B40" s="328" t="s">
        <v>38</v>
      </c>
      <c r="C40" s="329">
        <f>'3_Levels 1&amp;2'!AP40</f>
        <v>26415113</v>
      </c>
      <c r="D40" s="329">
        <v>0</v>
      </c>
      <c r="E40" s="329">
        <f>-'5C1A_Madison'!$R40</f>
        <v>0</v>
      </c>
      <c r="F40" s="329">
        <f>-'5C1B_DArbonne'!$R40</f>
        <v>0</v>
      </c>
      <c r="G40" s="329">
        <f>-'5C1C_Intl High'!$R40</f>
        <v>0</v>
      </c>
      <c r="H40" s="329">
        <f>-'5C1D_NOMMA'!$R40</f>
        <v>0</v>
      </c>
      <c r="I40" s="329">
        <f>-'5C1E_LFNO'!$R40</f>
        <v>0</v>
      </c>
      <c r="J40" s="329">
        <f>-'5C1F_L.C. Charter'!$R40</f>
        <v>0</v>
      </c>
      <c r="K40" s="329">
        <f>-'5C1G_JS Clark'!$R40</f>
        <v>0</v>
      </c>
      <c r="L40" s="329">
        <f>-'5C1H_Southwest'!$R40</f>
        <v>0</v>
      </c>
      <c r="M40" s="329">
        <f>-'5C1I_LA Key'!$R40</f>
        <v>0</v>
      </c>
      <c r="N40" s="329">
        <f>-'5C1J_JCFA-East'!$R40</f>
        <v>0</v>
      </c>
      <c r="O40" s="329">
        <f>-'5C1M_GEO Mid'!$R40</f>
        <v>0</v>
      </c>
      <c r="P40" s="329">
        <f>-'5C1N_Delta'!$R40</f>
        <v>0</v>
      </c>
      <c r="Q40" s="329">
        <f>-'5C1O_Impact'!$R40</f>
        <v>0</v>
      </c>
      <c r="R40" s="329">
        <f>-'5C1Q_Advantage'!$R40</f>
        <v>0</v>
      </c>
      <c r="S40" s="329">
        <f>-'5C1R_Iberville'!$R40</f>
        <v>0</v>
      </c>
      <c r="T40" s="329">
        <f>-'5C1S_LC Col Prep'!$R40</f>
        <v>0</v>
      </c>
      <c r="U40" s="329">
        <f>-'5C1T_Northeast'!$R40</f>
        <v>0</v>
      </c>
      <c r="V40" s="329">
        <f>-'5C1U_Acadiana Ren'!$R40</f>
        <v>0</v>
      </c>
      <c r="W40" s="329">
        <f>-'5C1V_Laf Ren'!$R40</f>
        <v>0</v>
      </c>
      <c r="X40" s="329">
        <f>-'5C1W_Willow'!$R40</f>
        <v>0</v>
      </c>
      <c r="Y40" s="329">
        <f>-'5C1Y_GEO'!$R40</f>
        <v>0</v>
      </c>
      <c r="Z40" s="329">
        <f>-'5C1Z_Lincoln Prep'!$R40</f>
        <v>0</v>
      </c>
      <c r="AA40" s="329">
        <f>-'5C1AD_Greater'!$R40</f>
        <v>0</v>
      </c>
      <c r="AB40" s="329">
        <f>-'5C1AE_Noble Minds'!$R40</f>
        <v>0</v>
      </c>
      <c r="AC40" s="329">
        <f>-'5C1AF_JCFA-Laf'!$R40</f>
        <v>0</v>
      </c>
      <c r="AD40" s="329">
        <f>-'5C1AG_Collegiate'!$R40</f>
        <v>0</v>
      </c>
      <c r="AE40" s="329">
        <f>-'5C1AH_BRUP'!$R40</f>
        <v>0</v>
      </c>
      <c r="AF40" s="329">
        <f>-'5C1AI_Harmony'!$R40</f>
        <v>0</v>
      </c>
      <c r="AG40" s="329">
        <f>-'5C1AJ_Athlos'!$R40</f>
        <v>0</v>
      </c>
      <c r="AH40" s="329">
        <f>-('5C2_LAVCA'!$R40+'5C2_LAVCA'!$S40)</f>
        <v>-360314</v>
      </c>
      <c r="AI40" s="329">
        <f>-('5C3_UnvView'!$R40+'5C3_UnvView'!$S40)</f>
        <v>-153074</v>
      </c>
      <c r="AJ40" s="330">
        <f t="shared" si="13"/>
        <v>-513388</v>
      </c>
      <c r="AK40" s="330">
        <f t="shared" si="14"/>
        <v>25901725</v>
      </c>
      <c r="AL40" s="330">
        <f>ROUND(AK40/'8_2.1.19 SIS'!C40,0)</f>
        <v>7133</v>
      </c>
      <c r="AM40" s="330">
        <f>'3B_Pay Raise'!O40</f>
        <v>498007</v>
      </c>
      <c r="AN40" s="331">
        <f>'[1]LEA Summary'!$K40</f>
        <v>3365</v>
      </c>
      <c r="AO40" s="329">
        <f t="shared" si="8"/>
        <v>3365</v>
      </c>
      <c r="AP40" s="329">
        <f t="shared" si="9"/>
        <v>0</v>
      </c>
      <c r="AQ40" s="329">
        <f>VLOOKUP($A40,'[2]Oct_MidYear Adj'!$A$7:$N$137,10,FALSE)</f>
        <v>-748965</v>
      </c>
      <c r="AR40" s="329">
        <f>VLOOKUP($A40,'[3]Feb_MidYear Adj'!$A$7:$N$137,10,FALSE)</f>
        <v>7133</v>
      </c>
      <c r="AS40" s="331">
        <f t="shared" si="10"/>
        <v>-741832</v>
      </c>
      <c r="AT40" s="330">
        <f t="shared" si="11"/>
        <v>25661265</v>
      </c>
      <c r="AU40" s="329">
        <f>'4_Level 4'!E40</f>
        <v>0</v>
      </c>
      <c r="AV40" s="329">
        <f>'4_Level 4'!Q40</f>
        <v>95108</v>
      </c>
      <c r="AW40" s="330">
        <f t="shared" si="15"/>
        <v>25756373</v>
      </c>
      <c r="AX40" s="329">
        <f>('[4]2_State Distrib and Adjs'!AZ40*2)+'[5]2_State Distrib and Adjs'!AZ40+('[6]2_State Distrib and Adjs'!AZ40*3)+('[7]2_State Distrib and Adjs'!AZ40*2)</f>
        <v>17693013</v>
      </c>
      <c r="AY40" s="329">
        <f t="shared" si="12"/>
        <v>8063360</v>
      </c>
      <c r="AZ40" s="329">
        <f t="shared" si="16"/>
        <v>2015840</v>
      </c>
      <c r="BA40" s="329">
        <f>'4_Level 4'!J40</f>
        <v>0</v>
      </c>
      <c r="BB40" s="329">
        <f>'4_Level 4'!L40</f>
        <v>125802</v>
      </c>
      <c r="BC40" s="329">
        <f>'4_Level 4'!M40</f>
        <v>0</v>
      </c>
      <c r="BD40" s="330">
        <f t="shared" si="17"/>
        <v>25882175</v>
      </c>
    </row>
    <row r="41" spans="1:56" ht="15.6" customHeight="1" x14ac:dyDescent="0.2">
      <c r="A41" s="332">
        <v>35</v>
      </c>
      <c r="B41" s="333" t="s">
        <v>39</v>
      </c>
      <c r="C41" s="334">
        <f>'3_Levels 1&amp;2'!AP41</f>
        <v>32558821</v>
      </c>
      <c r="D41" s="334">
        <v>0</v>
      </c>
      <c r="E41" s="334">
        <f>-'5C1A_Madison'!$R41</f>
        <v>0</v>
      </c>
      <c r="F41" s="334">
        <f>-'5C1B_DArbonne'!$R41</f>
        <v>0</v>
      </c>
      <c r="G41" s="334">
        <f>-'5C1C_Intl High'!$R41</f>
        <v>0</v>
      </c>
      <c r="H41" s="334">
        <f>-'5C1D_NOMMA'!$R41</f>
        <v>0</v>
      </c>
      <c r="I41" s="334">
        <f>-'5C1E_LFNO'!$R41</f>
        <v>0</v>
      </c>
      <c r="J41" s="334">
        <f>-'5C1F_L.C. Charter'!$R41</f>
        <v>0</v>
      </c>
      <c r="K41" s="334">
        <f>-'5C1G_JS Clark'!$R41</f>
        <v>0</v>
      </c>
      <c r="L41" s="334">
        <f>-'5C1H_Southwest'!$R41</f>
        <v>0</v>
      </c>
      <c r="M41" s="334">
        <f>-'5C1I_LA Key'!$R41</f>
        <v>0</v>
      </c>
      <c r="N41" s="334">
        <f>-'5C1J_JCFA-East'!$R41</f>
        <v>0</v>
      </c>
      <c r="O41" s="334">
        <f>-'5C1M_GEO Mid'!$R41</f>
        <v>0</v>
      </c>
      <c r="P41" s="334">
        <f>-'5C1N_Delta'!$R41</f>
        <v>0</v>
      </c>
      <c r="Q41" s="334">
        <f>-'5C1O_Impact'!$R41</f>
        <v>0</v>
      </c>
      <c r="R41" s="334">
        <f>-'5C1Q_Advantage'!$R41</f>
        <v>0</v>
      </c>
      <c r="S41" s="334">
        <f>-'5C1R_Iberville'!$R41</f>
        <v>0</v>
      </c>
      <c r="T41" s="334">
        <f>-'5C1S_LC Col Prep'!$R41</f>
        <v>0</v>
      </c>
      <c r="U41" s="334">
        <f>-'5C1T_Northeast'!$R41</f>
        <v>0</v>
      </c>
      <c r="V41" s="334">
        <f>-'5C1U_Acadiana Ren'!$R41</f>
        <v>0</v>
      </c>
      <c r="W41" s="334">
        <f>-'5C1V_Laf Ren'!$R41</f>
        <v>0</v>
      </c>
      <c r="X41" s="334">
        <f>-'5C1W_Willow'!$R41</f>
        <v>0</v>
      </c>
      <c r="Y41" s="334">
        <f>-'5C1Y_GEO'!$R41</f>
        <v>0</v>
      </c>
      <c r="Z41" s="334">
        <f>-'5C1Z_Lincoln Prep'!$R41</f>
        <v>0</v>
      </c>
      <c r="AA41" s="334">
        <f>-'5C1AD_Greater'!$R41</f>
        <v>0</v>
      </c>
      <c r="AB41" s="610">
        <f>-'5C1AE_Noble Minds'!$R41</f>
        <v>0</v>
      </c>
      <c r="AC41" s="610">
        <f>-'5C1AF_JCFA-Laf'!$R41</f>
        <v>0</v>
      </c>
      <c r="AD41" s="610">
        <f>-'5C1AG_Collegiate'!$R41</f>
        <v>0</v>
      </c>
      <c r="AE41" s="334">
        <f>-'5C1AH_BRUP'!$R41</f>
        <v>0</v>
      </c>
      <c r="AF41" s="881">
        <f>-'5C1AI_Harmony'!$R41</f>
        <v>0</v>
      </c>
      <c r="AG41" s="881">
        <f>-'5C1AJ_Athlos'!$R41</f>
        <v>0</v>
      </c>
      <c r="AH41" s="334">
        <f>-('5C2_LAVCA'!$R41+'5C2_LAVCA'!$S41)</f>
        <v>-119884</v>
      </c>
      <c r="AI41" s="334">
        <f>-('5C3_UnvView'!$R41+'5C3_UnvView'!$S41)</f>
        <v>-112018</v>
      </c>
      <c r="AJ41" s="335">
        <f t="shared" si="13"/>
        <v>-231902</v>
      </c>
      <c r="AK41" s="335">
        <f t="shared" si="14"/>
        <v>32326919</v>
      </c>
      <c r="AL41" s="335">
        <f>ROUND(AK41/'8_2.1.19 SIS'!C41,0)</f>
        <v>5609</v>
      </c>
      <c r="AM41" s="1064">
        <f>'3B_Pay Raise'!O41</f>
        <v>831471</v>
      </c>
      <c r="AN41" s="336">
        <f>'[1]LEA Summary'!$K41</f>
        <v>-19300</v>
      </c>
      <c r="AO41" s="334">
        <f t="shared" si="8"/>
        <v>0</v>
      </c>
      <c r="AP41" s="334">
        <f t="shared" si="9"/>
        <v>-19300</v>
      </c>
      <c r="AQ41" s="334">
        <f>VLOOKUP($A41,'[2]Oct_MidYear Adj'!$A$7:$N$137,10,FALSE)</f>
        <v>-673080</v>
      </c>
      <c r="AR41" s="334">
        <f>VLOOKUP($A41,'[3]Feb_MidYear Adj'!$A$7:$N$137,10,FALSE)</f>
        <v>-162661</v>
      </c>
      <c r="AS41" s="336">
        <f t="shared" si="10"/>
        <v>-835741</v>
      </c>
      <c r="AT41" s="335">
        <f t="shared" si="11"/>
        <v>32303349</v>
      </c>
      <c r="AU41" s="334">
        <f>'4_Level 4'!E41</f>
        <v>0</v>
      </c>
      <c r="AV41" s="334">
        <f>'4_Level 4'!Q41</f>
        <v>157766</v>
      </c>
      <c r="AW41" s="335">
        <f t="shared" si="15"/>
        <v>32461115</v>
      </c>
      <c r="AX41" s="334">
        <f>('[4]2_State Distrib and Adjs'!AZ41*2)+'[5]2_State Distrib and Adjs'!AZ41+('[6]2_State Distrib and Adjs'!AZ41*3)+('[7]2_State Distrib and Adjs'!AZ41*2)</f>
        <v>22156677</v>
      </c>
      <c r="AY41" s="334">
        <f t="shared" si="12"/>
        <v>10304438</v>
      </c>
      <c r="AZ41" s="334">
        <f t="shared" si="16"/>
        <v>2576110</v>
      </c>
      <c r="BA41" s="334">
        <f>'4_Level 4'!J41</f>
        <v>0</v>
      </c>
      <c r="BB41" s="334">
        <f>'4_Level 4'!L41</f>
        <v>152312</v>
      </c>
      <c r="BC41" s="334">
        <f>'4_Level 4'!M41</f>
        <v>0</v>
      </c>
      <c r="BD41" s="335">
        <f t="shared" si="17"/>
        <v>32613427</v>
      </c>
    </row>
    <row r="42" spans="1:56" ht="15.6" customHeight="1" x14ac:dyDescent="0.2">
      <c r="A42" s="325">
        <v>36</v>
      </c>
      <c r="B42" s="326" t="s">
        <v>40</v>
      </c>
      <c r="C42" s="33">
        <f>'3_Levels 1&amp;2'!AP42</f>
        <v>201706346</v>
      </c>
      <c r="D42" s="33">
        <v>0</v>
      </c>
      <c r="E42" s="33">
        <f>-'5C1A_Madison'!$R42</f>
        <v>0</v>
      </c>
      <c r="F42" s="33">
        <f>-'5C1B_DArbonne'!$R42</f>
        <v>0</v>
      </c>
      <c r="G42" s="33">
        <f>-'5C1C_Intl High'!$R42</f>
        <v>-1827021</v>
      </c>
      <c r="H42" s="33">
        <f>-'5C1D_NOMMA'!$R42</f>
        <v>-1073552</v>
      </c>
      <c r="I42" s="33">
        <f>-'5C1E_LFNO'!$R42</f>
        <v>-2485479</v>
      </c>
      <c r="J42" s="33">
        <f>-'5C1F_L.C. Charter'!$R42</f>
        <v>0</v>
      </c>
      <c r="K42" s="33">
        <f>-'5C1G_JS Clark'!$R42</f>
        <v>0</v>
      </c>
      <c r="L42" s="33">
        <f>-'5C1H_Southwest'!$R42</f>
        <v>0</v>
      </c>
      <c r="M42" s="33">
        <f>-'5C1I_LA Key'!$R42</f>
        <v>0</v>
      </c>
      <c r="N42" s="33">
        <f>-'5C1J_JCFA-East'!$R42</f>
        <v>-199884</v>
      </c>
      <c r="O42" s="33">
        <f>-'5C1M_GEO Mid'!$R42</f>
        <v>0</v>
      </c>
      <c r="P42" s="33">
        <f>-'5C1N_Delta'!$R42</f>
        <v>0</v>
      </c>
      <c r="Q42" s="33">
        <f>-'5C1O_Impact'!$R42</f>
        <v>0</v>
      </c>
      <c r="R42" s="33">
        <f>-'5C1Q_Advantage'!$R42</f>
        <v>0</v>
      </c>
      <c r="S42" s="33">
        <f>-'5C1R_Iberville'!$R42</f>
        <v>0</v>
      </c>
      <c r="T42" s="33">
        <f>-'5C1S_LC Col Prep'!$R42</f>
        <v>0</v>
      </c>
      <c r="U42" s="33">
        <f>-'5C1T_Northeast'!$R42</f>
        <v>0</v>
      </c>
      <c r="V42" s="33">
        <f>-'5C1U_Acadiana Ren'!$R42</f>
        <v>0</v>
      </c>
      <c r="W42" s="33">
        <f>-'5C1V_Laf Ren'!$R42</f>
        <v>0</v>
      </c>
      <c r="X42" s="33">
        <f>-'5C1W_Willow'!$R42</f>
        <v>0</v>
      </c>
      <c r="Y42" s="33">
        <f>-'5C1Y_GEO'!$R42</f>
        <v>0</v>
      </c>
      <c r="Z42" s="33">
        <f>-'5C1Z_Lincoln Prep'!$R42</f>
        <v>0</v>
      </c>
      <c r="AA42" s="33">
        <f>-'5C1AD_Greater'!$R42</f>
        <v>0</v>
      </c>
      <c r="AB42" s="33">
        <f>-'5C1AE_Noble Minds'!$R42</f>
        <v>-247399</v>
      </c>
      <c r="AC42" s="33">
        <f>-'5C1AF_JCFA-Laf'!$R42</f>
        <v>0</v>
      </c>
      <c r="AD42" s="33">
        <f>-'5C1AG_Collegiate'!$R42</f>
        <v>0</v>
      </c>
      <c r="AE42" s="33">
        <f>-'5C1AH_BRUP'!$R42</f>
        <v>0</v>
      </c>
      <c r="AF42" s="33">
        <f>-'5C1AI_Harmony'!$R42</f>
        <v>-176281</v>
      </c>
      <c r="AG42" s="33">
        <f>-'5C1AJ_Athlos'!$R42</f>
        <v>-218661</v>
      </c>
      <c r="AH42" s="33">
        <f>-('5C2_LAVCA'!$R42+'5C2_LAVCA'!$S42)</f>
        <v>-247272</v>
      </c>
      <c r="AI42" s="33">
        <f>-('5C3_UnvView'!$R42+'5C3_UnvView'!$S42)</f>
        <v>-316428</v>
      </c>
      <c r="AJ42" s="32">
        <f t="shared" si="13"/>
        <v>-6791977</v>
      </c>
      <c r="AK42" s="32">
        <f t="shared" si="14"/>
        <v>194914369</v>
      </c>
      <c r="AL42" s="32">
        <f>ROUND(AK42/'8_2.1.19 SIS'!C42,0)</f>
        <v>4356</v>
      </c>
      <c r="AM42" s="32">
        <f>'3B_Pay Raise'!O42</f>
        <v>6430260</v>
      </c>
      <c r="AN42" s="34">
        <f>'[1]LEA Summary'!$K42</f>
        <v>-156013</v>
      </c>
      <c r="AO42" s="33">
        <f t="shared" si="8"/>
        <v>0</v>
      </c>
      <c r="AP42" s="33">
        <f t="shared" si="9"/>
        <v>-156013</v>
      </c>
      <c r="AQ42" s="33">
        <f>VLOOKUP($A42,'[2]Oct_MidYear Adj'!$A$7:$N$137,10,FALSE)</f>
        <v>1568160</v>
      </c>
      <c r="AR42" s="33">
        <f>VLOOKUP($A42,'[3]Feb_MidYear Adj'!$A$7:$N$137,10,FALSE)</f>
        <v>-237402</v>
      </c>
      <c r="AS42" s="34">
        <f t="shared" si="10"/>
        <v>1330758</v>
      </c>
      <c r="AT42" s="32">
        <f t="shared" si="11"/>
        <v>202519374</v>
      </c>
      <c r="AU42" s="33">
        <f>'4_Level 4'!E42</f>
        <v>525000</v>
      </c>
      <c r="AV42" s="33">
        <f>'4_Level 4'!Q42</f>
        <v>1134334</v>
      </c>
      <c r="AW42" s="32">
        <f t="shared" si="15"/>
        <v>204178708</v>
      </c>
      <c r="AX42" s="33">
        <f>('[4]2_State Distrib and Adjs'!AZ42*2)+'[5]2_State Distrib and Adjs'!AZ42+('[6]2_State Distrib and Adjs'!AZ42*3)+('[7]2_State Distrib and Adjs'!AZ42*2)</f>
        <v>135254008</v>
      </c>
      <c r="AY42" s="33">
        <f t="shared" si="12"/>
        <v>68924700</v>
      </c>
      <c r="AZ42" s="33">
        <f t="shared" si="16"/>
        <v>17231175</v>
      </c>
      <c r="BA42" s="33">
        <f>'4_Level 4'!J42</f>
        <v>48000</v>
      </c>
      <c r="BB42" s="33">
        <f>'4_Level 4'!L42</f>
        <v>1265122</v>
      </c>
      <c r="BC42" s="33">
        <f>'4_Level 4'!M42</f>
        <v>4570870</v>
      </c>
      <c r="BD42" s="32">
        <f t="shared" si="17"/>
        <v>210062700</v>
      </c>
    </row>
    <row r="43" spans="1:56" ht="15.6" customHeight="1" x14ac:dyDescent="0.2">
      <c r="A43" s="327">
        <v>37</v>
      </c>
      <c r="B43" s="328" t="s">
        <v>41</v>
      </c>
      <c r="C43" s="329">
        <f>'3_Levels 1&amp;2'!AP43</f>
        <v>121670721</v>
      </c>
      <c r="D43" s="329">
        <v>0</v>
      </c>
      <c r="E43" s="329">
        <f>-'5C1A_Madison'!$R43</f>
        <v>0</v>
      </c>
      <c r="F43" s="329">
        <f>-'5C1B_DArbonne'!$R43</f>
        <v>-68901</v>
      </c>
      <c r="G43" s="329">
        <f>-'5C1C_Intl High'!$R43</f>
        <v>0</v>
      </c>
      <c r="H43" s="329">
        <f>-'5C1D_NOMMA'!$R43</f>
        <v>0</v>
      </c>
      <c r="I43" s="329">
        <f>-'5C1E_LFNO'!$R43</f>
        <v>0</v>
      </c>
      <c r="J43" s="329">
        <f>-'5C1F_L.C. Charter'!$R43</f>
        <v>0</v>
      </c>
      <c r="K43" s="329">
        <f>-'5C1G_JS Clark'!$R43</f>
        <v>0</v>
      </c>
      <c r="L43" s="329">
        <f>-'5C1H_Southwest'!$R43</f>
        <v>0</v>
      </c>
      <c r="M43" s="329">
        <f>-'5C1I_LA Key'!$R43</f>
        <v>0</v>
      </c>
      <c r="N43" s="329">
        <f>-'5C1J_JCFA-East'!$R43</f>
        <v>0</v>
      </c>
      <c r="O43" s="329">
        <f>-'5C1M_GEO Mid'!$R43</f>
        <v>0</v>
      </c>
      <c r="P43" s="329">
        <f>-'5C1N_Delta'!$R43</f>
        <v>0</v>
      </c>
      <c r="Q43" s="329">
        <f>-'5C1O_Impact'!$R43</f>
        <v>0</v>
      </c>
      <c r="R43" s="329">
        <f>-'5C1Q_Advantage'!$R43</f>
        <v>0</v>
      </c>
      <c r="S43" s="329">
        <f>-'5C1R_Iberville'!$R43</f>
        <v>0</v>
      </c>
      <c r="T43" s="329">
        <f>-'5C1S_LC Col Prep'!$R43</f>
        <v>0</v>
      </c>
      <c r="U43" s="329">
        <f>-'5C1T_Northeast'!$R43</f>
        <v>0</v>
      </c>
      <c r="V43" s="329">
        <f>-'5C1U_Acadiana Ren'!$R43</f>
        <v>0</v>
      </c>
      <c r="W43" s="329">
        <f>-'5C1V_Laf Ren'!$R43</f>
        <v>0</v>
      </c>
      <c r="X43" s="329">
        <f>-'5C1W_Willow'!$R43</f>
        <v>0</v>
      </c>
      <c r="Y43" s="329">
        <f>-'5C1Y_GEO'!$R43</f>
        <v>0</v>
      </c>
      <c r="Z43" s="329">
        <f>-'5C1Z_Lincoln Prep'!$R43</f>
        <v>-49217</v>
      </c>
      <c r="AA43" s="329">
        <f>-'5C1AD_Greater'!$R43</f>
        <v>0</v>
      </c>
      <c r="AB43" s="329">
        <f>-'5C1AE_Noble Minds'!$R43</f>
        <v>0</v>
      </c>
      <c r="AC43" s="329">
        <f>-'5C1AF_JCFA-Laf'!$R43</f>
        <v>0</v>
      </c>
      <c r="AD43" s="329">
        <f>-'5C1AG_Collegiate'!$R43</f>
        <v>0</v>
      </c>
      <c r="AE43" s="329">
        <f>-'5C1AH_BRUP'!$R43</f>
        <v>0</v>
      </c>
      <c r="AF43" s="329">
        <f>-'5C1AI_Harmony'!$R43</f>
        <v>0</v>
      </c>
      <c r="AG43" s="329">
        <f>-'5C1AJ_Athlos'!$R43</f>
        <v>0</v>
      </c>
      <c r="AH43" s="329">
        <f>-('5C2_LAVCA'!$R43+'5C2_LAVCA'!$S43)</f>
        <v>-341919</v>
      </c>
      <c r="AI43" s="329">
        <f>-('5C3_UnvView'!$R43+'5C3_UnvView'!$S43)</f>
        <v>-313489</v>
      </c>
      <c r="AJ43" s="330">
        <f t="shared" si="13"/>
        <v>-773526</v>
      </c>
      <c r="AK43" s="330">
        <f t="shared" si="14"/>
        <v>120897195</v>
      </c>
      <c r="AL43" s="330">
        <f>ROUND(AK43/'8_2.1.19 SIS'!C43,0)</f>
        <v>6468</v>
      </c>
      <c r="AM43" s="330">
        <f>'3B_Pay Raise'!O43</f>
        <v>2850364</v>
      </c>
      <c r="AN43" s="331">
        <f>'[1]LEA Summary'!$K43</f>
        <v>-73606</v>
      </c>
      <c r="AO43" s="329">
        <f t="shared" si="8"/>
        <v>0</v>
      </c>
      <c r="AP43" s="329">
        <f t="shared" si="9"/>
        <v>-73606</v>
      </c>
      <c r="AQ43" s="329">
        <f>VLOOKUP($A43,'[2]Oct_MidYear Adj'!$A$7:$N$137,10,FALSE)</f>
        <v>-666204</v>
      </c>
      <c r="AR43" s="329">
        <f>VLOOKUP($A43,'[3]Feb_MidYear Adj'!$A$7:$N$137,10,FALSE)</f>
        <v>-381612</v>
      </c>
      <c r="AS43" s="331">
        <f t="shared" si="10"/>
        <v>-1047816</v>
      </c>
      <c r="AT43" s="330">
        <f t="shared" si="11"/>
        <v>122626137</v>
      </c>
      <c r="AU43" s="329">
        <f>'4_Level 4'!E43</f>
        <v>0</v>
      </c>
      <c r="AV43" s="329">
        <f>'4_Level 4'!Q43</f>
        <v>491234</v>
      </c>
      <c r="AW43" s="330">
        <f t="shared" si="15"/>
        <v>123117371</v>
      </c>
      <c r="AX43" s="329">
        <f>('[4]2_State Distrib and Adjs'!AZ43*2)+'[5]2_State Distrib and Adjs'!AZ43+('[6]2_State Distrib and Adjs'!AZ43*3)+('[7]2_State Distrib and Adjs'!AZ43*2)</f>
        <v>82756908</v>
      </c>
      <c r="AY43" s="329">
        <f t="shared" si="12"/>
        <v>40360463</v>
      </c>
      <c r="AZ43" s="329">
        <f t="shared" si="16"/>
        <v>10090116</v>
      </c>
      <c r="BA43" s="329">
        <f>'4_Level 4'!J43</f>
        <v>0</v>
      </c>
      <c r="BB43" s="329">
        <f>'4_Level 4'!L43</f>
        <v>366561</v>
      </c>
      <c r="BC43" s="329">
        <f>'4_Level 4'!M43</f>
        <v>25541</v>
      </c>
      <c r="BD43" s="330">
        <f t="shared" si="17"/>
        <v>123509473</v>
      </c>
    </row>
    <row r="44" spans="1:56" ht="15.6" customHeight="1" x14ac:dyDescent="0.2">
      <c r="A44" s="327">
        <v>38</v>
      </c>
      <c r="B44" s="328" t="s">
        <v>42</v>
      </c>
      <c r="C44" s="329">
        <f>'3_Levels 1&amp;2'!AP44</f>
        <v>10915494</v>
      </c>
      <c r="D44" s="329">
        <v>0</v>
      </c>
      <c r="E44" s="329">
        <f>-'5C1A_Madison'!$R44</f>
        <v>0</v>
      </c>
      <c r="F44" s="329">
        <f>-'5C1B_DArbonne'!$R44</f>
        <v>0</v>
      </c>
      <c r="G44" s="329">
        <f>-'5C1C_Intl High'!$R44</f>
        <v>0</v>
      </c>
      <c r="H44" s="329">
        <f>-'5C1D_NOMMA'!$R44</f>
        <v>-40250</v>
      </c>
      <c r="I44" s="329">
        <f>-'5C1E_LFNO'!$R44</f>
        <v>-17527</v>
      </c>
      <c r="J44" s="329">
        <f>-'5C1F_L.C. Charter'!$R44</f>
        <v>0</v>
      </c>
      <c r="K44" s="329">
        <f>-'5C1G_JS Clark'!$R44</f>
        <v>0</v>
      </c>
      <c r="L44" s="329">
        <f>-'5C1H_Southwest'!$R44</f>
        <v>0</v>
      </c>
      <c r="M44" s="329">
        <f>-'5C1I_LA Key'!$R44</f>
        <v>0</v>
      </c>
      <c r="N44" s="329">
        <f>-'5C1J_JCFA-East'!$R44</f>
        <v>-9000</v>
      </c>
      <c r="O44" s="329">
        <f>-'5C1M_GEO Mid'!$R44</f>
        <v>0</v>
      </c>
      <c r="P44" s="329">
        <f>-'5C1N_Delta'!$R44</f>
        <v>0</v>
      </c>
      <c r="Q44" s="329">
        <f>-'5C1O_Impact'!$R44</f>
        <v>0</v>
      </c>
      <c r="R44" s="329">
        <f>-'5C1Q_Advantage'!$R44</f>
        <v>0</v>
      </c>
      <c r="S44" s="329">
        <f>-'5C1R_Iberville'!$R44</f>
        <v>0</v>
      </c>
      <c r="T44" s="329">
        <f>-'5C1S_LC Col Prep'!$R44</f>
        <v>0</v>
      </c>
      <c r="U44" s="329">
        <f>-'5C1T_Northeast'!$R44</f>
        <v>0</v>
      </c>
      <c r="V44" s="329">
        <f>-'5C1U_Acadiana Ren'!$R44</f>
        <v>0</v>
      </c>
      <c r="W44" s="329">
        <f>-'5C1V_Laf Ren'!$R44</f>
        <v>0</v>
      </c>
      <c r="X44" s="329">
        <f>-'5C1W_Willow'!$R44</f>
        <v>0</v>
      </c>
      <c r="Y44" s="329">
        <f>-'5C1Y_GEO'!$R44</f>
        <v>0</v>
      </c>
      <c r="Z44" s="329">
        <f>-'5C1Z_Lincoln Prep'!$R44</f>
        <v>0</v>
      </c>
      <c r="AA44" s="329">
        <f>-'5C1AD_Greater'!$R44</f>
        <v>0</v>
      </c>
      <c r="AB44" s="329">
        <f>-'5C1AE_Noble Minds'!$R44</f>
        <v>0</v>
      </c>
      <c r="AC44" s="329">
        <f>-'5C1AF_JCFA-Laf'!$R44</f>
        <v>0</v>
      </c>
      <c r="AD44" s="329">
        <f>-'5C1AG_Collegiate'!$R44</f>
        <v>0</v>
      </c>
      <c r="AE44" s="329">
        <f>-'5C1AH_BRUP'!$R44</f>
        <v>0</v>
      </c>
      <c r="AF44" s="329">
        <f>-'5C1AI_Harmony'!$R44</f>
        <v>-2317</v>
      </c>
      <c r="AG44" s="329">
        <f>-'5C1AJ_Athlos'!$R44</f>
        <v>-23366</v>
      </c>
      <c r="AH44" s="329">
        <f>-('5C2_LAVCA'!$R44+'5C2_LAVCA'!$S44)</f>
        <v>-13796</v>
      </c>
      <c r="AI44" s="329">
        <f>-('5C3_UnvView'!$R44+'5C3_UnvView'!$S44)</f>
        <v>-42037</v>
      </c>
      <c r="AJ44" s="330">
        <f t="shared" si="13"/>
        <v>-148293</v>
      </c>
      <c r="AK44" s="330">
        <f t="shared" si="14"/>
        <v>10767201</v>
      </c>
      <c r="AL44" s="330">
        <f>ROUND(AK44/'8_2.1.19 SIS'!C44,0)</f>
        <v>2810</v>
      </c>
      <c r="AM44" s="330">
        <f>'3B_Pay Raise'!O44</f>
        <v>605271</v>
      </c>
      <c r="AN44" s="331">
        <f>'[1]LEA Summary'!$K44</f>
        <v>-27465</v>
      </c>
      <c r="AO44" s="329">
        <f t="shared" si="8"/>
        <v>0</v>
      </c>
      <c r="AP44" s="329">
        <f t="shared" si="9"/>
        <v>-27465</v>
      </c>
      <c r="AQ44" s="329">
        <f>VLOOKUP($A44,'[2]Oct_MidYear Adj'!$A$7:$N$137,10,FALSE)</f>
        <v>36530</v>
      </c>
      <c r="AR44" s="329">
        <f>VLOOKUP($A44,'[3]Feb_MidYear Adj'!$A$7:$N$137,10,FALSE)</f>
        <v>-25290</v>
      </c>
      <c r="AS44" s="331">
        <f t="shared" si="10"/>
        <v>11240</v>
      </c>
      <c r="AT44" s="330">
        <f t="shared" si="11"/>
        <v>11356247</v>
      </c>
      <c r="AU44" s="329">
        <f>'4_Level 4'!E44</f>
        <v>0</v>
      </c>
      <c r="AV44" s="329">
        <f>'4_Level 4'!Q44</f>
        <v>110212</v>
      </c>
      <c r="AW44" s="330">
        <f t="shared" si="15"/>
        <v>11466459</v>
      </c>
      <c r="AX44" s="329">
        <f>('[4]2_State Distrib and Adjs'!AZ44*2)+'[5]2_State Distrib and Adjs'!AZ44+('[6]2_State Distrib and Adjs'!AZ44*3)+('[7]2_State Distrib and Adjs'!AZ44*2)</f>
        <v>7647146</v>
      </c>
      <c r="AY44" s="329">
        <f t="shared" si="12"/>
        <v>3819313</v>
      </c>
      <c r="AZ44" s="329">
        <f t="shared" si="16"/>
        <v>954828</v>
      </c>
      <c r="BA44" s="329">
        <f>'4_Level 4'!J44</f>
        <v>0</v>
      </c>
      <c r="BB44" s="329">
        <f>'4_Level 4'!L44</f>
        <v>67721</v>
      </c>
      <c r="BC44" s="329">
        <f>'4_Level 4'!M44</f>
        <v>83985</v>
      </c>
      <c r="BD44" s="330">
        <f t="shared" si="17"/>
        <v>11618165</v>
      </c>
    </row>
    <row r="45" spans="1:56" ht="15.6" customHeight="1" x14ac:dyDescent="0.2">
      <c r="A45" s="327">
        <v>39</v>
      </c>
      <c r="B45" s="328" t="s">
        <v>43</v>
      </c>
      <c r="C45" s="329">
        <f>'3_Levels 1&amp;2'!AP45</f>
        <v>9848128</v>
      </c>
      <c r="D45" s="329">
        <v>0</v>
      </c>
      <c r="E45" s="329">
        <f>-'5C1A_Madison'!$R45</f>
        <v>0</v>
      </c>
      <c r="F45" s="329">
        <f>-'5C1B_DArbonne'!$R45</f>
        <v>0</v>
      </c>
      <c r="G45" s="329">
        <f>-'5C1C_Intl High'!$R45</f>
        <v>0</v>
      </c>
      <c r="H45" s="329">
        <f>-'5C1D_NOMMA'!$R45</f>
        <v>0</v>
      </c>
      <c r="I45" s="329">
        <f>-'5C1E_LFNO'!$R45</f>
        <v>0</v>
      </c>
      <c r="J45" s="329">
        <f>-'5C1F_L.C. Charter'!$R45</f>
        <v>0</v>
      </c>
      <c r="K45" s="329">
        <f>-'5C1G_JS Clark'!$R45</f>
        <v>0</v>
      </c>
      <c r="L45" s="329">
        <f>-'5C1H_Southwest'!$R45</f>
        <v>0</v>
      </c>
      <c r="M45" s="329">
        <f>-'5C1I_LA Key'!$R45</f>
        <v>-47415</v>
      </c>
      <c r="N45" s="329">
        <f>-'5C1J_JCFA-East'!$R45</f>
        <v>0</v>
      </c>
      <c r="O45" s="329">
        <f>-'5C1M_GEO Mid'!$R45</f>
        <v>0</v>
      </c>
      <c r="P45" s="329">
        <f>-'5C1N_Delta'!$R45</f>
        <v>0</v>
      </c>
      <c r="Q45" s="329">
        <f>-'5C1O_Impact'!$R45</f>
        <v>0</v>
      </c>
      <c r="R45" s="329">
        <f>-'5C1Q_Advantage'!$R45</f>
        <v>0</v>
      </c>
      <c r="S45" s="329">
        <f>-'5C1R_Iberville'!$R45</f>
        <v>0</v>
      </c>
      <c r="T45" s="329">
        <f>-'5C1S_LC Col Prep'!$R45</f>
        <v>0</v>
      </c>
      <c r="U45" s="329">
        <f>-'5C1T_Northeast'!$R45</f>
        <v>0</v>
      </c>
      <c r="V45" s="329">
        <f>-'5C1U_Acadiana Ren'!$R45</f>
        <v>0</v>
      </c>
      <c r="W45" s="329">
        <f>-'5C1V_Laf Ren'!$R45</f>
        <v>0</v>
      </c>
      <c r="X45" s="329">
        <f>-'5C1W_Willow'!$R45</f>
        <v>0</v>
      </c>
      <c r="Y45" s="329">
        <f>-'5C1Y_GEO'!$R45</f>
        <v>0</v>
      </c>
      <c r="Z45" s="329">
        <f>-'5C1Z_Lincoln Prep'!$R45</f>
        <v>0</v>
      </c>
      <c r="AA45" s="329">
        <f>-'5C1AD_Greater'!$R45</f>
        <v>0</v>
      </c>
      <c r="AB45" s="329">
        <f>-'5C1AE_Noble Minds'!$R45</f>
        <v>0</v>
      </c>
      <c r="AC45" s="329">
        <f>-'5C1AF_JCFA-Laf'!$R45</f>
        <v>0</v>
      </c>
      <c r="AD45" s="329">
        <f>-'5C1AG_Collegiate'!$R45</f>
        <v>0</v>
      </c>
      <c r="AE45" s="329">
        <f>-'5C1AH_BRUP'!$R45</f>
        <v>0</v>
      </c>
      <c r="AF45" s="329">
        <f>-'5C1AI_Harmony'!$R45</f>
        <v>0</v>
      </c>
      <c r="AG45" s="329">
        <f>-'5C1AJ_Athlos'!$R45</f>
        <v>0</v>
      </c>
      <c r="AH45" s="329">
        <f>-('5C2_LAVCA'!$R45+'5C2_LAVCA'!$S45)</f>
        <v>-29569</v>
      </c>
      <c r="AI45" s="329">
        <f>-('5C3_UnvView'!$R45+'5C3_UnvView'!$S45)</f>
        <v>-83448</v>
      </c>
      <c r="AJ45" s="330">
        <f t="shared" si="13"/>
        <v>-160432</v>
      </c>
      <c r="AK45" s="330">
        <f t="shared" si="14"/>
        <v>9687696</v>
      </c>
      <c r="AL45" s="330">
        <f>ROUND(AK45/'8_2.1.19 SIS'!C45,0)</f>
        <v>3755</v>
      </c>
      <c r="AM45" s="330">
        <f>'3B_Pay Raise'!O45</f>
        <v>317853</v>
      </c>
      <c r="AN45" s="331">
        <f>'[1]LEA Summary'!$K45</f>
        <v>-34940</v>
      </c>
      <c r="AO45" s="329">
        <f t="shared" si="8"/>
        <v>0</v>
      </c>
      <c r="AP45" s="329">
        <f t="shared" si="9"/>
        <v>-34940</v>
      </c>
      <c r="AQ45" s="329">
        <f>VLOOKUP($A45,'[2]Oct_MidYear Adj'!$A$7:$N$137,10,FALSE)</f>
        <v>97630</v>
      </c>
      <c r="AR45" s="329">
        <f>VLOOKUP($A45,'[3]Feb_MidYear Adj'!$A$7:$N$137,10,FALSE)</f>
        <v>-1878</v>
      </c>
      <c r="AS45" s="331">
        <f t="shared" si="10"/>
        <v>95752</v>
      </c>
      <c r="AT45" s="330">
        <f t="shared" si="11"/>
        <v>10066361</v>
      </c>
      <c r="AU45" s="329">
        <f>'4_Level 4'!E45</f>
        <v>63000</v>
      </c>
      <c r="AV45" s="329">
        <f>'4_Level 4'!Q45</f>
        <v>63661</v>
      </c>
      <c r="AW45" s="330">
        <f t="shared" si="15"/>
        <v>10193022</v>
      </c>
      <c r="AX45" s="329">
        <f>('[4]2_State Distrib and Adjs'!AZ45*2)+'[5]2_State Distrib and Adjs'!AZ45+('[6]2_State Distrib and Adjs'!AZ45*3)+('[7]2_State Distrib and Adjs'!AZ45*2)</f>
        <v>6747360</v>
      </c>
      <c r="AY45" s="329">
        <f t="shared" si="12"/>
        <v>3445662</v>
      </c>
      <c r="AZ45" s="329">
        <f t="shared" si="16"/>
        <v>861416</v>
      </c>
      <c r="BA45" s="329">
        <f>'4_Level 4'!J45</f>
        <v>12000</v>
      </c>
      <c r="BB45" s="329">
        <f>'4_Level 4'!L45</f>
        <v>138575</v>
      </c>
      <c r="BC45" s="329">
        <f>'4_Level 4'!M45</f>
        <v>9402</v>
      </c>
      <c r="BD45" s="330">
        <f t="shared" si="17"/>
        <v>10352999</v>
      </c>
    </row>
    <row r="46" spans="1:56" ht="15.6" customHeight="1" x14ac:dyDescent="0.2">
      <c r="A46" s="332">
        <v>40</v>
      </c>
      <c r="B46" s="333" t="s">
        <v>44</v>
      </c>
      <c r="C46" s="334">
        <f>'3_Levels 1&amp;2'!AP46</f>
        <v>134770929</v>
      </c>
      <c r="D46" s="334">
        <v>0</v>
      </c>
      <c r="E46" s="334">
        <f>-'5C1A_Madison'!$R46</f>
        <v>0</v>
      </c>
      <c r="F46" s="334">
        <f>-'5C1B_DArbonne'!$R46</f>
        <v>0</v>
      </c>
      <c r="G46" s="334">
        <f>-'5C1C_Intl High'!$R46</f>
        <v>0</v>
      </c>
      <c r="H46" s="334">
        <f>-'5C1D_NOMMA'!$R46</f>
        <v>0</v>
      </c>
      <c r="I46" s="334">
        <f>-'5C1E_LFNO'!$R46</f>
        <v>0</v>
      </c>
      <c r="J46" s="334">
        <f>-'5C1F_L.C. Charter'!$R46</f>
        <v>0</v>
      </c>
      <c r="K46" s="334">
        <f>-'5C1G_JS Clark'!$R46</f>
        <v>0</v>
      </c>
      <c r="L46" s="334">
        <f>-'5C1H_Southwest'!$R46</f>
        <v>0</v>
      </c>
      <c r="M46" s="334">
        <f>-'5C1I_LA Key'!$R46</f>
        <v>0</v>
      </c>
      <c r="N46" s="334">
        <f>-'5C1J_JCFA-East'!$R46</f>
        <v>0</v>
      </c>
      <c r="O46" s="334">
        <f>-'5C1M_GEO Mid'!$R46</f>
        <v>0</v>
      </c>
      <c r="P46" s="334">
        <f>-'5C1N_Delta'!$R46</f>
        <v>0</v>
      </c>
      <c r="Q46" s="334">
        <f>-'5C1O_Impact'!$R46</f>
        <v>0</v>
      </c>
      <c r="R46" s="334">
        <f>-'5C1Q_Advantage'!$R46</f>
        <v>0</v>
      </c>
      <c r="S46" s="334">
        <f>-'5C1R_Iberville'!$R46</f>
        <v>0</v>
      </c>
      <c r="T46" s="334">
        <f>-'5C1S_LC Col Prep'!$R46</f>
        <v>0</v>
      </c>
      <c r="U46" s="334">
        <f>-'5C1T_Northeast'!$R46</f>
        <v>0</v>
      </c>
      <c r="V46" s="334">
        <f>-'5C1U_Acadiana Ren'!$R46</f>
        <v>0</v>
      </c>
      <c r="W46" s="334">
        <f>-'5C1V_Laf Ren'!$R46</f>
        <v>0</v>
      </c>
      <c r="X46" s="334">
        <f>-'5C1W_Willow'!$R46</f>
        <v>0</v>
      </c>
      <c r="Y46" s="334">
        <f>-'5C1Y_GEO'!$R46</f>
        <v>0</v>
      </c>
      <c r="Z46" s="334">
        <f>-'5C1Z_Lincoln Prep'!$R46</f>
        <v>0</v>
      </c>
      <c r="AA46" s="334">
        <f>-'5C1AD_Greater'!$R46</f>
        <v>0</v>
      </c>
      <c r="AB46" s="610">
        <f>-'5C1AE_Noble Minds'!$R46</f>
        <v>0</v>
      </c>
      <c r="AC46" s="610">
        <f>-'5C1AF_JCFA-Laf'!$R46</f>
        <v>0</v>
      </c>
      <c r="AD46" s="610">
        <f>-'5C1AG_Collegiate'!$R46</f>
        <v>0</v>
      </c>
      <c r="AE46" s="334">
        <f>-'5C1AH_BRUP'!$R46</f>
        <v>0</v>
      </c>
      <c r="AF46" s="881">
        <f>-'5C1AI_Harmony'!$R46</f>
        <v>0</v>
      </c>
      <c r="AG46" s="881">
        <f>-'5C1AJ_Athlos'!$R46</f>
        <v>0</v>
      </c>
      <c r="AH46" s="334">
        <f>-('5C2_LAVCA'!$R46+'5C2_LAVCA'!$S46)</f>
        <v>-327977</v>
      </c>
      <c r="AI46" s="334">
        <f>-('5C3_UnvView'!$R46+'5C3_UnvView'!$S46)</f>
        <v>-362833</v>
      </c>
      <c r="AJ46" s="335">
        <f t="shared" si="13"/>
        <v>-690810</v>
      </c>
      <c r="AK46" s="335">
        <f t="shared" si="14"/>
        <v>134080119</v>
      </c>
      <c r="AL46" s="335">
        <f>ROUND(AK46/'8_2.1.19 SIS'!C46,0)</f>
        <v>6119</v>
      </c>
      <c r="AM46" s="1064">
        <f>'3B_Pay Raise'!O46</f>
        <v>3171239</v>
      </c>
      <c r="AN46" s="336">
        <f>'[1]LEA Summary'!$K46</f>
        <v>-140192</v>
      </c>
      <c r="AO46" s="334">
        <f t="shared" si="8"/>
        <v>0</v>
      </c>
      <c r="AP46" s="334">
        <f t="shared" si="9"/>
        <v>-140192</v>
      </c>
      <c r="AQ46" s="334">
        <f>VLOOKUP($A46,'[2]Oct_MidYear Adj'!$A$7:$N$137,10,FALSE)</f>
        <v>-881136</v>
      </c>
      <c r="AR46" s="334">
        <f>VLOOKUP($A46,'[3]Feb_MidYear Adj'!$A$7:$N$137,10,FALSE)</f>
        <v>-214165</v>
      </c>
      <c r="AS46" s="336">
        <f t="shared" si="10"/>
        <v>-1095301</v>
      </c>
      <c r="AT46" s="335">
        <f t="shared" si="11"/>
        <v>136015865</v>
      </c>
      <c r="AU46" s="334">
        <f>'4_Level 4'!E46</f>
        <v>0</v>
      </c>
      <c r="AV46" s="334">
        <f>'4_Level 4'!Q46</f>
        <v>588171</v>
      </c>
      <c r="AW46" s="335">
        <f t="shared" si="15"/>
        <v>136604036</v>
      </c>
      <c r="AX46" s="334">
        <f>('[4]2_State Distrib and Adjs'!AZ46*2)+'[5]2_State Distrib and Adjs'!AZ46+('[6]2_State Distrib and Adjs'!AZ46*3)+('[7]2_State Distrib and Adjs'!AZ46*2)</f>
        <v>91829532</v>
      </c>
      <c r="AY46" s="334">
        <f t="shared" si="12"/>
        <v>44774504</v>
      </c>
      <c r="AZ46" s="334">
        <f t="shared" si="16"/>
        <v>11193626</v>
      </c>
      <c r="BA46" s="334">
        <f>'4_Level 4'!J46</f>
        <v>0</v>
      </c>
      <c r="BB46" s="334">
        <f>'4_Level 4'!L46</f>
        <v>669257</v>
      </c>
      <c r="BC46" s="334">
        <f>'4_Level 4'!M46</f>
        <v>151639</v>
      </c>
      <c r="BD46" s="335">
        <f t="shared" si="17"/>
        <v>137424932</v>
      </c>
    </row>
    <row r="47" spans="1:56" ht="15.6" customHeight="1" x14ac:dyDescent="0.2">
      <c r="A47" s="325">
        <v>41</v>
      </c>
      <c r="B47" s="326" t="s">
        <v>45</v>
      </c>
      <c r="C47" s="33">
        <f>'3_Levels 1&amp;2'!AP47</f>
        <v>5238462</v>
      </c>
      <c r="D47" s="33">
        <v>0</v>
      </c>
      <c r="E47" s="33">
        <f>-'5C1A_Madison'!$R47</f>
        <v>0</v>
      </c>
      <c r="F47" s="33">
        <f>-'5C1B_DArbonne'!$R47</f>
        <v>0</v>
      </c>
      <c r="G47" s="33">
        <f>-'5C1C_Intl High'!$R47</f>
        <v>0</v>
      </c>
      <c r="H47" s="33">
        <f>-'5C1D_NOMMA'!$R47</f>
        <v>0</v>
      </c>
      <c r="I47" s="33">
        <f>-'5C1E_LFNO'!$R47</f>
        <v>0</v>
      </c>
      <c r="J47" s="33">
        <f>-'5C1F_L.C. Charter'!$R47</f>
        <v>0</v>
      </c>
      <c r="K47" s="33">
        <f>-'5C1G_JS Clark'!$R47</f>
        <v>0</v>
      </c>
      <c r="L47" s="33">
        <f>-'5C1H_Southwest'!$R47</f>
        <v>0</v>
      </c>
      <c r="M47" s="33">
        <f>-'5C1I_LA Key'!$R47</f>
        <v>0</v>
      </c>
      <c r="N47" s="33">
        <f>-'5C1J_JCFA-East'!$R47</f>
        <v>0</v>
      </c>
      <c r="O47" s="33">
        <f>-'5C1M_GEO Mid'!$R47</f>
        <v>0</v>
      </c>
      <c r="P47" s="33">
        <f>-'5C1N_Delta'!$R47</f>
        <v>0</v>
      </c>
      <c r="Q47" s="33">
        <f>-'5C1O_Impact'!$R47</f>
        <v>0</v>
      </c>
      <c r="R47" s="33">
        <f>-'5C1Q_Advantage'!$R47</f>
        <v>0</v>
      </c>
      <c r="S47" s="33">
        <f>-'5C1R_Iberville'!$R47</f>
        <v>0</v>
      </c>
      <c r="T47" s="33">
        <f>-'5C1S_LC Col Prep'!$R47</f>
        <v>0</v>
      </c>
      <c r="U47" s="33">
        <f>-'5C1T_Northeast'!$R47</f>
        <v>0</v>
      </c>
      <c r="V47" s="33">
        <f>-'5C1U_Acadiana Ren'!$R47</f>
        <v>0</v>
      </c>
      <c r="W47" s="33">
        <f>-'5C1V_Laf Ren'!$R47</f>
        <v>0</v>
      </c>
      <c r="X47" s="33">
        <f>-'5C1W_Willow'!$R47</f>
        <v>0</v>
      </c>
      <c r="Y47" s="33">
        <f>-'5C1Y_GEO'!$R47</f>
        <v>0</v>
      </c>
      <c r="Z47" s="33">
        <f>-'5C1Z_Lincoln Prep'!$R47</f>
        <v>0</v>
      </c>
      <c r="AA47" s="33">
        <f>-'5C1AD_Greater'!$R47</f>
        <v>0</v>
      </c>
      <c r="AB47" s="33">
        <f>-'5C1AE_Noble Minds'!$R47</f>
        <v>0</v>
      </c>
      <c r="AC47" s="33">
        <f>-'5C1AF_JCFA-Laf'!$R47</f>
        <v>0</v>
      </c>
      <c r="AD47" s="33">
        <f>-'5C1AG_Collegiate'!$R47</f>
        <v>0</v>
      </c>
      <c r="AE47" s="33">
        <f>-'5C1AH_BRUP'!$R47</f>
        <v>0</v>
      </c>
      <c r="AF47" s="33">
        <f>-'5C1AI_Harmony'!$R47</f>
        <v>0</v>
      </c>
      <c r="AG47" s="33">
        <f>-'5C1AJ_Athlos'!$R47</f>
        <v>0</v>
      </c>
      <c r="AH47" s="33">
        <f>-('5C2_LAVCA'!$R47+'5C2_LAVCA'!$S47)</f>
        <v>-9607</v>
      </c>
      <c r="AI47" s="33">
        <f>-('5C3_UnvView'!$R47+'5C3_UnvView'!$S47)</f>
        <v>-18168</v>
      </c>
      <c r="AJ47" s="32">
        <f t="shared" si="13"/>
        <v>-27775</v>
      </c>
      <c r="AK47" s="32">
        <f t="shared" si="14"/>
        <v>5210687</v>
      </c>
      <c r="AL47" s="32">
        <f>ROUND(AK47/'8_2.1.19 SIS'!C47,0)</f>
        <v>3792</v>
      </c>
      <c r="AM47" s="32">
        <f>'3B_Pay Raise'!O47</f>
        <v>232569</v>
      </c>
      <c r="AN47" s="34">
        <f>'[1]LEA Summary'!$K47</f>
        <v>6362</v>
      </c>
      <c r="AO47" s="33">
        <f t="shared" si="8"/>
        <v>6362</v>
      </c>
      <c r="AP47" s="33">
        <f t="shared" si="9"/>
        <v>0</v>
      </c>
      <c r="AQ47" s="33">
        <f>VLOOKUP($A47,'[2]Oct_MidYear Adj'!$A$7:$N$137,10,FALSE)</f>
        <v>-250272</v>
      </c>
      <c r="AR47" s="33">
        <f>VLOOKUP($A47,'[3]Feb_MidYear Adj'!$A$7:$N$137,10,FALSE)</f>
        <v>-32232</v>
      </c>
      <c r="AS47" s="34">
        <f t="shared" si="10"/>
        <v>-282504</v>
      </c>
      <c r="AT47" s="32">
        <f t="shared" si="11"/>
        <v>5167114</v>
      </c>
      <c r="AU47" s="33">
        <f>'4_Level 4'!E47</f>
        <v>0</v>
      </c>
      <c r="AV47" s="33">
        <f>'4_Level 4'!Q47</f>
        <v>37642</v>
      </c>
      <c r="AW47" s="32">
        <f t="shared" si="15"/>
        <v>5204756</v>
      </c>
      <c r="AX47" s="33">
        <f>('[4]2_State Distrib and Adjs'!AZ47*2)+'[5]2_State Distrib and Adjs'!AZ47+('[6]2_State Distrib and Adjs'!AZ47*3)+('[7]2_State Distrib and Adjs'!AZ47*2)</f>
        <v>3575066</v>
      </c>
      <c r="AY47" s="33">
        <f t="shared" si="12"/>
        <v>1629690</v>
      </c>
      <c r="AZ47" s="33">
        <f t="shared" si="16"/>
        <v>407423</v>
      </c>
      <c r="BA47" s="33">
        <f>'4_Level 4'!J47</f>
        <v>0</v>
      </c>
      <c r="BB47" s="33">
        <f>'4_Level 4'!L47</f>
        <v>43380</v>
      </c>
      <c r="BC47" s="33">
        <f>'4_Level 4'!M47</f>
        <v>0</v>
      </c>
      <c r="BD47" s="32">
        <f t="shared" si="17"/>
        <v>5248136</v>
      </c>
    </row>
    <row r="48" spans="1:56" ht="15.6" customHeight="1" x14ac:dyDescent="0.2">
      <c r="A48" s="327">
        <v>42</v>
      </c>
      <c r="B48" s="328" t="s">
        <v>46</v>
      </c>
      <c r="C48" s="329">
        <f>'3_Levels 1&amp;2'!AP48</f>
        <v>15328788</v>
      </c>
      <c r="D48" s="329">
        <v>0</v>
      </c>
      <c r="E48" s="329">
        <f>-'5C1A_Madison'!$R48</f>
        <v>0</v>
      </c>
      <c r="F48" s="329">
        <f>-'5C1B_DArbonne'!$R48</f>
        <v>0</v>
      </c>
      <c r="G48" s="329">
        <f>-'5C1C_Intl High'!$R48</f>
        <v>0</v>
      </c>
      <c r="H48" s="329">
        <f>-'5C1D_NOMMA'!$R48</f>
        <v>0</v>
      </c>
      <c r="I48" s="329">
        <f>-'5C1E_LFNO'!$R48</f>
        <v>0</v>
      </c>
      <c r="J48" s="329">
        <f>-'5C1F_L.C. Charter'!$R48</f>
        <v>0</v>
      </c>
      <c r="K48" s="329">
        <f>-'5C1G_JS Clark'!$R48</f>
        <v>0</v>
      </c>
      <c r="L48" s="329">
        <f>-'5C1H_Southwest'!$R48</f>
        <v>0</v>
      </c>
      <c r="M48" s="329">
        <f>-'5C1I_LA Key'!$R48</f>
        <v>0</v>
      </c>
      <c r="N48" s="329">
        <f>-'5C1J_JCFA-East'!$R48</f>
        <v>0</v>
      </c>
      <c r="O48" s="329">
        <f>-'5C1M_GEO Mid'!$R48</f>
        <v>0</v>
      </c>
      <c r="P48" s="329">
        <f>-'5C1N_Delta'!$R48</f>
        <v>0</v>
      </c>
      <c r="Q48" s="329">
        <f>-'5C1O_Impact'!$R48</f>
        <v>0</v>
      </c>
      <c r="R48" s="329">
        <f>-'5C1Q_Advantage'!$R48</f>
        <v>0</v>
      </c>
      <c r="S48" s="329">
        <f>-'5C1R_Iberville'!$R48</f>
        <v>0</v>
      </c>
      <c r="T48" s="329">
        <f>-'5C1S_LC Col Prep'!$R48</f>
        <v>0</v>
      </c>
      <c r="U48" s="329">
        <f>-'5C1T_Northeast'!$R48</f>
        <v>0</v>
      </c>
      <c r="V48" s="329">
        <f>-'5C1U_Acadiana Ren'!$R48</f>
        <v>0</v>
      </c>
      <c r="W48" s="329">
        <f>-'5C1V_Laf Ren'!$R48</f>
        <v>0</v>
      </c>
      <c r="X48" s="329">
        <f>-'5C1W_Willow'!$R48</f>
        <v>0</v>
      </c>
      <c r="Y48" s="329">
        <f>-'5C1Y_GEO'!$R48</f>
        <v>0</v>
      </c>
      <c r="Z48" s="329">
        <f>-'5C1Z_Lincoln Prep'!$R48</f>
        <v>0</v>
      </c>
      <c r="AA48" s="329">
        <f>-'5C1AD_Greater'!$R48</f>
        <v>0</v>
      </c>
      <c r="AB48" s="329">
        <f>-'5C1AE_Noble Minds'!$R48</f>
        <v>0</v>
      </c>
      <c r="AC48" s="329">
        <f>-'5C1AF_JCFA-Laf'!$R48</f>
        <v>0</v>
      </c>
      <c r="AD48" s="329">
        <f>-'5C1AG_Collegiate'!$R48</f>
        <v>0</v>
      </c>
      <c r="AE48" s="329">
        <f>-'5C1AH_BRUP'!$R48</f>
        <v>0</v>
      </c>
      <c r="AF48" s="329">
        <f>-'5C1AI_Harmony'!$R48</f>
        <v>0</v>
      </c>
      <c r="AG48" s="329">
        <f>-'5C1AJ_Athlos'!$R48</f>
        <v>0</v>
      </c>
      <c r="AH48" s="329">
        <f>-('5C2_LAVCA'!$R48+'5C2_LAVCA'!$S48)</f>
        <v>-41068</v>
      </c>
      <c r="AI48" s="329">
        <f>-('5C3_UnvView'!$R48+'5C3_UnvView'!$S48)</f>
        <v>-137706</v>
      </c>
      <c r="AJ48" s="330">
        <f t="shared" si="13"/>
        <v>-178774</v>
      </c>
      <c r="AK48" s="330">
        <f t="shared" si="14"/>
        <v>15150014</v>
      </c>
      <c r="AL48" s="330">
        <f>ROUND(AK48/'8_2.1.19 SIS'!C48,0)</f>
        <v>5582</v>
      </c>
      <c r="AM48" s="330">
        <f>'3B_Pay Raise'!O48</f>
        <v>395822</v>
      </c>
      <c r="AN48" s="331">
        <f>'[1]LEA Summary'!$K48</f>
        <v>-834</v>
      </c>
      <c r="AO48" s="329">
        <f t="shared" si="8"/>
        <v>0</v>
      </c>
      <c r="AP48" s="329">
        <f t="shared" si="9"/>
        <v>-834</v>
      </c>
      <c r="AQ48" s="329">
        <f>VLOOKUP($A48,'[2]Oct_MidYear Adj'!$A$7:$N$137,10,FALSE)</f>
        <v>-16746</v>
      </c>
      <c r="AR48" s="329">
        <f>VLOOKUP($A48,'[3]Feb_MidYear Adj'!$A$7:$N$137,10,FALSE)</f>
        <v>-16746</v>
      </c>
      <c r="AS48" s="331">
        <f t="shared" si="10"/>
        <v>-33492</v>
      </c>
      <c r="AT48" s="330">
        <f t="shared" si="11"/>
        <v>15511510</v>
      </c>
      <c r="AU48" s="329">
        <f>'4_Level 4'!E48</f>
        <v>0</v>
      </c>
      <c r="AV48" s="329">
        <f>'4_Level 4'!Q48</f>
        <v>70859</v>
      </c>
      <c r="AW48" s="330">
        <f t="shared" si="15"/>
        <v>15582369</v>
      </c>
      <c r="AX48" s="329">
        <f>('[4]2_State Distrib and Adjs'!AZ48*2)+'[5]2_State Distrib and Adjs'!AZ48+('[6]2_State Distrib and Adjs'!AZ48*3)+('[7]2_State Distrib and Adjs'!AZ48*2)</f>
        <v>10412708</v>
      </c>
      <c r="AY48" s="329">
        <f t="shared" si="12"/>
        <v>5169661</v>
      </c>
      <c r="AZ48" s="329">
        <f t="shared" si="16"/>
        <v>1292415</v>
      </c>
      <c r="BA48" s="329">
        <f>'4_Level 4'!J48</f>
        <v>0</v>
      </c>
      <c r="BB48" s="329">
        <f>'4_Level 4'!L48</f>
        <v>85073</v>
      </c>
      <c r="BC48" s="329">
        <f>'4_Level 4'!M48</f>
        <v>0</v>
      </c>
      <c r="BD48" s="330">
        <f t="shared" si="17"/>
        <v>15667442</v>
      </c>
    </row>
    <row r="49" spans="1:56" ht="15.6" customHeight="1" x14ac:dyDescent="0.2">
      <c r="A49" s="327">
        <v>43</v>
      </c>
      <c r="B49" s="328" t="s">
        <v>47</v>
      </c>
      <c r="C49" s="329">
        <f>'3_Levels 1&amp;2'!AP49</f>
        <v>27382905</v>
      </c>
      <c r="D49" s="329">
        <v>0</v>
      </c>
      <c r="E49" s="329">
        <f>-'5C1A_Madison'!$R49</f>
        <v>0</v>
      </c>
      <c r="F49" s="329">
        <f>-'5C1B_DArbonne'!$R49</f>
        <v>0</v>
      </c>
      <c r="G49" s="329">
        <f>-'5C1C_Intl High'!$R49</f>
        <v>0</v>
      </c>
      <c r="H49" s="329">
        <f>-'5C1D_NOMMA'!$R49</f>
        <v>0</v>
      </c>
      <c r="I49" s="329">
        <f>-'5C1E_LFNO'!$R49</f>
        <v>0</v>
      </c>
      <c r="J49" s="329">
        <f>-'5C1F_L.C. Charter'!$R49</f>
        <v>0</v>
      </c>
      <c r="K49" s="329">
        <f>-'5C1G_JS Clark'!$R49</f>
        <v>0</v>
      </c>
      <c r="L49" s="329">
        <f>-'5C1H_Southwest'!$R49</f>
        <v>0</v>
      </c>
      <c r="M49" s="329">
        <f>-'5C1I_LA Key'!$R49</f>
        <v>0</v>
      </c>
      <c r="N49" s="329">
        <f>-'5C1J_JCFA-East'!$R49</f>
        <v>0</v>
      </c>
      <c r="O49" s="329">
        <f>-'5C1M_GEO Mid'!$R49</f>
        <v>0</v>
      </c>
      <c r="P49" s="329">
        <f>-'5C1N_Delta'!$R49</f>
        <v>0</v>
      </c>
      <c r="Q49" s="329">
        <f>-'5C1O_Impact'!$R49</f>
        <v>0</v>
      </c>
      <c r="R49" s="329">
        <f>-'5C1Q_Advantage'!$R49</f>
        <v>0</v>
      </c>
      <c r="S49" s="329">
        <f>-'5C1R_Iberville'!$R49</f>
        <v>0</v>
      </c>
      <c r="T49" s="329">
        <f>-'5C1S_LC Col Prep'!$R49</f>
        <v>0</v>
      </c>
      <c r="U49" s="329">
        <f>-'5C1T_Northeast'!$R49</f>
        <v>0</v>
      </c>
      <c r="V49" s="329">
        <f>-'5C1U_Acadiana Ren'!$R49</f>
        <v>0</v>
      </c>
      <c r="W49" s="329">
        <f>-'5C1V_Laf Ren'!$R49</f>
        <v>0</v>
      </c>
      <c r="X49" s="329">
        <f>-'5C1W_Willow'!$R49</f>
        <v>0</v>
      </c>
      <c r="Y49" s="329">
        <f>-'5C1Y_GEO'!$R49</f>
        <v>0</v>
      </c>
      <c r="Z49" s="329">
        <f>-'5C1Z_Lincoln Prep'!$R49</f>
        <v>0</v>
      </c>
      <c r="AA49" s="329">
        <f>-'5C1AD_Greater'!$R49</f>
        <v>0</v>
      </c>
      <c r="AB49" s="329">
        <f>-'5C1AE_Noble Minds'!$R49</f>
        <v>0</v>
      </c>
      <c r="AC49" s="329">
        <f>-'5C1AF_JCFA-Laf'!$R49</f>
        <v>0</v>
      </c>
      <c r="AD49" s="329">
        <f>-'5C1AG_Collegiate'!$R49</f>
        <v>0</v>
      </c>
      <c r="AE49" s="329">
        <f>-'5C1AH_BRUP'!$R49</f>
        <v>0</v>
      </c>
      <c r="AF49" s="329">
        <f>-'5C1AI_Harmony'!$R49</f>
        <v>0</v>
      </c>
      <c r="AG49" s="329">
        <f>-'5C1AJ_Athlos'!$R49</f>
        <v>0</v>
      </c>
      <c r="AH49" s="329">
        <f>-('5C2_LAVCA'!$R49+'5C2_LAVCA'!$S49)</f>
        <v>-50872</v>
      </c>
      <c r="AI49" s="329">
        <f>-('5C3_UnvView'!$R49+'5C3_UnvView'!$S49)</f>
        <v>-33492</v>
      </c>
      <c r="AJ49" s="330">
        <f t="shared" si="13"/>
        <v>-84364</v>
      </c>
      <c r="AK49" s="330">
        <f t="shared" si="14"/>
        <v>27298541</v>
      </c>
      <c r="AL49" s="330">
        <f>ROUND(AK49/'8_2.1.19 SIS'!C49,0)</f>
        <v>6744</v>
      </c>
      <c r="AM49" s="330">
        <f>'3B_Pay Raise'!O49</f>
        <v>635223</v>
      </c>
      <c r="AN49" s="331">
        <f>'[1]LEA Summary'!$K49</f>
        <v>-981</v>
      </c>
      <c r="AO49" s="329">
        <f t="shared" si="8"/>
        <v>0</v>
      </c>
      <c r="AP49" s="329">
        <f t="shared" si="9"/>
        <v>-981</v>
      </c>
      <c r="AQ49" s="329">
        <f>VLOOKUP($A49,'[2]Oct_MidYear Adj'!$A$7:$N$137,10,FALSE)</f>
        <v>-101160</v>
      </c>
      <c r="AR49" s="329">
        <f>VLOOKUP($A49,'[3]Feb_MidYear Adj'!$A$7:$N$137,10,FALSE)</f>
        <v>-118020</v>
      </c>
      <c r="AS49" s="331">
        <f t="shared" si="10"/>
        <v>-219180</v>
      </c>
      <c r="AT49" s="330">
        <f t="shared" si="11"/>
        <v>27713603</v>
      </c>
      <c r="AU49" s="329">
        <f>'4_Level 4'!E49</f>
        <v>0</v>
      </c>
      <c r="AV49" s="329">
        <f>'4_Level 4'!Q49</f>
        <v>107911</v>
      </c>
      <c r="AW49" s="330">
        <f t="shared" si="15"/>
        <v>27821514</v>
      </c>
      <c r="AX49" s="329">
        <f>('[4]2_State Distrib and Adjs'!AZ49*2)+'[5]2_State Distrib and Adjs'!AZ49+('[6]2_State Distrib and Adjs'!AZ49*3)+('[7]2_State Distrib and Adjs'!AZ49*2)</f>
        <v>18703986</v>
      </c>
      <c r="AY49" s="329">
        <f t="shared" si="12"/>
        <v>9117528</v>
      </c>
      <c r="AZ49" s="329">
        <f t="shared" si="16"/>
        <v>2279382</v>
      </c>
      <c r="BA49" s="329">
        <f>'4_Level 4'!J49</f>
        <v>0</v>
      </c>
      <c r="BB49" s="329">
        <f>'4_Level 4'!L49</f>
        <v>140503</v>
      </c>
      <c r="BC49" s="329">
        <f>'4_Level 4'!M49</f>
        <v>103655</v>
      </c>
      <c r="BD49" s="330">
        <f t="shared" si="17"/>
        <v>28065672</v>
      </c>
    </row>
    <row r="50" spans="1:56" ht="15.6" customHeight="1" x14ac:dyDescent="0.2">
      <c r="A50" s="327">
        <v>44</v>
      </c>
      <c r="B50" s="328" t="s">
        <v>48</v>
      </c>
      <c r="C50" s="329">
        <f>'3_Levels 1&amp;2'!AP50</f>
        <v>43809072</v>
      </c>
      <c r="D50" s="329">
        <v>0</v>
      </c>
      <c r="E50" s="329">
        <f>-'5C1A_Madison'!$R50</f>
        <v>0</v>
      </c>
      <c r="F50" s="329">
        <f>-'5C1B_DArbonne'!$R50</f>
        <v>0</v>
      </c>
      <c r="G50" s="329">
        <f>-'5C1C_Intl High'!$R50</f>
        <v>-19452</v>
      </c>
      <c r="H50" s="329">
        <f>-'5C1D_NOMMA'!$R50</f>
        <v>-28335</v>
      </c>
      <c r="I50" s="329">
        <f>-'5C1E_LFNO'!$R50</f>
        <v>-25920</v>
      </c>
      <c r="J50" s="329">
        <f>-'5C1F_L.C. Charter'!$R50</f>
        <v>0</v>
      </c>
      <c r="K50" s="329">
        <f>-'5C1G_JS Clark'!$R50</f>
        <v>0</v>
      </c>
      <c r="L50" s="329">
        <f>-'5C1H_Southwest'!$R50</f>
        <v>0</v>
      </c>
      <c r="M50" s="329">
        <f>-'5C1I_LA Key'!$R50</f>
        <v>0</v>
      </c>
      <c r="N50" s="329">
        <f>-'5C1J_JCFA-East'!$R50</f>
        <v>-5443</v>
      </c>
      <c r="O50" s="329">
        <f>-'5C1M_GEO Mid'!$R50</f>
        <v>0</v>
      </c>
      <c r="P50" s="329">
        <f>-'5C1N_Delta'!$R50</f>
        <v>0</v>
      </c>
      <c r="Q50" s="329">
        <f>-'5C1O_Impact'!$R50</f>
        <v>0</v>
      </c>
      <c r="R50" s="329">
        <f>-'5C1Q_Advantage'!$R50</f>
        <v>0</v>
      </c>
      <c r="S50" s="329">
        <f>-'5C1R_Iberville'!$R50</f>
        <v>0</v>
      </c>
      <c r="T50" s="329">
        <f>-'5C1S_LC Col Prep'!$R50</f>
        <v>0</v>
      </c>
      <c r="U50" s="329">
        <f>-'5C1T_Northeast'!$R50</f>
        <v>0</v>
      </c>
      <c r="V50" s="329">
        <f>-'5C1U_Acadiana Ren'!$R50</f>
        <v>0</v>
      </c>
      <c r="W50" s="329">
        <f>-'5C1V_Laf Ren'!$R50</f>
        <v>0</v>
      </c>
      <c r="X50" s="329">
        <f>-'5C1W_Willow'!$R50</f>
        <v>0</v>
      </c>
      <c r="Y50" s="329">
        <f>-'5C1Y_GEO'!$R50</f>
        <v>0</v>
      </c>
      <c r="Z50" s="329">
        <f>-'5C1Z_Lincoln Prep'!$R50</f>
        <v>0</v>
      </c>
      <c r="AA50" s="329">
        <f>-'5C1AD_Greater'!$R50</f>
        <v>0</v>
      </c>
      <c r="AB50" s="329">
        <f>-'5C1AE_Noble Minds'!$R50</f>
        <v>-5443</v>
      </c>
      <c r="AC50" s="329">
        <f>-'5C1AF_JCFA-Laf'!$R50</f>
        <v>0</v>
      </c>
      <c r="AD50" s="329">
        <f>-'5C1AG_Collegiate'!$R50</f>
        <v>0</v>
      </c>
      <c r="AE50" s="329">
        <f>-'5C1AH_BRUP'!$R50</f>
        <v>0</v>
      </c>
      <c r="AF50" s="329">
        <f>-'5C1AI_Harmony'!$R50</f>
        <v>0</v>
      </c>
      <c r="AG50" s="329">
        <f>-'5C1AJ_Athlos'!$R50</f>
        <v>-5443</v>
      </c>
      <c r="AH50" s="329">
        <f>-('5C2_LAVCA'!$R50+'5C2_LAVCA'!$S50)</f>
        <v>-144511</v>
      </c>
      <c r="AI50" s="329">
        <f>-('5C3_UnvView'!$R50+'5C3_UnvView'!$S50)</f>
        <v>-111044</v>
      </c>
      <c r="AJ50" s="330">
        <f t="shared" si="13"/>
        <v>-345591</v>
      </c>
      <c r="AK50" s="330">
        <f t="shared" si="14"/>
        <v>43463481</v>
      </c>
      <c r="AL50" s="330">
        <f>ROUND(AK50/'8_2.1.19 SIS'!C50,0)</f>
        <v>5899</v>
      </c>
      <c r="AM50" s="330">
        <f>'3B_Pay Raise'!O50</f>
        <v>938362</v>
      </c>
      <c r="AN50" s="331">
        <f>'[1]LEA Summary'!$K50</f>
        <v>-54028</v>
      </c>
      <c r="AO50" s="329">
        <f t="shared" si="8"/>
        <v>0</v>
      </c>
      <c r="AP50" s="329">
        <f t="shared" si="9"/>
        <v>-54028</v>
      </c>
      <c r="AQ50" s="329">
        <f>VLOOKUP($A50,'[2]Oct_MidYear Adj'!$A$7:$N$137,10,FALSE)</f>
        <v>861254</v>
      </c>
      <c r="AR50" s="329">
        <f>VLOOKUP($A50,'[3]Feb_MidYear Adj'!$A$7:$N$137,10,FALSE)</f>
        <v>-342142</v>
      </c>
      <c r="AS50" s="331">
        <f t="shared" si="10"/>
        <v>519112</v>
      </c>
      <c r="AT50" s="330">
        <f t="shared" si="11"/>
        <v>44866927</v>
      </c>
      <c r="AU50" s="329">
        <f>'4_Level 4'!E50</f>
        <v>0</v>
      </c>
      <c r="AV50" s="329">
        <f>'4_Level 4'!Q50</f>
        <v>182723</v>
      </c>
      <c r="AW50" s="330">
        <f t="shared" si="15"/>
        <v>45049650</v>
      </c>
      <c r="AX50" s="329">
        <f>('[4]2_State Distrib and Adjs'!AZ50*2)+'[5]2_State Distrib and Adjs'!AZ50+('[6]2_State Distrib and Adjs'!AZ50*3)+('[7]2_State Distrib and Adjs'!AZ50*2)</f>
        <v>29696094</v>
      </c>
      <c r="AY50" s="329">
        <f t="shared" si="12"/>
        <v>15353556</v>
      </c>
      <c r="AZ50" s="329">
        <f t="shared" si="16"/>
        <v>3838389</v>
      </c>
      <c r="BA50" s="329">
        <f>'4_Level 4'!J50</f>
        <v>0</v>
      </c>
      <c r="BB50" s="329">
        <f>'4_Level 4'!L50</f>
        <v>54466</v>
      </c>
      <c r="BC50" s="329">
        <f>'4_Level 4'!M50</f>
        <v>184000</v>
      </c>
      <c r="BD50" s="330">
        <f t="shared" si="17"/>
        <v>45288116</v>
      </c>
    </row>
    <row r="51" spans="1:56" ht="15.6" customHeight="1" x14ac:dyDescent="0.2">
      <c r="A51" s="332">
        <v>45</v>
      </c>
      <c r="B51" s="333" t="s">
        <v>49</v>
      </c>
      <c r="C51" s="334">
        <f>'3_Levels 1&amp;2'!AP51</f>
        <v>29758515</v>
      </c>
      <c r="D51" s="334">
        <v>0</v>
      </c>
      <c r="E51" s="334">
        <f>-'5C1A_Madison'!$R51</f>
        <v>0</v>
      </c>
      <c r="F51" s="334">
        <f>-'5C1B_DArbonne'!$R51</f>
        <v>0</v>
      </c>
      <c r="G51" s="334">
        <f>-'5C1C_Intl High'!$R51</f>
        <v>0</v>
      </c>
      <c r="H51" s="334">
        <f>-'5C1D_NOMMA'!$R51</f>
        <v>-8294</v>
      </c>
      <c r="I51" s="334">
        <f>-'5C1E_LFNO'!$R51</f>
        <v>-12358</v>
      </c>
      <c r="J51" s="334">
        <f>-'5C1F_L.C. Charter'!$R51</f>
        <v>0</v>
      </c>
      <c r="K51" s="334">
        <f>-'5C1G_JS Clark'!$R51</f>
        <v>0</v>
      </c>
      <c r="L51" s="334">
        <f>-'5C1H_Southwest'!$R51</f>
        <v>0</v>
      </c>
      <c r="M51" s="334">
        <f>-'5C1I_LA Key'!$R51</f>
        <v>0</v>
      </c>
      <c r="N51" s="334">
        <f>-'5C1J_JCFA-East'!$R51</f>
        <v>-2950</v>
      </c>
      <c r="O51" s="334">
        <f>-'5C1M_GEO Mid'!$R51</f>
        <v>0</v>
      </c>
      <c r="P51" s="334">
        <f>-'5C1N_Delta'!$R51</f>
        <v>0</v>
      </c>
      <c r="Q51" s="334">
        <f>-'5C1O_Impact'!$R51</f>
        <v>0</v>
      </c>
      <c r="R51" s="334">
        <f>-'5C1Q_Advantage'!$R51</f>
        <v>0</v>
      </c>
      <c r="S51" s="334">
        <f>-'5C1R_Iberville'!$R51</f>
        <v>0</v>
      </c>
      <c r="T51" s="334">
        <f>-'5C1S_LC Col Prep'!$R51</f>
        <v>0</v>
      </c>
      <c r="U51" s="334">
        <f>-'5C1T_Northeast'!$R51</f>
        <v>0</v>
      </c>
      <c r="V51" s="334">
        <f>-'5C1U_Acadiana Ren'!$R51</f>
        <v>0</v>
      </c>
      <c r="W51" s="334">
        <f>-'5C1V_Laf Ren'!$R51</f>
        <v>0</v>
      </c>
      <c r="X51" s="334">
        <f>-'5C1W_Willow'!$R51</f>
        <v>0</v>
      </c>
      <c r="Y51" s="334">
        <f>-'5C1Y_GEO'!$R51</f>
        <v>0</v>
      </c>
      <c r="Z51" s="334">
        <f>-'5C1Z_Lincoln Prep'!$R51</f>
        <v>0</v>
      </c>
      <c r="AA51" s="334">
        <f>-'5C1AD_Greater'!$R51</f>
        <v>0</v>
      </c>
      <c r="AB51" s="610">
        <f>-'5C1AE_Noble Minds'!$R51</f>
        <v>0</v>
      </c>
      <c r="AC51" s="610">
        <f>-'5C1AF_JCFA-Laf'!$R51</f>
        <v>0</v>
      </c>
      <c r="AD51" s="610">
        <f>-'5C1AG_Collegiate'!$R51</f>
        <v>0</v>
      </c>
      <c r="AE51" s="334">
        <f>-'5C1AH_BRUP'!$R51</f>
        <v>0</v>
      </c>
      <c r="AF51" s="881">
        <f>-'5C1AI_Harmony'!$R51</f>
        <v>0</v>
      </c>
      <c r="AG51" s="881">
        <f>-'5C1AJ_Athlos'!$R51</f>
        <v>0</v>
      </c>
      <c r="AH51" s="334">
        <f>-('5C2_LAVCA'!$R51+'5C2_LAVCA'!$S51)</f>
        <v>-53602</v>
      </c>
      <c r="AI51" s="334">
        <f>-('5C3_UnvView'!$R51+'5C3_UnvView'!$S51)</f>
        <v>-52792</v>
      </c>
      <c r="AJ51" s="335">
        <f t="shared" si="13"/>
        <v>-129996</v>
      </c>
      <c r="AK51" s="335">
        <f t="shared" si="14"/>
        <v>29628519</v>
      </c>
      <c r="AL51" s="335">
        <f>ROUND(AK51/'8_2.1.19 SIS'!C51,0)</f>
        <v>3180</v>
      </c>
      <c r="AM51" s="1064">
        <f>'3B_Pay Raise'!O51</f>
        <v>1664816</v>
      </c>
      <c r="AN51" s="336">
        <f>'[1]LEA Summary'!$K51</f>
        <v>222</v>
      </c>
      <c r="AO51" s="334">
        <f t="shared" si="8"/>
        <v>222</v>
      </c>
      <c r="AP51" s="334">
        <f t="shared" si="9"/>
        <v>0</v>
      </c>
      <c r="AQ51" s="334">
        <f>VLOOKUP($A51,'[2]Oct_MidYear Adj'!$A$7:$N$137,10,FALSE)</f>
        <v>327540</v>
      </c>
      <c r="AR51" s="334">
        <f>VLOOKUP($A51,'[3]Feb_MidYear Adj'!$A$7:$N$137,10,FALSE)</f>
        <v>19080</v>
      </c>
      <c r="AS51" s="336">
        <f t="shared" si="10"/>
        <v>346620</v>
      </c>
      <c r="AT51" s="335">
        <f t="shared" si="11"/>
        <v>31640177</v>
      </c>
      <c r="AU51" s="334">
        <f>'4_Level 4'!E51</f>
        <v>0</v>
      </c>
      <c r="AV51" s="334">
        <f>'4_Level 4'!Q51</f>
        <v>246325</v>
      </c>
      <c r="AW51" s="335">
        <f t="shared" si="15"/>
        <v>31886502</v>
      </c>
      <c r="AX51" s="334">
        <f>('[4]2_State Distrib and Adjs'!AZ51*2)+'[5]2_State Distrib and Adjs'!AZ51+('[6]2_State Distrib and Adjs'!AZ51*3)+('[7]2_State Distrib and Adjs'!AZ51*2)</f>
        <v>21036046</v>
      </c>
      <c r="AY51" s="334">
        <f t="shared" si="12"/>
        <v>10850456</v>
      </c>
      <c r="AZ51" s="334">
        <f t="shared" si="16"/>
        <v>2712614</v>
      </c>
      <c r="BA51" s="334">
        <f>'4_Level 4'!J51</f>
        <v>0</v>
      </c>
      <c r="BB51" s="334">
        <f>'4_Level 4'!L51</f>
        <v>252327</v>
      </c>
      <c r="BC51" s="334">
        <f>'4_Level 4'!M51</f>
        <v>73985</v>
      </c>
      <c r="BD51" s="335">
        <f t="shared" si="17"/>
        <v>32212814</v>
      </c>
    </row>
    <row r="52" spans="1:56" ht="15.6" customHeight="1" x14ac:dyDescent="0.2">
      <c r="A52" s="325">
        <v>46</v>
      </c>
      <c r="B52" s="326" t="s">
        <v>50</v>
      </c>
      <c r="C52" s="33">
        <f>'3_Levels 1&amp;2'!AP52</f>
        <v>9680584</v>
      </c>
      <c r="D52" s="33">
        <v>0</v>
      </c>
      <c r="E52" s="33">
        <f>-'5C1A_Madison'!$R52</f>
        <v>0</v>
      </c>
      <c r="F52" s="33">
        <f>-'5C1B_DArbonne'!$R52</f>
        <v>0</v>
      </c>
      <c r="G52" s="33">
        <f>-'5C1C_Intl High'!$R52</f>
        <v>0</v>
      </c>
      <c r="H52" s="33">
        <f>-'5C1D_NOMMA'!$R52</f>
        <v>0</v>
      </c>
      <c r="I52" s="33">
        <f>-'5C1E_LFNO'!$R52</f>
        <v>0</v>
      </c>
      <c r="J52" s="33">
        <f>-'5C1F_L.C. Charter'!$R52</f>
        <v>0</v>
      </c>
      <c r="K52" s="33">
        <f>-'5C1G_JS Clark'!$R52</f>
        <v>0</v>
      </c>
      <c r="L52" s="33">
        <f>-'5C1H_Southwest'!$R52</f>
        <v>0</v>
      </c>
      <c r="M52" s="33">
        <f>-'5C1I_LA Key'!$R52</f>
        <v>0</v>
      </c>
      <c r="N52" s="33">
        <f>-'5C1J_JCFA-East'!$R52</f>
        <v>0</v>
      </c>
      <c r="O52" s="33">
        <f>-'5C1M_GEO Mid'!$R52</f>
        <v>0</v>
      </c>
      <c r="P52" s="33">
        <f>-'5C1N_Delta'!$R52</f>
        <v>0</v>
      </c>
      <c r="Q52" s="33">
        <f>-'5C1O_Impact'!$R52</f>
        <v>0</v>
      </c>
      <c r="R52" s="33">
        <f>-'5C1Q_Advantage'!$R52</f>
        <v>0</v>
      </c>
      <c r="S52" s="33">
        <f>-'5C1R_Iberville'!$R52</f>
        <v>0</v>
      </c>
      <c r="T52" s="33">
        <f>-'5C1S_LC Col Prep'!$R52</f>
        <v>0</v>
      </c>
      <c r="U52" s="33">
        <f>-'5C1T_Northeast'!$R52</f>
        <v>0</v>
      </c>
      <c r="V52" s="33">
        <f>-'5C1U_Acadiana Ren'!$R52</f>
        <v>0</v>
      </c>
      <c r="W52" s="33">
        <f>-'5C1V_Laf Ren'!$R52</f>
        <v>0</v>
      </c>
      <c r="X52" s="33">
        <f>-'5C1W_Willow'!$R52</f>
        <v>0</v>
      </c>
      <c r="Y52" s="33">
        <f>-'5C1Y_GEO'!$R52</f>
        <v>0</v>
      </c>
      <c r="Z52" s="33">
        <f>-'5C1Z_Lincoln Prep'!$R52</f>
        <v>0</v>
      </c>
      <c r="AA52" s="33">
        <f>-'5C1AD_Greater'!$R52</f>
        <v>0</v>
      </c>
      <c r="AB52" s="33">
        <f>-'5C1AE_Noble Minds'!$R52</f>
        <v>0</v>
      </c>
      <c r="AC52" s="33">
        <f>-'5C1AF_JCFA-Laf'!$R52</f>
        <v>0</v>
      </c>
      <c r="AD52" s="33">
        <f>-'5C1AG_Collegiate'!$R52</f>
        <v>0</v>
      </c>
      <c r="AE52" s="33">
        <f>-'5C1AH_BRUP'!$R52</f>
        <v>0</v>
      </c>
      <c r="AF52" s="33">
        <f>-'5C1AI_Harmony'!$R52</f>
        <v>0</v>
      </c>
      <c r="AG52" s="33">
        <f>-'5C1AJ_Athlos'!$R52</f>
        <v>0</v>
      </c>
      <c r="AH52" s="33">
        <f>-('5C2_LAVCA'!$R52+'5C2_LAVCA'!$S52)</f>
        <v>-62639</v>
      </c>
      <c r="AI52" s="33">
        <f>-('5C3_UnvView'!$R52+'5C3_UnvView'!$S52)</f>
        <v>-136707</v>
      </c>
      <c r="AJ52" s="32">
        <f t="shared" si="13"/>
        <v>-199346</v>
      </c>
      <c r="AK52" s="32">
        <f t="shared" si="14"/>
        <v>9481238</v>
      </c>
      <c r="AL52" s="32">
        <f>ROUND(AK52/'8_2.1.19 SIS'!C52,0)</f>
        <v>8145</v>
      </c>
      <c r="AM52" s="32">
        <f>'3B_Pay Raise'!O52</f>
        <v>154299</v>
      </c>
      <c r="AN52" s="34">
        <f>'[1]LEA Summary'!$K52</f>
        <v>-53767</v>
      </c>
      <c r="AO52" s="33">
        <f t="shared" si="8"/>
        <v>0</v>
      </c>
      <c r="AP52" s="33">
        <f t="shared" si="9"/>
        <v>-53767</v>
      </c>
      <c r="AQ52" s="33">
        <f>VLOOKUP($A52,'[2]Oct_MidYear Adj'!$A$7:$N$137,10,FALSE)</f>
        <v>-65160</v>
      </c>
      <c r="AR52" s="33">
        <f>VLOOKUP($A52,'[3]Feb_MidYear Adj'!$A$7:$N$137,10,FALSE)</f>
        <v>36653</v>
      </c>
      <c r="AS52" s="34">
        <f t="shared" si="10"/>
        <v>-28507</v>
      </c>
      <c r="AT52" s="32">
        <f t="shared" si="11"/>
        <v>9553263</v>
      </c>
      <c r="AU52" s="33">
        <f>'4_Level 4'!E52</f>
        <v>0</v>
      </c>
      <c r="AV52" s="33">
        <f>'4_Level 4'!Q52</f>
        <v>29972</v>
      </c>
      <c r="AW52" s="32">
        <f t="shared" si="15"/>
        <v>9583235</v>
      </c>
      <c r="AX52" s="33">
        <f>('[4]2_State Distrib and Adjs'!AZ52*2)+'[5]2_State Distrib and Adjs'!AZ52+('[6]2_State Distrib and Adjs'!AZ52*3)+('[7]2_State Distrib and Adjs'!AZ52*2)</f>
        <v>6409754</v>
      </c>
      <c r="AY52" s="33">
        <f t="shared" si="12"/>
        <v>3173481</v>
      </c>
      <c r="AZ52" s="33">
        <f t="shared" si="16"/>
        <v>793370</v>
      </c>
      <c r="BA52" s="33">
        <f>'4_Level 4'!J52</f>
        <v>0</v>
      </c>
      <c r="BB52" s="33">
        <f>'4_Level 4'!L52</f>
        <v>25000</v>
      </c>
      <c r="BC52" s="33">
        <f>'4_Level 4'!M52</f>
        <v>0</v>
      </c>
      <c r="BD52" s="32">
        <f t="shared" si="17"/>
        <v>9608235</v>
      </c>
    </row>
    <row r="53" spans="1:56" ht="15.6" customHeight="1" x14ac:dyDescent="0.2">
      <c r="A53" s="327">
        <v>47</v>
      </c>
      <c r="B53" s="328" t="s">
        <v>51</v>
      </c>
      <c r="C53" s="329">
        <f>'3_Levels 1&amp;2'!AP53</f>
        <v>12119846</v>
      </c>
      <c r="D53" s="329">
        <v>0</v>
      </c>
      <c r="E53" s="329">
        <f>-'5C1A_Madison'!$R53</f>
        <v>0</v>
      </c>
      <c r="F53" s="329">
        <f>-'5C1B_DArbonne'!$R53</f>
        <v>0</v>
      </c>
      <c r="G53" s="329">
        <f>-'5C1C_Intl High'!$R53</f>
        <v>0</v>
      </c>
      <c r="H53" s="329">
        <f>-'5C1D_NOMMA'!$R53</f>
        <v>0</v>
      </c>
      <c r="I53" s="329">
        <f>-'5C1E_LFNO'!$R53</f>
        <v>0</v>
      </c>
      <c r="J53" s="329">
        <f>-'5C1F_L.C. Charter'!$R53</f>
        <v>0</v>
      </c>
      <c r="K53" s="329">
        <f>-'5C1G_JS Clark'!$R53</f>
        <v>0</v>
      </c>
      <c r="L53" s="329">
        <f>-'5C1H_Southwest'!$R53</f>
        <v>0</v>
      </c>
      <c r="M53" s="329">
        <f>-'5C1I_LA Key'!$R53</f>
        <v>0</v>
      </c>
      <c r="N53" s="329">
        <f>-'5C1J_JCFA-East'!$R53</f>
        <v>0</v>
      </c>
      <c r="O53" s="329">
        <f>-'5C1M_GEO Mid'!$R53</f>
        <v>0</v>
      </c>
      <c r="P53" s="329">
        <f>-'5C1N_Delta'!$R53</f>
        <v>0</v>
      </c>
      <c r="Q53" s="329">
        <f>-'5C1O_Impact'!$R53</f>
        <v>0</v>
      </c>
      <c r="R53" s="329">
        <f>-'5C1Q_Advantage'!$R53</f>
        <v>0</v>
      </c>
      <c r="S53" s="329">
        <f>-'5C1R_Iberville'!$R53</f>
        <v>0</v>
      </c>
      <c r="T53" s="329">
        <f>-'5C1S_LC Col Prep'!$R53</f>
        <v>0</v>
      </c>
      <c r="U53" s="329">
        <f>-'5C1T_Northeast'!$R53</f>
        <v>0</v>
      </c>
      <c r="V53" s="329">
        <f>-'5C1U_Acadiana Ren'!$R53</f>
        <v>0</v>
      </c>
      <c r="W53" s="329">
        <f>-'5C1V_Laf Ren'!$R53</f>
        <v>0</v>
      </c>
      <c r="X53" s="329">
        <f>-'5C1W_Willow'!$R53</f>
        <v>0</v>
      </c>
      <c r="Y53" s="329">
        <f>-'5C1Y_GEO'!$R53</f>
        <v>0</v>
      </c>
      <c r="Z53" s="329">
        <f>-'5C1Z_Lincoln Prep'!$R53</f>
        <v>0</v>
      </c>
      <c r="AA53" s="329">
        <f>-'5C1AD_Greater'!$R53</f>
        <v>-205195</v>
      </c>
      <c r="AB53" s="329">
        <f>-'5C1AE_Noble Minds'!$R53</f>
        <v>0</v>
      </c>
      <c r="AC53" s="329">
        <f>-'5C1AF_JCFA-Laf'!$R53</f>
        <v>0</v>
      </c>
      <c r="AD53" s="329">
        <f>-'5C1AG_Collegiate'!$R53</f>
        <v>0</v>
      </c>
      <c r="AE53" s="329">
        <f>-'5C1AH_BRUP'!$R53</f>
        <v>0</v>
      </c>
      <c r="AF53" s="329">
        <f>-'5C1AI_Harmony'!$R53</f>
        <v>0</v>
      </c>
      <c r="AG53" s="329">
        <f>-'5C1AJ_Athlos'!$R53</f>
        <v>0</v>
      </c>
      <c r="AH53" s="329">
        <f>-('5C2_LAVCA'!$R53+'5C2_LAVCA'!$S53)</f>
        <v>-5994</v>
      </c>
      <c r="AI53" s="329">
        <f>-('5C3_UnvView'!$R53+'5C3_UnvView'!$S53)</f>
        <v>-21468</v>
      </c>
      <c r="AJ53" s="330">
        <f t="shared" si="13"/>
        <v>-232657</v>
      </c>
      <c r="AK53" s="330">
        <f t="shared" si="14"/>
        <v>11887189</v>
      </c>
      <c r="AL53" s="330">
        <f>ROUND(AK53/'8_2.1.19 SIS'!C53,0)</f>
        <v>3405</v>
      </c>
      <c r="AM53" s="330">
        <f>'3B_Pay Raise'!O53</f>
        <v>576531</v>
      </c>
      <c r="AN53" s="331">
        <f>'[1]LEA Summary'!$K53</f>
        <v>2063</v>
      </c>
      <c r="AO53" s="329">
        <f t="shared" si="8"/>
        <v>2063</v>
      </c>
      <c r="AP53" s="329">
        <f t="shared" si="9"/>
        <v>0</v>
      </c>
      <c r="AQ53" s="329">
        <f>VLOOKUP($A53,'[2]Oct_MidYear Adj'!$A$7:$N$137,10,FALSE)</f>
        <v>-136200</v>
      </c>
      <c r="AR53" s="329">
        <f>VLOOKUP($A53,'[3]Feb_MidYear Adj'!$A$7:$N$137,10,FALSE)</f>
        <v>-1703</v>
      </c>
      <c r="AS53" s="331">
        <f t="shared" si="10"/>
        <v>-137903</v>
      </c>
      <c r="AT53" s="330">
        <f t="shared" si="11"/>
        <v>12327880</v>
      </c>
      <c r="AU53" s="329">
        <f>'4_Level 4'!E53</f>
        <v>0</v>
      </c>
      <c r="AV53" s="329">
        <f>'4_Level 4'!Q53</f>
        <v>94990</v>
      </c>
      <c r="AW53" s="330">
        <f t="shared" si="15"/>
        <v>12422870</v>
      </c>
      <c r="AX53" s="329">
        <f>('[4]2_State Distrib and Adjs'!AZ53*2)+'[5]2_State Distrib and Adjs'!AZ53+('[6]2_State Distrib and Adjs'!AZ53*3)+('[7]2_State Distrib and Adjs'!AZ53*2)</f>
        <v>8377799</v>
      </c>
      <c r="AY53" s="329">
        <f t="shared" si="12"/>
        <v>4045071</v>
      </c>
      <c r="AZ53" s="329">
        <f t="shared" si="16"/>
        <v>1011268</v>
      </c>
      <c r="BA53" s="329">
        <f>'4_Level 4'!J53</f>
        <v>0</v>
      </c>
      <c r="BB53" s="329">
        <f>'4_Level 4'!L53</f>
        <v>168218</v>
      </c>
      <c r="BC53" s="329">
        <f>'4_Level 4'!M53</f>
        <v>60973</v>
      </c>
      <c r="BD53" s="330">
        <f t="shared" si="17"/>
        <v>12652061</v>
      </c>
    </row>
    <row r="54" spans="1:56" ht="15.6" customHeight="1" x14ac:dyDescent="0.2">
      <c r="A54" s="327">
        <v>48</v>
      </c>
      <c r="B54" s="328" t="s">
        <v>73</v>
      </c>
      <c r="C54" s="329">
        <f>'3_Levels 1&amp;2'!AP54</f>
        <v>30799796</v>
      </c>
      <c r="D54" s="329">
        <v>0</v>
      </c>
      <c r="E54" s="329">
        <f>-'5C1A_Madison'!$R54</f>
        <v>-145</v>
      </c>
      <c r="F54" s="329">
        <f>-'5C1B_DArbonne'!$R54</f>
        <v>0</v>
      </c>
      <c r="G54" s="329">
        <f>-'5C1C_Intl High'!$R54</f>
        <v>0</v>
      </c>
      <c r="H54" s="329">
        <f>-'5C1D_NOMMA'!$R54</f>
        <v>0</v>
      </c>
      <c r="I54" s="329">
        <f>-'5C1E_LFNO'!$R54</f>
        <v>-9255</v>
      </c>
      <c r="J54" s="329">
        <f>-'5C1F_L.C. Charter'!$R54</f>
        <v>0</v>
      </c>
      <c r="K54" s="329">
        <f>-'5C1G_JS Clark'!$R54</f>
        <v>0</v>
      </c>
      <c r="L54" s="329">
        <f>-'5C1H_Southwest'!$R54</f>
        <v>0</v>
      </c>
      <c r="M54" s="329">
        <f>-'5C1I_LA Key'!$R54</f>
        <v>0</v>
      </c>
      <c r="N54" s="329">
        <f>-'5C1J_JCFA-East'!$R54</f>
        <v>-13168</v>
      </c>
      <c r="O54" s="329">
        <f>-'5C1M_GEO Mid'!$R54</f>
        <v>0</v>
      </c>
      <c r="P54" s="329">
        <f>-'5C1N_Delta'!$R54</f>
        <v>0</v>
      </c>
      <c r="Q54" s="329">
        <f>-'5C1O_Impact'!$R54</f>
        <v>0</v>
      </c>
      <c r="R54" s="329">
        <f>-'5C1Q_Advantage'!$R54</f>
        <v>-35011</v>
      </c>
      <c r="S54" s="329">
        <f>-'5C1R_Iberville'!$R54</f>
        <v>0</v>
      </c>
      <c r="T54" s="329">
        <f>-'5C1S_LC Col Prep'!$R54</f>
        <v>0</v>
      </c>
      <c r="U54" s="329">
        <f>-'5C1T_Northeast'!$R54</f>
        <v>0</v>
      </c>
      <c r="V54" s="329">
        <f>-'5C1U_Acadiana Ren'!$R54</f>
        <v>0</v>
      </c>
      <c r="W54" s="329">
        <f>-'5C1V_Laf Ren'!$R54</f>
        <v>0</v>
      </c>
      <c r="X54" s="329">
        <f>-'5C1W_Willow'!$R54</f>
        <v>0</v>
      </c>
      <c r="Y54" s="329">
        <f>-'5C1Y_GEO'!$R54</f>
        <v>0</v>
      </c>
      <c r="Z54" s="329">
        <f>-'5C1Z_Lincoln Prep'!$R54</f>
        <v>0</v>
      </c>
      <c r="AA54" s="329">
        <f>-'5C1AD_Greater'!$R54</f>
        <v>-80244</v>
      </c>
      <c r="AB54" s="329">
        <f>-'5C1AE_Noble Minds'!$R54</f>
        <v>0</v>
      </c>
      <c r="AC54" s="329">
        <f>-'5C1AF_JCFA-Laf'!$R54</f>
        <v>0</v>
      </c>
      <c r="AD54" s="329">
        <f>-'5C1AG_Collegiate'!$R54</f>
        <v>0</v>
      </c>
      <c r="AE54" s="329">
        <f>-'5C1AH_BRUP'!$R54</f>
        <v>0</v>
      </c>
      <c r="AF54" s="329">
        <f>-'5C1AI_Harmony'!$R54</f>
        <v>0</v>
      </c>
      <c r="AG54" s="329">
        <f>-'5C1AJ_Athlos'!$R54</f>
        <v>0</v>
      </c>
      <c r="AH54" s="329">
        <f>-('5C2_LAVCA'!$R54+'5C2_LAVCA'!$S54)</f>
        <v>-95033</v>
      </c>
      <c r="AI54" s="329">
        <f>-('5C3_UnvView'!$R54+'5C3_UnvView'!$S54)</f>
        <v>-186027</v>
      </c>
      <c r="AJ54" s="330">
        <f t="shared" si="13"/>
        <v>-418883</v>
      </c>
      <c r="AK54" s="330">
        <f t="shared" si="14"/>
        <v>30380913</v>
      </c>
      <c r="AL54" s="330">
        <f>ROUND(AK54/'8_2.1.19 SIS'!C54,0)</f>
        <v>5280</v>
      </c>
      <c r="AM54" s="330">
        <f>'3B_Pay Raise'!O54</f>
        <v>946512</v>
      </c>
      <c r="AN54" s="331">
        <f>'[1]LEA Summary'!$K54</f>
        <v>-74842</v>
      </c>
      <c r="AO54" s="329">
        <f t="shared" si="8"/>
        <v>0</v>
      </c>
      <c r="AP54" s="329">
        <f t="shared" si="9"/>
        <v>-74842</v>
      </c>
      <c r="AQ54" s="329">
        <f>VLOOKUP($A54,'[2]Oct_MidYear Adj'!$A$7:$N$137,10,FALSE)</f>
        <v>-306240</v>
      </c>
      <c r="AR54" s="329">
        <f>VLOOKUP($A54,'[3]Feb_MidYear Adj'!$A$7:$N$137,10,FALSE)</f>
        <v>50160</v>
      </c>
      <c r="AS54" s="331">
        <f t="shared" si="10"/>
        <v>-256080</v>
      </c>
      <c r="AT54" s="330">
        <f t="shared" si="11"/>
        <v>30996503</v>
      </c>
      <c r="AU54" s="329">
        <f>'4_Level 4'!E54</f>
        <v>0</v>
      </c>
      <c r="AV54" s="329">
        <f>'4_Level 4'!Q54</f>
        <v>147205</v>
      </c>
      <c r="AW54" s="330">
        <f t="shared" si="15"/>
        <v>31143708</v>
      </c>
      <c r="AX54" s="329">
        <f>('[4]2_State Distrib and Adjs'!AZ54*2)+'[5]2_State Distrib and Adjs'!AZ54+('[6]2_State Distrib and Adjs'!AZ54*3)+('[7]2_State Distrib and Adjs'!AZ54*2)</f>
        <v>20946008</v>
      </c>
      <c r="AY54" s="329">
        <f t="shared" si="12"/>
        <v>10197700</v>
      </c>
      <c r="AZ54" s="329">
        <f t="shared" si="16"/>
        <v>2549425</v>
      </c>
      <c r="BA54" s="329">
        <f>'4_Level 4'!J54</f>
        <v>0</v>
      </c>
      <c r="BB54" s="329">
        <f>'4_Level 4'!L54</f>
        <v>131586</v>
      </c>
      <c r="BC54" s="329">
        <f>'4_Level 4'!M54</f>
        <v>0</v>
      </c>
      <c r="BD54" s="330">
        <f t="shared" si="17"/>
        <v>31275294</v>
      </c>
    </row>
    <row r="55" spans="1:56" ht="15.6" customHeight="1" x14ac:dyDescent="0.2">
      <c r="A55" s="327">
        <v>49</v>
      </c>
      <c r="B55" s="328" t="s">
        <v>52</v>
      </c>
      <c r="C55" s="329">
        <f>'3_Levels 1&amp;2'!AP55</f>
        <v>78887732</v>
      </c>
      <c r="D55" s="329">
        <v>0</v>
      </c>
      <c r="E55" s="329">
        <f>-'5C1A_Madison'!$R55</f>
        <v>0</v>
      </c>
      <c r="F55" s="329">
        <f>-'5C1B_DArbonne'!$R55</f>
        <v>0</v>
      </c>
      <c r="G55" s="329">
        <f>-'5C1C_Intl High'!$R55</f>
        <v>0</v>
      </c>
      <c r="H55" s="329">
        <f>-'5C1D_NOMMA'!$R55</f>
        <v>0</v>
      </c>
      <c r="I55" s="329">
        <f>-'5C1E_LFNO'!$R55</f>
        <v>0</v>
      </c>
      <c r="J55" s="329">
        <f>-'5C1F_L.C. Charter'!$R55</f>
        <v>0</v>
      </c>
      <c r="K55" s="329">
        <f>-'5C1G_JS Clark'!$R55</f>
        <v>-1242276</v>
      </c>
      <c r="L55" s="329">
        <f>-'5C1H_Southwest'!$R55</f>
        <v>0</v>
      </c>
      <c r="M55" s="329">
        <f>-'5C1I_LA Key'!$R55</f>
        <v>-5227</v>
      </c>
      <c r="N55" s="329">
        <f>-'5C1J_JCFA-East'!$R55</f>
        <v>0</v>
      </c>
      <c r="O55" s="329">
        <f>-'5C1M_GEO Mid'!$R55</f>
        <v>0</v>
      </c>
      <c r="P55" s="329">
        <f>-'5C1N_Delta'!$R55</f>
        <v>0</v>
      </c>
      <c r="Q55" s="329">
        <f>-'5C1O_Impact'!$R55</f>
        <v>0</v>
      </c>
      <c r="R55" s="329">
        <f>-'5C1Q_Advantage'!$R55</f>
        <v>0</v>
      </c>
      <c r="S55" s="329">
        <f>-'5C1R_Iberville'!$R55</f>
        <v>0</v>
      </c>
      <c r="T55" s="329">
        <f>-'5C1S_LC Col Prep'!$R55</f>
        <v>0</v>
      </c>
      <c r="U55" s="329">
        <f>-'5C1T_Northeast'!$R55</f>
        <v>0</v>
      </c>
      <c r="V55" s="329">
        <f>-'5C1U_Acadiana Ren'!$R55</f>
        <v>-4742</v>
      </c>
      <c r="W55" s="329">
        <f>-'5C1V_Laf Ren'!$R55</f>
        <v>-496350</v>
      </c>
      <c r="X55" s="329">
        <f>-'5C1W_Willow'!$R55</f>
        <v>-164402</v>
      </c>
      <c r="Y55" s="329">
        <f>-'5C1Y_GEO'!$R55</f>
        <v>0</v>
      </c>
      <c r="Z55" s="329">
        <f>-'5C1Z_Lincoln Prep'!$R55</f>
        <v>0</v>
      </c>
      <c r="AA55" s="329">
        <f>-'5C1AD_Greater'!$R55</f>
        <v>0</v>
      </c>
      <c r="AB55" s="329">
        <f>-'5C1AE_Noble Minds'!$R55</f>
        <v>0</v>
      </c>
      <c r="AC55" s="329">
        <f>-'5C1AF_JCFA-Laf'!$R55</f>
        <v>-10454</v>
      </c>
      <c r="AD55" s="329">
        <f>-'5C1AG_Collegiate'!$R55</f>
        <v>0</v>
      </c>
      <c r="AE55" s="329">
        <f>-'5C1AH_BRUP'!$R55</f>
        <v>0</v>
      </c>
      <c r="AF55" s="329">
        <f>-'5C1AI_Harmony'!$R55</f>
        <v>0</v>
      </c>
      <c r="AG55" s="329">
        <f>-'5C1AJ_Athlos'!$R55</f>
        <v>0</v>
      </c>
      <c r="AH55" s="329">
        <f>-('5C2_LAVCA'!$R55+'5C2_LAVCA'!$S55)</f>
        <v>-326703</v>
      </c>
      <c r="AI55" s="329">
        <f>-('5C3_UnvView'!$R55+'5C3_UnvView'!$S55)</f>
        <v>-301038</v>
      </c>
      <c r="AJ55" s="330">
        <f t="shared" si="13"/>
        <v>-2551192</v>
      </c>
      <c r="AK55" s="330">
        <f t="shared" si="14"/>
        <v>76336540</v>
      </c>
      <c r="AL55" s="330">
        <f>ROUND(AK55/'8_2.1.19 SIS'!C55,0)</f>
        <v>5940</v>
      </c>
      <c r="AM55" s="330">
        <f>'3B_Pay Raise'!O55</f>
        <v>1867419</v>
      </c>
      <c r="AN55" s="331">
        <f>'[1]LEA Summary'!$K55</f>
        <v>-48853</v>
      </c>
      <c r="AO55" s="329">
        <f t="shared" si="8"/>
        <v>0</v>
      </c>
      <c r="AP55" s="329">
        <f t="shared" si="9"/>
        <v>-48853</v>
      </c>
      <c r="AQ55" s="329">
        <f>VLOOKUP($A55,'[2]Oct_MidYear Adj'!$A$7:$N$137,10,FALSE)</f>
        <v>-1912680</v>
      </c>
      <c r="AR55" s="329">
        <f>VLOOKUP($A55,'[3]Feb_MidYear Adj'!$A$7:$N$137,10,FALSE)</f>
        <v>-228690</v>
      </c>
      <c r="AS55" s="331">
        <f t="shared" si="10"/>
        <v>-2141370</v>
      </c>
      <c r="AT55" s="330">
        <f t="shared" si="11"/>
        <v>76013736</v>
      </c>
      <c r="AU55" s="329">
        <f>'4_Level 4'!E55</f>
        <v>0</v>
      </c>
      <c r="AV55" s="329">
        <f>'4_Level 4'!Q55</f>
        <v>319780</v>
      </c>
      <c r="AW55" s="330">
        <f t="shared" si="15"/>
        <v>76333516</v>
      </c>
      <c r="AX55" s="329">
        <f>('[4]2_State Distrib and Adjs'!AZ55*2)+'[5]2_State Distrib and Adjs'!AZ55+('[6]2_State Distrib and Adjs'!AZ55*3)+('[7]2_State Distrib and Adjs'!AZ55*2)</f>
        <v>52340172</v>
      </c>
      <c r="AY55" s="329">
        <f t="shared" si="12"/>
        <v>23993344</v>
      </c>
      <c r="AZ55" s="329">
        <f t="shared" si="16"/>
        <v>5998336</v>
      </c>
      <c r="BA55" s="329">
        <f>'4_Level 4'!J55</f>
        <v>0</v>
      </c>
      <c r="BB55" s="329">
        <f>'4_Level 4'!L55</f>
        <v>707335</v>
      </c>
      <c r="BC55" s="329">
        <f>'4_Level 4'!M55</f>
        <v>67035</v>
      </c>
      <c r="BD55" s="330">
        <f t="shared" si="17"/>
        <v>77107886</v>
      </c>
    </row>
    <row r="56" spans="1:56" ht="15.6" customHeight="1" x14ac:dyDescent="0.2">
      <c r="A56" s="332">
        <v>50</v>
      </c>
      <c r="B56" s="333" t="s">
        <v>53</v>
      </c>
      <c r="C56" s="334">
        <f>'3_Levels 1&amp;2'!AP56</f>
        <v>44025455</v>
      </c>
      <c r="D56" s="334">
        <v>0</v>
      </c>
      <c r="E56" s="334">
        <f>-'5C1A_Madison'!$R56</f>
        <v>0</v>
      </c>
      <c r="F56" s="334">
        <f>-'5C1B_DArbonne'!$R56</f>
        <v>0</v>
      </c>
      <c r="G56" s="334">
        <f>-'5C1C_Intl High'!$R56</f>
        <v>0</v>
      </c>
      <c r="H56" s="334">
        <f>-'5C1D_NOMMA'!$R56</f>
        <v>0</v>
      </c>
      <c r="I56" s="334">
        <f>-'5C1E_LFNO'!$R56</f>
        <v>0</v>
      </c>
      <c r="J56" s="334">
        <f>-'5C1F_L.C. Charter'!$R56</f>
        <v>0</v>
      </c>
      <c r="K56" s="334">
        <f>-'5C1G_JS Clark'!$R56</f>
        <v>0</v>
      </c>
      <c r="L56" s="334">
        <f>-'5C1H_Southwest'!$R56</f>
        <v>0</v>
      </c>
      <c r="M56" s="334">
        <f>-'5C1I_LA Key'!$R56</f>
        <v>0</v>
      </c>
      <c r="N56" s="334">
        <f>-'5C1J_JCFA-East'!$R56</f>
        <v>0</v>
      </c>
      <c r="O56" s="334">
        <f>-'5C1M_GEO Mid'!$R56</f>
        <v>0</v>
      </c>
      <c r="P56" s="334">
        <f>-'5C1N_Delta'!$R56</f>
        <v>0</v>
      </c>
      <c r="Q56" s="334">
        <f>-'5C1O_Impact'!$R56</f>
        <v>0</v>
      </c>
      <c r="R56" s="334">
        <f>-'5C1Q_Advantage'!$R56</f>
        <v>0</v>
      </c>
      <c r="S56" s="334">
        <f>-'5C1R_Iberville'!$R56</f>
        <v>0</v>
      </c>
      <c r="T56" s="334">
        <f>-'5C1S_LC Col Prep'!$R56</f>
        <v>0</v>
      </c>
      <c r="U56" s="334">
        <f>-'5C1T_Northeast'!$R56</f>
        <v>0</v>
      </c>
      <c r="V56" s="334">
        <f>-'5C1U_Acadiana Ren'!$R56</f>
        <v>-233803</v>
      </c>
      <c r="W56" s="334">
        <f>-'5C1V_Laf Ren'!$R56</f>
        <v>-242253</v>
      </c>
      <c r="X56" s="334">
        <f>-'5C1W_Willow'!$R56</f>
        <v>-185541</v>
      </c>
      <c r="Y56" s="334">
        <f>-'5C1Y_GEO'!$R56</f>
        <v>0</v>
      </c>
      <c r="Z56" s="334">
        <f>-'5C1Z_Lincoln Prep'!$R56</f>
        <v>0</v>
      </c>
      <c r="AA56" s="334">
        <f>-'5C1AD_Greater'!$R56</f>
        <v>0</v>
      </c>
      <c r="AB56" s="610">
        <f>-'5C1AE_Noble Minds'!$R56</f>
        <v>0</v>
      </c>
      <c r="AC56" s="610">
        <f>-'5C1AF_JCFA-Laf'!$R56</f>
        <v>-9666</v>
      </c>
      <c r="AD56" s="610">
        <f>-'5C1AG_Collegiate'!$R56</f>
        <v>0</v>
      </c>
      <c r="AE56" s="334">
        <f>-'5C1AH_BRUP'!$R56</f>
        <v>0</v>
      </c>
      <c r="AF56" s="881">
        <f>-'5C1AI_Harmony'!$R56</f>
        <v>0</v>
      </c>
      <c r="AG56" s="881">
        <f>-'5C1AJ_Athlos'!$R56</f>
        <v>0</v>
      </c>
      <c r="AH56" s="334">
        <f>-('5C2_LAVCA'!$R56+'5C2_LAVCA'!$S56)</f>
        <v>-218626</v>
      </c>
      <c r="AI56" s="334">
        <f>-('5C3_UnvView'!$R56+'5C3_UnvView'!$S56)</f>
        <v>-105561</v>
      </c>
      <c r="AJ56" s="335">
        <f t="shared" si="13"/>
        <v>-995450</v>
      </c>
      <c r="AK56" s="335">
        <f t="shared" si="14"/>
        <v>43030005</v>
      </c>
      <c r="AL56" s="335">
        <f>ROUND(AK56/'8_2.1.19 SIS'!C56,0)</f>
        <v>5825</v>
      </c>
      <c r="AM56" s="1064">
        <f>'3B_Pay Raise'!O56</f>
        <v>982696</v>
      </c>
      <c r="AN56" s="336">
        <f>'[1]LEA Summary'!$K56</f>
        <v>858</v>
      </c>
      <c r="AO56" s="334">
        <f t="shared" si="8"/>
        <v>858</v>
      </c>
      <c r="AP56" s="334">
        <f t="shared" si="9"/>
        <v>0</v>
      </c>
      <c r="AQ56" s="334">
        <f>VLOOKUP($A56,'[2]Oct_MidYear Adj'!$A$7:$N$137,10,FALSE)</f>
        <v>-337850</v>
      </c>
      <c r="AR56" s="334">
        <f>VLOOKUP($A56,'[3]Feb_MidYear Adj'!$A$7:$N$137,10,FALSE)</f>
        <v>-270863</v>
      </c>
      <c r="AS56" s="336">
        <f t="shared" si="10"/>
        <v>-608713</v>
      </c>
      <c r="AT56" s="335">
        <f t="shared" si="11"/>
        <v>43404846</v>
      </c>
      <c r="AU56" s="334">
        <f>'4_Level 4'!E56</f>
        <v>189000</v>
      </c>
      <c r="AV56" s="334">
        <f>'4_Level 4'!Q56</f>
        <v>190688</v>
      </c>
      <c r="AW56" s="335">
        <f t="shared" si="15"/>
        <v>43784534</v>
      </c>
      <c r="AX56" s="334">
        <f>('[4]2_State Distrib and Adjs'!AZ56*2)+'[5]2_State Distrib and Adjs'!AZ56+('[6]2_State Distrib and Adjs'!AZ56*3)+('[7]2_State Distrib and Adjs'!AZ56*2)</f>
        <v>29613250</v>
      </c>
      <c r="AY56" s="334">
        <f t="shared" si="12"/>
        <v>14171284</v>
      </c>
      <c r="AZ56" s="334">
        <f t="shared" si="16"/>
        <v>3542821</v>
      </c>
      <c r="BA56" s="334">
        <f>'4_Level 4'!J56</f>
        <v>6000</v>
      </c>
      <c r="BB56" s="334">
        <f>'4_Level 4'!L56</f>
        <v>199307</v>
      </c>
      <c r="BC56" s="334">
        <f>'4_Level 4'!M56</f>
        <v>0</v>
      </c>
      <c r="BD56" s="335">
        <f t="shared" si="17"/>
        <v>43989841</v>
      </c>
    </row>
    <row r="57" spans="1:56" ht="15.6" customHeight="1" x14ac:dyDescent="0.2">
      <c r="A57" s="325">
        <v>51</v>
      </c>
      <c r="B57" s="326" t="s">
        <v>54</v>
      </c>
      <c r="C57" s="33">
        <f>'3_Levels 1&amp;2'!AP57</f>
        <v>49364794</v>
      </c>
      <c r="D57" s="33">
        <v>0</v>
      </c>
      <c r="E57" s="33">
        <f>-'5C1A_Madison'!$R57</f>
        <v>0</v>
      </c>
      <c r="F57" s="33">
        <f>-'5C1B_DArbonne'!$R57</f>
        <v>0</v>
      </c>
      <c r="G57" s="33">
        <f>-'5C1C_Intl High'!$R57</f>
        <v>0</v>
      </c>
      <c r="H57" s="33">
        <f>-'5C1D_NOMMA'!$R57</f>
        <v>0</v>
      </c>
      <c r="I57" s="33">
        <f>-'5C1E_LFNO'!$R57</f>
        <v>0</v>
      </c>
      <c r="J57" s="33">
        <f>-'5C1F_L.C. Charter'!$R57</f>
        <v>0</v>
      </c>
      <c r="K57" s="33">
        <f>-'5C1G_JS Clark'!$R57</f>
        <v>0</v>
      </c>
      <c r="L57" s="33">
        <f>-'5C1H_Southwest'!$R57</f>
        <v>0</v>
      </c>
      <c r="M57" s="33">
        <f>-'5C1I_LA Key'!$R57</f>
        <v>0</v>
      </c>
      <c r="N57" s="33">
        <f>-'5C1J_JCFA-East'!$R57</f>
        <v>0</v>
      </c>
      <c r="O57" s="33">
        <f>-'5C1M_GEO Mid'!$R57</f>
        <v>0</v>
      </c>
      <c r="P57" s="33">
        <f>-'5C1N_Delta'!$R57</f>
        <v>0</v>
      </c>
      <c r="Q57" s="33">
        <f>-'5C1O_Impact'!$R57</f>
        <v>0</v>
      </c>
      <c r="R57" s="33">
        <f>-'5C1Q_Advantage'!$R57</f>
        <v>0</v>
      </c>
      <c r="S57" s="33">
        <f>-'5C1R_Iberville'!$R57</f>
        <v>0</v>
      </c>
      <c r="T57" s="33">
        <f>-'5C1S_LC Col Prep'!$R57</f>
        <v>0</v>
      </c>
      <c r="U57" s="33">
        <f>-'5C1T_Northeast'!$R57</f>
        <v>0</v>
      </c>
      <c r="V57" s="33">
        <f>-'5C1U_Acadiana Ren'!$R57</f>
        <v>0</v>
      </c>
      <c r="W57" s="33">
        <f>-'5C1V_Laf Ren'!$R57</f>
        <v>0</v>
      </c>
      <c r="X57" s="33">
        <f>-'5C1W_Willow'!$R57</f>
        <v>0</v>
      </c>
      <c r="Y57" s="33">
        <f>-'5C1Y_GEO'!$R57</f>
        <v>0</v>
      </c>
      <c r="Z57" s="33">
        <f>-'5C1Z_Lincoln Prep'!$R57</f>
        <v>0</v>
      </c>
      <c r="AA57" s="33">
        <f>-'5C1AD_Greater'!$R57</f>
        <v>0</v>
      </c>
      <c r="AB57" s="33">
        <f>-'5C1AE_Noble Minds'!$R57</f>
        <v>0</v>
      </c>
      <c r="AC57" s="33">
        <f>-'5C1AF_JCFA-Laf'!$R57</f>
        <v>-4612</v>
      </c>
      <c r="AD57" s="33">
        <f>-'5C1AG_Collegiate'!$R57</f>
        <v>0</v>
      </c>
      <c r="AE57" s="33">
        <f>-'5C1AH_BRUP'!$R57</f>
        <v>0</v>
      </c>
      <c r="AF57" s="33">
        <f>-'5C1AI_Harmony'!$R57</f>
        <v>0</v>
      </c>
      <c r="AG57" s="33">
        <f>-'5C1AJ_Athlos'!$R57</f>
        <v>0</v>
      </c>
      <c r="AH57" s="33">
        <f>-('5C2_LAVCA'!$R57+'5C2_LAVCA'!$S57)</f>
        <v>-77964</v>
      </c>
      <c r="AI57" s="33">
        <f>-('5C3_UnvView'!$R57+'5C3_UnvView'!$S57)</f>
        <v>-103471</v>
      </c>
      <c r="AJ57" s="32">
        <f t="shared" si="13"/>
        <v>-186047</v>
      </c>
      <c r="AK57" s="32">
        <f t="shared" si="14"/>
        <v>49178747</v>
      </c>
      <c r="AL57" s="32">
        <f>ROUND(AK57/'8_2.1.19 SIS'!C57,0)</f>
        <v>5972</v>
      </c>
      <c r="AM57" s="32">
        <f>'3B_Pay Raise'!O57</f>
        <v>1245503</v>
      </c>
      <c r="AN57" s="34">
        <f>'[1]LEA Summary'!$K57</f>
        <v>-12541</v>
      </c>
      <c r="AO57" s="33">
        <f t="shared" si="8"/>
        <v>0</v>
      </c>
      <c r="AP57" s="33">
        <f t="shared" si="9"/>
        <v>-12541</v>
      </c>
      <c r="AQ57" s="33">
        <f>VLOOKUP($A57,'[2]Oct_MidYear Adj'!$A$7:$N$137,10,FALSE)</f>
        <v>-370264</v>
      </c>
      <c r="AR57" s="33">
        <f>VLOOKUP($A57,'[3]Feb_MidYear Adj'!$A$7:$N$137,10,FALSE)</f>
        <v>-83608</v>
      </c>
      <c r="AS57" s="34">
        <f t="shared" si="10"/>
        <v>-453872</v>
      </c>
      <c r="AT57" s="32">
        <f t="shared" si="11"/>
        <v>49957837</v>
      </c>
      <c r="AU57" s="33">
        <f>'4_Level 4'!E57</f>
        <v>0</v>
      </c>
      <c r="AV57" s="33">
        <f>'4_Level 4'!Q57</f>
        <v>223079</v>
      </c>
      <c r="AW57" s="32">
        <f t="shared" si="15"/>
        <v>50180916</v>
      </c>
      <c r="AX57" s="33">
        <f>('[4]2_State Distrib and Adjs'!AZ57*2)+'[5]2_State Distrib and Adjs'!AZ57+('[6]2_State Distrib and Adjs'!AZ57*3)+('[7]2_State Distrib and Adjs'!AZ57*2)</f>
        <v>33735390</v>
      </c>
      <c r="AY57" s="33">
        <f t="shared" si="12"/>
        <v>16445526</v>
      </c>
      <c r="AZ57" s="33">
        <f t="shared" si="16"/>
        <v>4111382</v>
      </c>
      <c r="BA57" s="33">
        <f>'4_Level 4'!J57</f>
        <v>0</v>
      </c>
      <c r="BB57" s="33">
        <f>'4_Level 4'!L57</f>
        <v>274499</v>
      </c>
      <c r="BC57" s="33">
        <f>'4_Level 4'!M57</f>
        <v>12888</v>
      </c>
      <c r="BD57" s="32">
        <f t="shared" si="17"/>
        <v>50468303</v>
      </c>
    </row>
    <row r="58" spans="1:56" ht="15.6" customHeight="1" x14ac:dyDescent="0.2">
      <c r="A58" s="327">
        <v>52</v>
      </c>
      <c r="B58" s="328" t="s">
        <v>55</v>
      </c>
      <c r="C58" s="329">
        <f>'3_Levels 1&amp;2'!AP58</f>
        <v>220189631</v>
      </c>
      <c r="D58" s="329">
        <v>0</v>
      </c>
      <c r="E58" s="329">
        <f>-'5C1A_Madison'!$R58</f>
        <v>0</v>
      </c>
      <c r="F58" s="329">
        <f>-'5C1B_DArbonne'!$R58</f>
        <v>0</v>
      </c>
      <c r="G58" s="329">
        <f>-'5C1C_Intl High'!$R58</f>
        <v>-13626</v>
      </c>
      <c r="H58" s="329">
        <f>-'5C1D_NOMMA'!$R58</f>
        <v>-14191</v>
      </c>
      <c r="I58" s="329">
        <f>-'5C1E_LFNO'!$R58</f>
        <v>-41952</v>
      </c>
      <c r="J58" s="329">
        <f>-'5C1F_L.C. Charter'!$R58</f>
        <v>0</v>
      </c>
      <c r="K58" s="329">
        <f>-'5C1G_JS Clark'!$R58</f>
        <v>0</v>
      </c>
      <c r="L58" s="329">
        <f>-'5C1H_Southwest'!$R58</f>
        <v>0</v>
      </c>
      <c r="M58" s="329">
        <f>-'5C1I_LA Key'!$R58</f>
        <v>-4542</v>
      </c>
      <c r="N58" s="329">
        <f>-'5C1J_JCFA-East'!$R58</f>
        <v>-13858</v>
      </c>
      <c r="O58" s="329">
        <f>-'5C1M_GEO Mid'!$R58</f>
        <v>0</v>
      </c>
      <c r="P58" s="329">
        <f>-'5C1N_Delta'!$R58</f>
        <v>0</v>
      </c>
      <c r="Q58" s="329">
        <f>-'5C1O_Impact'!$R58</f>
        <v>0</v>
      </c>
      <c r="R58" s="329">
        <f>-'5C1Q_Advantage'!$R58</f>
        <v>0</v>
      </c>
      <c r="S58" s="329">
        <f>-'5C1R_Iberville'!$R58</f>
        <v>0</v>
      </c>
      <c r="T58" s="329">
        <f>-'5C1S_LC Col Prep'!$R58</f>
        <v>0</v>
      </c>
      <c r="U58" s="329">
        <f>-'5C1T_Northeast'!$R58</f>
        <v>0</v>
      </c>
      <c r="V58" s="329">
        <f>-'5C1U_Acadiana Ren'!$R58</f>
        <v>0</v>
      </c>
      <c r="W58" s="329">
        <f>-'5C1V_Laf Ren'!$R58</f>
        <v>0</v>
      </c>
      <c r="X58" s="329">
        <f>-'5C1W_Willow'!$R58</f>
        <v>0</v>
      </c>
      <c r="Y58" s="329">
        <f>-'5C1Y_GEO'!$R58</f>
        <v>0</v>
      </c>
      <c r="Z58" s="329">
        <f>-'5C1Z_Lincoln Prep'!$R58</f>
        <v>0</v>
      </c>
      <c r="AA58" s="329">
        <f>-'5C1AD_Greater'!$R58</f>
        <v>0</v>
      </c>
      <c r="AB58" s="329">
        <f>-'5C1AE_Noble Minds'!$R58</f>
        <v>0</v>
      </c>
      <c r="AC58" s="329">
        <f>-'5C1AF_JCFA-Laf'!$R58</f>
        <v>0</v>
      </c>
      <c r="AD58" s="329">
        <f>-'5C1AG_Collegiate'!$R58</f>
        <v>0</v>
      </c>
      <c r="AE58" s="329">
        <f>-'5C1AH_BRUP'!$R58</f>
        <v>0</v>
      </c>
      <c r="AF58" s="329">
        <f>-'5C1AI_Harmony'!$R58</f>
        <v>0</v>
      </c>
      <c r="AG58" s="329">
        <f>-'5C1AJ_Athlos'!$R58</f>
        <v>0</v>
      </c>
      <c r="AH58" s="329">
        <f>-('5C2_LAVCA'!$R58+'5C2_LAVCA'!$S58)</f>
        <v>-577880</v>
      </c>
      <c r="AI58" s="329">
        <f>-('5C3_UnvView'!$R58+'5C3_UnvView'!$S58)</f>
        <v>-1342974</v>
      </c>
      <c r="AJ58" s="330">
        <f t="shared" si="13"/>
        <v>-2009023</v>
      </c>
      <c r="AK58" s="330">
        <f t="shared" si="14"/>
        <v>218180608</v>
      </c>
      <c r="AL58" s="330">
        <f>ROUND(AK58/'8_2.1.19 SIS'!C58,0)</f>
        <v>5841</v>
      </c>
      <c r="AM58" s="330">
        <f>'3B_Pay Raise'!O58</f>
        <v>5749588</v>
      </c>
      <c r="AN58" s="331">
        <f>'[1]LEA Summary'!$K58</f>
        <v>29956</v>
      </c>
      <c r="AO58" s="329">
        <f t="shared" si="8"/>
        <v>29956</v>
      </c>
      <c r="AP58" s="329">
        <f t="shared" si="9"/>
        <v>0</v>
      </c>
      <c r="AQ58" s="329">
        <f>VLOOKUP($A58,'[2]Oct_MidYear Adj'!$A$7:$N$137,10,FALSE)</f>
        <v>1910007</v>
      </c>
      <c r="AR58" s="329">
        <f>VLOOKUP($A58,'[3]Feb_MidYear Adj'!$A$7:$N$137,10,FALSE)</f>
        <v>-230720</v>
      </c>
      <c r="AS58" s="331">
        <f t="shared" si="10"/>
        <v>1679287</v>
      </c>
      <c r="AT58" s="330">
        <f t="shared" si="11"/>
        <v>225639439</v>
      </c>
      <c r="AU58" s="329">
        <f>'4_Level 4'!E58</f>
        <v>0</v>
      </c>
      <c r="AV58" s="329">
        <f>'4_Level 4'!Q58</f>
        <v>988309</v>
      </c>
      <c r="AW58" s="330">
        <f t="shared" si="15"/>
        <v>226627748</v>
      </c>
      <c r="AX58" s="329">
        <f>('[4]2_State Distrib and Adjs'!AZ58*2)+'[5]2_State Distrib and Adjs'!AZ58+('[6]2_State Distrib and Adjs'!AZ58*3)+('[7]2_State Distrib and Adjs'!AZ58*2)</f>
        <v>149944672</v>
      </c>
      <c r="AY58" s="329">
        <f t="shared" si="12"/>
        <v>76683076</v>
      </c>
      <c r="AZ58" s="329">
        <f t="shared" si="16"/>
        <v>19170769</v>
      </c>
      <c r="BA58" s="329">
        <f>'4_Level 4'!J58</f>
        <v>0</v>
      </c>
      <c r="BB58" s="329">
        <f>'4_Level 4'!L58</f>
        <v>672631</v>
      </c>
      <c r="BC58" s="329">
        <f>'4_Level 4'!M58</f>
        <v>1426270</v>
      </c>
      <c r="BD58" s="330">
        <f t="shared" si="17"/>
        <v>228726649</v>
      </c>
    </row>
    <row r="59" spans="1:56" ht="15.6" customHeight="1" x14ac:dyDescent="0.2">
      <c r="A59" s="327">
        <v>53</v>
      </c>
      <c r="B59" s="328" t="s">
        <v>56</v>
      </c>
      <c r="C59" s="329">
        <f>'3_Levels 1&amp;2'!AP59</f>
        <v>116529844</v>
      </c>
      <c r="D59" s="329">
        <v>0</v>
      </c>
      <c r="E59" s="329">
        <f>-'5C1A_Madison'!$R59</f>
        <v>-5120</v>
      </c>
      <c r="F59" s="329">
        <f>-'5C1B_DArbonne'!$R59</f>
        <v>0</v>
      </c>
      <c r="G59" s="329">
        <f>-'5C1C_Intl High'!$R59</f>
        <v>0</v>
      </c>
      <c r="H59" s="329">
        <f>-'5C1D_NOMMA'!$R59</f>
        <v>0</v>
      </c>
      <c r="I59" s="329">
        <f>-'5C1E_LFNO'!$R59</f>
        <v>0</v>
      </c>
      <c r="J59" s="329">
        <f>-'5C1F_L.C. Charter'!$R59</f>
        <v>0</v>
      </c>
      <c r="K59" s="329">
        <f>-'5C1G_JS Clark'!$R59</f>
        <v>0</v>
      </c>
      <c r="L59" s="329">
        <f>-'5C1H_Southwest'!$R59</f>
        <v>0</v>
      </c>
      <c r="M59" s="329">
        <f>-'5C1I_LA Key'!$R59</f>
        <v>-9375</v>
      </c>
      <c r="N59" s="329">
        <f>-'5C1J_JCFA-East'!$R59</f>
        <v>0</v>
      </c>
      <c r="O59" s="329">
        <f>-'5C1M_GEO Mid'!$R59</f>
        <v>0</v>
      </c>
      <c r="P59" s="329">
        <f>-'5C1N_Delta'!$R59</f>
        <v>0</v>
      </c>
      <c r="Q59" s="329">
        <f>-'5C1O_Impact'!$R59</f>
        <v>0</v>
      </c>
      <c r="R59" s="329">
        <f>-'5C1Q_Advantage'!$R59</f>
        <v>0</v>
      </c>
      <c r="S59" s="329">
        <f>-'5C1R_Iberville'!$R59</f>
        <v>0</v>
      </c>
      <c r="T59" s="329">
        <f>-'5C1S_LC Col Prep'!$R59</f>
        <v>0</v>
      </c>
      <c r="U59" s="329">
        <f>-'5C1T_Northeast'!$R59</f>
        <v>0</v>
      </c>
      <c r="V59" s="329">
        <f>-'5C1U_Acadiana Ren'!$R59</f>
        <v>0</v>
      </c>
      <c r="W59" s="329">
        <f>-'5C1V_Laf Ren'!$R59</f>
        <v>0</v>
      </c>
      <c r="X59" s="329">
        <f>-'5C1W_Willow'!$R59</f>
        <v>0</v>
      </c>
      <c r="Y59" s="329">
        <f>-'5C1Y_GEO'!$R59</f>
        <v>0</v>
      </c>
      <c r="Z59" s="329">
        <f>-'5C1Z_Lincoln Prep'!$R59</f>
        <v>0</v>
      </c>
      <c r="AA59" s="329">
        <f>-'5C1AD_Greater'!$R59</f>
        <v>0</v>
      </c>
      <c r="AB59" s="329">
        <f>-'5C1AE_Noble Minds'!$R59</f>
        <v>0</v>
      </c>
      <c r="AC59" s="329">
        <f>-'5C1AF_JCFA-Laf'!$R59</f>
        <v>0</v>
      </c>
      <c r="AD59" s="329">
        <f>-'5C1AG_Collegiate'!$R59</f>
        <v>0</v>
      </c>
      <c r="AE59" s="329">
        <f>-'5C1AH_BRUP'!$R59</f>
        <v>0</v>
      </c>
      <c r="AF59" s="329">
        <f>-'5C1AI_Harmony'!$R59</f>
        <v>0</v>
      </c>
      <c r="AG59" s="329">
        <f>-'5C1AJ_Athlos'!$R59</f>
        <v>0</v>
      </c>
      <c r="AH59" s="329">
        <f>-('5C2_LAVCA'!$R59+'5C2_LAVCA'!$S59)</f>
        <v>-448201</v>
      </c>
      <c r="AI59" s="329">
        <f>-('5C3_UnvView'!$R59+'5C3_UnvView'!$S59)</f>
        <v>-1005408</v>
      </c>
      <c r="AJ59" s="330">
        <f t="shared" si="13"/>
        <v>-1468104</v>
      </c>
      <c r="AK59" s="330">
        <f t="shared" si="14"/>
        <v>115061740</v>
      </c>
      <c r="AL59" s="330">
        <f>ROUND(AK59/'8_2.1.19 SIS'!C59,0)</f>
        <v>5983</v>
      </c>
      <c r="AM59" s="330">
        <f>'3B_Pay Raise'!O59</f>
        <v>2672960</v>
      </c>
      <c r="AN59" s="331">
        <f>'[1]LEA Summary'!$K59</f>
        <v>26341</v>
      </c>
      <c r="AO59" s="329">
        <f t="shared" si="8"/>
        <v>26341</v>
      </c>
      <c r="AP59" s="329">
        <f t="shared" si="9"/>
        <v>0</v>
      </c>
      <c r="AQ59" s="329">
        <f>VLOOKUP($A59,'[2]Oct_MidYear Adj'!$A$7:$N$137,10,FALSE)</f>
        <v>-909416</v>
      </c>
      <c r="AR59" s="329">
        <f>VLOOKUP($A59,'[3]Feb_MidYear Adj'!$A$7:$N$137,10,FALSE)</f>
        <v>-176499</v>
      </c>
      <c r="AS59" s="331">
        <f t="shared" si="10"/>
        <v>-1085915</v>
      </c>
      <c r="AT59" s="330">
        <f t="shared" si="11"/>
        <v>116675126</v>
      </c>
      <c r="AU59" s="329">
        <f>'4_Level 4'!E59</f>
        <v>0</v>
      </c>
      <c r="AV59" s="329">
        <f>'4_Level 4'!Q59</f>
        <v>517194</v>
      </c>
      <c r="AW59" s="330">
        <f t="shared" si="15"/>
        <v>117192320</v>
      </c>
      <c r="AX59" s="329">
        <f>('[4]2_State Distrib and Adjs'!AZ59*2)+'[5]2_State Distrib and Adjs'!AZ59+('[6]2_State Distrib and Adjs'!AZ59*3)+('[7]2_State Distrib and Adjs'!AZ59*2)</f>
        <v>78865466</v>
      </c>
      <c r="AY59" s="329">
        <f t="shared" si="12"/>
        <v>38326854</v>
      </c>
      <c r="AZ59" s="329">
        <f t="shared" si="16"/>
        <v>9581714</v>
      </c>
      <c r="BA59" s="329">
        <f>'4_Level 4'!J59</f>
        <v>0</v>
      </c>
      <c r="BB59" s="329">
        <f>'4_Level 4'!L59</f>
        <v>398373</v>
      </c>
      <c r="BC59" s="329">
        <f>'4_Level 4'!M59</f>
        <v>0</v>
      </c>
      <c r="BD59" s="330">
        <f t="shared" si="17"/>
        <v>117590693</v>
      </c>
    </row>
    <row r="60" spans="1:56" ht="15.6" customHeight="1" x14ac:dyDescent="0.2">
      <c r="A60" s="327">
        <v>54</v>
      </c>
      <c r="B60" s="328" t="s">
        <v>57</v>
      </c>
      <c r="C60" s="329">
        <f>'3_Levels 1&amp;2'!AP60</f>
        <v>3175365</v>
      </c>
      <c r="D60" s="329">
        <v>0</v>
      </c>
      <c r="E60" s="329">
        <f>-'5C1A_Madison'!$R60</f>
        <v>0</v>
      </c>
      <c r="F60" s="329">
        <f>-'5C1B_DArbonne'!$R60</f>
        <v>0</v>
      </c>
      <c r="G60" s="329">
        <f>-'5C1C_Intl High'!$R60</f>
        <v>0</v>
      </c>
      <c r="H60" s="329">
        <f>-'5C1D_NOMMA'!$R60</f>
        <v>0</v>
      </c>
      <c r="I60" s="329">
        <f>-'5C1E_LFNO'!$R60</f>
        <v>0</v>
      </c>
      <c r="J60" s="329">
        <f>-'5C1F_L.C. Charter'!$R60</f>
        <v>0</v>
      </c>
      <c r="K60" s="329">
        <f>-'5C1G_JS Clark'!$R60</f>
        <v>0</v>
      </c>
      <c r="L60" s="329">
        <f>-'5C1H_Southwest'!$R60</f>
        <v>0</v>
      </c>
      <c r="M60" s="329">
        <f>-'5C1I_LA Key'!$R60</f>
        <v>0</v>
      </c>
      <c r="N60" s="329">
        <f>-'5C1J_JCFA-East'!$R60</f>
        <v>0</v>
      </c>
      <c r="O60" s="329">
        <f>-'5C1M_GEO Mid'!$R60</f>
        <v>0</v>
      </c>
      <c r="P60" s="329">
        <f>-'5C1N_Delta'!$R60</f>
        <v>-253389</v>
      </c>
      <c r="Q60" s="329">
        <f>-'5C1O_Impact'!$R60</f>
        <v>0</v>
      </c>
      <c r="R60" s="329">
        <f>-'5C1Q_Advantage'!$R60</f>
        <v>0</v>
      </c>
      <c r="S60" s="329">
        <f>-'5C1R_Iberville'!$R60</f>
        <v>0</v>
      </c>
      <c r="T60" s="329">
        <f>-'5C1S_LC Col Prep'!$R60</f>
        <v>0</v>
      </c>
      <c r="U60" s="329">
        <f>-'5C1T_Northeast'!$R60</f>
        <v>0</v>
      </c>
      <c r="V60" s="329">
        <f>-'5C1U_Acadiana Ren'!$R60</f>
        <v>0</v>
      </c>
      <c r="W60" s="329">
        <f>-'5C1V_Laf Ren'!$R60</f>
        <v>0</v>
      </c>
      <c r="X60" s="329">
        <f>-'5C1W_Willow'!$R60</f>
        <v>0</v>
      </c>
      <c r="Y60" s="329">
        <f>-'5C1Y_GEO'!$R60</f>
        <v>0</v>
      </c>
      <c r="Z60" s="329">
        <f>-'5C1Z_Lincoln Prep'!$R60</f>
        <v>0</v>
      </c>
      <c r="AA60" s="329">
        <f>-'5C1AD_Greater'!$R60</f>
        <v>0</v>
      </c>
      <c r="AB60" s="329">
        <f>-'5C1AE_Noble Minds'!$R60</f>
        <v>0</v>
      </c>
      <c r="AC60" s="329">
        <f>-'5C1AF_JCFA-Laf'!$R60</f>
        <v>0</v>
      </c>
      <c r="AD60" s="329">
        <f>-'5C1AG_Collegiate'!$R60</f>
        <v>0</v>
      </c>
      <c r="AE60" s="329">
        <f>-'5C1AH_BRUP'!$R60</f>
        <v>0</v>
      </c>
      <c r="AF60" s="329">
        <f>-'5C1AI_Harmony'!$R60</f>
        <v>0</v>
      </c>
      <c r="AG60" s="329">
        <f>-'5C1AJ_Athlos'!$R60</f>
        <v>0</v>
      </c>
      <c r="AH60" s="329">
        <f>-('5C2_LAVCA'!$R60+'5C2_LAVCA'!$S60)</f>
        <v>-19407</v>
      </c>
      <c r="AI60" s="329">
        <f>-('5C3_UnvView'!$R60+'5C3_UnvView'!$S60)</f>
        <v>-35256</v>
      </c>
      <c r="AJ60" s="330">
        <f t="shared" si="13"/>
        <v>-308052</v>
      </c>
      <c r="AK60" s="330">
        <f t="shared" si="14"/>
        <v>2867313</v>
      </c>
      <c r="AL60" s="330">
        <f>ROUND(AK60/'8_2.1.19 SIS'!C60,0)</f>
        <v>6607</v>
      </c>
      <c r="AM60" s="330">
        <f>'3B_Pay Raise'!O60</f>
        <v>83421</v>
      </c>
      <c r="AN60" s="331">
        <f>'[1]LEA Summary'!$K60</f>
        <v>-4931</v>
      </c>
      <c r="AO60" s="329">
        <f t="shared" si="8"/>
        <v>0</v>
      </c>
      <c r="AP60" s="329">
        <f t="shared" si="9"/>
        <v>-4931</v>
      </c>
      <c r="AQ60" s="329">
        <f>VLOOKUP($A60,'[2]Oct_MidYear Adj'!$A$7:$N$137,10,FALSE)</f>
        <v>-270887</v>
      </c>
      <c r="AR60" s="329">
        <f>VLOOKUP($A60,'[3]Feb_MidYear Adj'!$A$7:$N$137,10,FALSE)</f>
        <v>33035</v>
      </c>
      <c r="AS60" s="331">
        <f t="shared" si="10"/>
        <v>-237852</v>
      </c>
      <c r="AT60" s="330">
        <f t="shared" si="11"/>
        <v>2707951</v>
      </c>
      <c r="AU60" s="329">
        <f>'4_Level 4'!E60</f>
        <v>0</v>
      </c>
      <c r="AV60" s="329">
        <f>'4_Level 4'!Q60</f>
        <v>12508</v>
      </c>
      <c r="AW60" s="330">
        <f t="shared" si="15"/>
        <v>2720459</v>
      </c>
      <c r="AX60" s="329">
        <f>('[4]2_State Distrib and Adjs'!AZ60*2)+'[5]2_State Distrib and Adjs'!AZ60+('[6]2_State Distrib and Adjs'!AZ60*3)+('[7]2_State Distrib and Adjs'!AZ60*2)</f>
        <v>1885368</v>
      </c>
      <c r="AY60" s="329">
        <f t="shared" si="12"/>
        <v>835091</v>
      </c>
      <c r="AZ60" s="329">
        <f t="shared" si="16"/>
        <v>208773</v>
      </c>
      <c r="BA60" s="329">
        <f>'4_Level 4'!J60</f>
        <v>0</v>
      </c>
      <c r="BB60" s="329">
        <f>'4_Level 4'!L60</f>
        <v>25000</v>
      </c>
      <c r="BC60" s="329">
        <f>'4_Level 4'!M60</f>
        <v>0</v>
      </c>
      <c r="BD60" s="330">
        <f t="shared" si="17"/>
        <v>2745459</v>
      </c>
    </row>
    <row r="61" spans="1:56" ht="15.6" customHeight="1" x14ac:dyDescent="0.2">
      <c r="A61" s="332">
        <v>55</v>
      </c>
      <c r="B61" s="333" t="s">
        <v>58</v>
      </c>
      <c r="C61" s="334">
        <f>'3_Levels 1&amp;2'!AP61</f>
        <v>93035694</v>
      </c>
      <c r="D61" s="334">
        <v>0</v>
      </c>
      <c r="E61" s="334">
        <f>-'5C1A_Madison'!$R61</f>
        <v>0</v>
      </c>
      <c r="F61" s="334">
        <f>-'5C1B_DArbonne'!$R61</f>
        <v>0</v>
      </c>
      <c r="G61" s="334">
        <f>-'5C1C_Intl High'!$R61</f>
        <v>0</v>
      </c>
      <c r="H61" s="334">
        <f>-'5C1D_NOMMA'!$R61</f>
        <v>0</v>
      </c>
      <c r="I61" s="334">
        <f>-'5C1E_LFNO'!$R61</f>
        <v>0</v>
      </c>
      <c r="J61" s="334">
        <f>-'5C1F_L.C. Charter'!$R61</f>
        <v>0</v>
      </c>
      <c r="K61" s="334">
        <f>-'5C1G_JS Clark'!$R61</f>
        <v>0</v>
      </c>
      <c r="L61" s="334">
        <f>-'5C1H_Southwest'!$R61</f>
        <v>0</v>
      </c>
      <c r="M61" s="334">
        <f>-'5C1I_LA Key'!$R61</f>
        <v>0</v>
      </c>
      <c r="N61" s="334">
        <f>-'5C1J_JCFA-East'!$R61</f>
        <v>0</v>
      </c>
      <c r="O61" s="334">
        <f>-'5C1M_GEO Mid'!$R61</f>
        <v>0</v>
      </c>
      <c r="P61" s="334">
        <f>-'5C1N_Delta'!$R61</f>
        <v>0</v>
      </c>
      <c r="Q61" s="334">
        <f>-'5C1O_Impact'!$R61</f>
        <v>0</v>
      </c>
      <c r="R61" s="334">
        <f>-'5C1Q_Advantage'!$R61</f>
        <v>0</v>
      </c>
      <c r="S61" s="334">
        <f>-'5C1R_Iberville'!$R61</f>
        <v>0</v>
      </c>
      <c r="T61" s="334">
        <f>-'5C1S_LC Col Prep'!$R61</f>
        <v>0</v>
      </c>
      <c r="U61" s="334">
        <f>-'5C1T_Northeast'!$R61</f>
        <v>0</v>
      </c>
      <c r="V61" s="334">
        <f>-'5C1U_Acadiana Ren'!$R61</f>
        <v>0</v>
      </c>
      <c r="W61" s="334">
        <f>-'5C1V_Laf Ren'!$R61</f>
        <v>0</v>
      </c>
      <c r="X61" s="334">
        <f>-'5C1W_Willow'!$R61</f>
        <v>0</v>
      </c>
      <c r="Y61" s="334">
        <f>-'5C1Y_GEO'!$R61</f>
        <v>0</v>
      </c>
      <c r="Z61" s="334">
        <f>-'5C1Z_Lincoln Prep'!$R61</f>
        <v>0</v>
      </c>
      <c r="AA61" s="334">
        <f>-'5C1AD_Greater'!$R61</f>
        <v>0</v>
      </c>
      <c r="AB61" s="610">
        <f>-'5C1AE_Noble Minds'!$R61</f>
        <v>0</v>
      </c>
      <c r="AC61" s="610">
        <f>-'5C1AF_JCFA-Laf'!$R61</f>
        <v>0</v>
      </c>
      <c r="AD61" s="610">
        <f>-'5C1AG_Collegiate'!$R61</f>
        <v>0</v>
      </c>
      <c r="AE61" s="334">
        <f>-'5C1AH_BRUP'!$R61</f>
        <v>0</v>
      </c>
      <c r="AF61" s="881">
        <f>-'5C1AI_Harmony'!$R61</f>
        <v>0</v>
      </c>
      <c r="AG61" s="881">
        <f>-'5C1AJ_Athlos'!$R61</f>
        <v>0</v>
      </c>
      <c r="AH61" s="334">
        <f>-('5C2_LAVCA'!$R61+'5C2_LAVCA'!$S61)</f>
        <v>-366773</v>
      </c>
      <c r="AI61" s="334">
        <f>-('5C3_UnvView'!$R61+'5C3_UnvView'!$S61)</f>
        <v>-715979</v>
      </c>
      <c r="AJ61" s="335">
        <f t="shared" si="13"/>
        <v>-1082752</v>
      </c>
      <c r="AK61" s="335">
        <f t="shared" si="14"/>
        <v>91952942</v>
      </c>
      <c r="AL61" s="335">
        <f>ROUND(AK61/'8_2.1.19 SIS'!C61,0)</f>
        <v>5554</v>
      </c>
      <c r="AM61" s="1064">
        <f>'3B_Pay Raise'!O61</f>
        <v>2195995</v>
      </c>
      <c r="AN61" s="336">
        <f>'[1]LEA Summary'!$K61</f>
        <v>-11856</v>
      </c>
      <c r="AO61" s="334">
        <f t="shared" si="8"/>
        <v>0</v>
      </c>
      <c r="AP61" s="334">
        <f t="shared" si="9"/>
        <v>-11856</v>
      </c>
      <c r="AQ61" s="334">
        <f>VLOOKUP($A61,'[2]Oct_MidYear Adj'!$A$7:$N$137,10,FALSE)</f>
        <v>-1260758</v>
      </c>
      <c r="AR61" s="334">
        <f>VLOOKUP($A61,'[3]Feb_MidYear Adj'!$A$7:$N$137,10,FALSE)</f>
        <v>63871</v>
      </c>
      <c r="AS61" s="336">
        <f t="shared" si="10"/>
        <v>-1196887</v>
      </c>
      <c r="AT61" s="335">
        <f t="shared" si="11"/>
        <v>92940194</v>
      </c>
      <c r="AU61" s="334">
        <f>'4_Level 4'!E61</f>
        <v>0</v>
      </c>
      <c r="AV61" s="334">
        <f>'4_Level 4'!Q61</f>
        <v>422735</v>
      </c>
      <c r="AW61" s="335">
        <f t="shared" si="15"/>
        <v>93362929</v>
      </c>
      <c r="AX61" s="334">
        <f>('[4]2_State Distrib and Adjs'!AZ61*2)+'[5]2_State Distrib and Adjs'!AZ61+('[6]2_State Distrib and Adjs'!AZ61*3)+('[7]2_State Distrib and Adjs'!AZ61*2)</f>
        <v>63063811</v>
      </c>
      <c r="AY61" s="334">
        <f t="shared" si="12"/>
        <v>30299118</v>
      </c>
      <c r="AZ61" s="334">
        <f t="shared" si="16"/>
        <v>7574780</v>
      </c>
      <c r="BA61" s="334">
        <f>'4_Level 4'!J61</f>
        <v>0</v>
      </c>
      <c r="BB61" s="334">
        <f>'4_Level 4'!L61</f>
        <v>296430</v>
      </c>
      <c r="BC61" s="334">
        <f>'4_Level 4'!M61</f>
        <v>623382</v>
      </c>
      <c r="BD61" s="335">
        <f t="shared" si="17"/>
        <v>94282741</v>
      </c>
    </row>
    <row r="62" spans="1:56" ht="15.6" customHeight="1" x14ac:dyDescent="0.2">
      <c r="A62" s="325">
        <v>56</v>
      </c>
      <c r="B62" s="326" t="s">
        <v>59</v>
      </c>
      <c r="C62" s="33">
        <f>'3_Levels 1&amp;2'!AP62</f>
        <v>19974072</v>
      </c>
      <c r="D62" s="33">
        <v>0</v>
      </c>
      <c r="E62" s="33">
        <f>-'5C1A_Madison'!$R62</f>
        <v>0</v>
      </c>
      <c r="F62" s="33">
        <f>-'5C1B_DArbonne'!$R62</f>
        <v>-5242512</v>
      </c>
      <c r="G62" s="33">
        <f>-'5C1C_Intl High'!$R62</f>
        <v>0</v>
      </c>
      <c r="H62" s="33">
        <f>-'5C1D_NOMMA'!$R62</f>
        <v>0</v>
      </c>
      <c r="I62" s="33">
        <f>-'5C1E_LFNO'!$R62</f>
        <v>0</v>
      </c>
      <c r="J62" s="33">
        <f>-'5C1F_L.C. Charter'!$R62</f>
        <v>0</v>
      </c>
      <c r="K62" s="33">
        <f>-'5C1G_JS Clark'!$R62</f>
        <v>0</v>
      </c>
      <c r="L62" s="33">
        <f>-'5C1H_Southwest'!$R62</f>
        <v>0</v>
      </c>
      <c r="M62" s="33">
        <f>-'5C1I_LA Key'!$R62</f>
        <v>0</v>
      </c>
      <c r="N62" s="33">
        <f>-'5C1J_JCFA-East'!$R62</f>
        <v>0</v>
      </c>
      <c r="O62" s="33">
        <f>-'5C1M_GEO Mid'!$R62</f>
        <v>0</v>
      </c>
      <c r="P62" s="33">
        <f>-'5C1N_Delta'!$R62</f>
        <v>0</v>
      </c>
      <c r="Q62" s="33">
        <f>-'5C1O_Impact'!$R62</f>
        <v>0</v>
      </c>
      <c r="R62" s="33">
        <f>-'5C1Q_Advantage'!$R62</f>
        <v>0</v>
      </c>
      <c r="S62" s="33">
        <f>-'5C1R_Iberville'!$R62</f>
        <v>0</v>
      </c>
      <c r="T62" s="33">
        <f>-'5C1S_LC Col Prep'!$R62</f>
        <v>0</v>
      </c>
      <c r="U62" s="33">
        <f>-'5C1T_Northeast'!$R62</f>
        <v>-841878</v>
      </c>
      <c r="V62" s="33">
        <f>-'5C1U_Acadiana Ren'!$R62</f>
        <v>0</v>
      </c>
      <c r="W62" s="33">
        <f>-'5C1V_Laf Ren'!$R62</f>
        <v>0</v>
      </c>
      <c r="X62" s="33">
        <f>-'5C1W_Willow'!$R62</f>
        <v>0</v>
      </c>
      <c r="Y62" s="33">
        <f>-'5C1Y_GEO'!$R62</f>
        <v>0</v>
      </c>
      <c r="Z62" s="33">
        <f>-'5C1Z_Lincoln Prep'!$R62</f>
        <v>-244905</v>
      </c>
      <c r="AA62" s="33">
        <f>-'5C1AD_Greater'!$R62</f>
        <v>0</v>
      </c>
      <c r="AB62" s="33">
        <f>-'5C1AE_Noble Minds'!$R62</f>
        <v>0</v>
      </c>
      <c r="AC62" s="33">
        <f>-'5C1AF_JCFA-Laf'!$R62</f>
        <v>0</v>
      </c>
      <c r="AD62" s="33">
        <f>-'5C1AG_Collegiate'!$R62</f>
        <v>0</v>
      </c>
      <c r="AE62" s="33">
        <f>-'5C1AH_BRUP'!$R62</f>
        <v>0</v>
      </c>
      <c r="AF62" s="33">
        <f>-'5C1AI_Harmony'!$R62</f>
        <v>0</v>
      </c>
      <c r="AG62" s="33">
        <f>-'5C1AJ_Athlos'!$R62</f>
        <v>0</v>
      </c>
      <c r="AH62" s="33">
        <f>-('5C2_LAVCA'!$R62+'5C2_LAVCA'!$S62)</f>
        <v>-85951</v>
      </c>
      <c r="AI62" s="33">
        <f>-('5C3_UnvView'!$R62+'5C3_UnvView'!$S62)</f>
        <v>-49271</v>
      </c>
      <c r="AJ62" s="32">
        <f t="shared" si="13"/>
        <v>-6464517</v>
      </c>
      <c r="AK62" s="32">
        <f t="shared" si="14"/>
        <v>13509555</v>
      </c>
      <c r="AL62" s="32">
        <f>ROUND(AK62/'8_2.1.19 SIS'!C62,0)</f>
        <v>7077</v>
      </c>
      <c r="AM62" s="32">
        <f>'3B_Pay Raise'!O62</f>
        <v>275889</v>
      </c>
      <c r="AN62" s="34">
        <f>'[1]LEA Summary'!$K62</f>
        <v>-9306</v>
      </c>
      <c r="AO62" s="33">
        <f t="shared" si="8"/>
        <v>0</v>
      </c>
      <c r="AP62" s="33">
        <f t="shared" si="9"/>
        <v>-9306</v>
      </c>
      <c r="AQ62" s="33">
        <f>VLOOKUP($A62,'[2]Oct_MidYear Adj'!$A$7:$N$137,10,FALSE)</f>
        <v>21231</v>
      </c>
      <c r="AR62" s="33">
        <f>VLOOKUP($A62,'[3]Feb_MidYear Adj'!$A$7:$N$137,10,FALSE)</f>
        <v>14154</v>
      </c>
      <c r="AS62" s="34">
        <f t="shared" si="10"/>
        <v>35385</v>
      </c>
      <c r="AT62" s="32">
        <f t="shared" si="11"/>
        <v>13811523</v>
      </c>
      <c r="AU62" s="33">
        <f>'4_Level 4'!E62</f>
        <v>0</v>
      </c>
      <c r="AV62" s="33">
        <f>'4_Level 4'!Q62</f>
        <v>52923</v>
      </c>
      <c r="AW62" s="32">
        <f t="shared" si="15"/>
        <v>13864446</v>
      </c>
      <c r="AX62" s="33">
        <f>('[4]2_State Distrib and Adjs'!AZ62*2)+'[5]2_State Distrib and Adjs'!AZ62+('[6]2_State Distrib and Adjs'!AZ62*3)+('[7]2_State Distrib and Adjs'!AZ62*2)</f>
        <v>9236656</v>
      </c>
      <c r="AY62" s="33">
        <f t="shared" si="12"/>
        <v>4627790</v>
      </c>
      <c r="AZ62" s="33">
        <f t="shared" si="16"/>
        <v>1156948</v>
      </c>
      <c r="BA62" s="33">
        <f>'4_Level 4'!J62</f>
        <v>0</v>
      </c>
      <c r="BB62" s="33">
        <f>'4_Level 4'!L62</f>
        <v>75915</v>
      </c>
      <c r="BC62" s="33">
        <f>'4_Level 4'!M62</f>
        <v>0</v>
      </c>
      <c r="BD62" s="32">
        <f t="shared" si="17"/>
        <v>13940361</v>
      </c>
    </row>
    <row r="63" spans="1:56" ht="15.6" customHeight="1" x14ac:dyDescent="0.2">
      <c r="A63" s="327">
        <v>57</v>
      </c>
      <c r="B63" s="328" t="s">
        <v>60</v>
      </c>
      <c r="C63" s="329">
        <f>'3_Levels 1&amp;2'!AP63</f>
        <v>55932648</v>
      </c>
      <c r="D63" s="329">
        <v>0</v>
      </c>
      <c r="E63" s="329">
        <f>-'5C1A_Madison'!$R63</f>
        <v>0</v>
      </c>
      <c r="F63" s="329">
        <f>-'5C1B_DArbonne'!$R63</f>
        <v>0</v>
      </c>
      <c r="G63" s="329">
        <f>-'5C1C_Intl High'!$R63</f>
        <v>0</v>
      </c>
      <c r="H63" s="329">
        <f>-'5C1D_NOMMA'!$R63</f>
        <v>0</v>
      </c>
      <c r="I63" s="329">
        <f>-'5C1E_LFNO'!$R63</f>
        <v>0</v>
      </c>
      <c r="J63" s="329">
        <f>-'5C1F_L.C. Charter'!$R63</f>
        <v>0</v>
      </c>
      <c r="K63" s="329">
        <f>-'5C1G_JS Clark'!$R63</f>
        <v>0</v>
      </c>
      <c r="L63" s="329">
        <f>-'5C1H_Southwest'!$R63</f>
        <v>0</v>
      </c>
      <c r="M63" s="329">
        <f>-'5C1I_LA Key'!$R63</f>
        <v>0</v>
      </c>
      <c r="N63" s="329">
        <f>-'5C1J_JCFA-East'!$R63</f>
        <v>0</v>
      </c>
      <c r="O63" s="329">
        <f>-'5C1M_GEO Mid'!$R63</f>
        <v>0</v>
      </c>
      <c r="P63" s="329">
        <f>-'5C1N_Delta'!$R63</f>
        <v>0</v>
      </c>
      <c r="Q63" s="329">
        <f>-'5C1O_Impact'!$R63</f>
        <v>0</v>
      </c>
      <c r="R63" s="329">
        <f>-'5C1Q_Advantage'!$R63</f>
        <v>0</v>
      </c>
      <c r="S63" s="329">
        <f>-'5C1R_Iberville'!$R63</f>
        <v>0</v>
      </c>
      <c r="T63" s="329">
        <f>-'5C1S_LC Col Prep'!$R63</f>
        <v>0</v>
      </c>
      <c r="U63" s="329">
        <f>-'5C1T_Northeast'!$R63</f>
        <v>0</v>
      </c>
      <c r="V63" s="329">
        <f>-'5C1U_Acadiana Ren'!$R63</f>
        <v>-138085</v>
      </c>
      <c r="W63" s="329">
        <f>-'5C1V_Laf Ren'!$R63</f>
        <v>-37610</v>
      </c>
      <c r="X63" s="329">
        <f>-'5C1W_Willow'!$R63</f>
        <v>0</v>
      </c>
      <c r="Y63" s="329">
        <f>-'5C1Y_GEO'!$R63</f>
        <v>0</v>
      </c>
      <c r="Z63" s="329">
        <f>-'5C1Z_Lincoln Prep'!$R63</f>
        <v>0</v>
      </c>
      <c r="AA63" s="329">
        <f>-'5C1AD_Greater'!$R63</f>
        <v>0</v>
      </c>
      <c r="AB63" s="329">
        <f>-'5C1AE_Noble Minds'!$R63</f>
        <v>0</v>
      </c>
      <c r="AC63" s="329">
        <f>-'5C1AF_JCFA-Laf'!$R63</f>
        <v>-22302</v>
      </c>
      <c r="AD63" s="329">
        <f>-'5C1AG_Collegiate'!$R63</f>
        <v>0</v>
      </c>
      <c r="AE63" s="329">
        <f>-'5C1AH_BRUP'!$R63</f>
        <v>0</v>
      </c>
      <c r="AF63" s="329">
        <f>-'5C1AI_Harmony'!$R63</f>
        <v>0</v>
      </c>
      <c r="AG63" s="329">
        <f>-'5C1AJ_Athlos'!$R63</f>
        <v>0</v>
      </c>
      <c r="AH63" s="329">
        <f>-('5C2_LAVCA'!$R63+'5C2_LAVCA'!$S63)</f>
        <v>-162978</v>
      </c>
      <c r="AI63" s="329">
        <f>-('5C3_UnvView'!$R63+'5C3_UnvView'!$S63)</f>
        <v>-108379</v>
      </c>
      <c r="AJ63" s="330">
        <f t="shared" si="13"/>
        <v>-469354</v>
      </c>
      <c r="AK63" s="330">
        <f t="shared" si="14"/>
        <v>55463294</v>
      </c>
      <c r="AL63" s="330">
        <f>ROUND(AK63/'8_2.1.19 SIS'!C63,0)</f>
        <v>6038</v>
      </c>
      <c r="AM63" s="330">
        <f>'3B_Pay Raise'!O63</f>
        <v>1270318</v>
      </c>
      <c r="AN63" s="331">
        <f>'[1]LEA Summary'!$K63</f>
        <v>24516</v>
      </c>
      <c r="AO63" s="329">
        <f t="shared" si="8"/>
        <v>24516</v>
      </c>
      <c r="AP63" s="329">
        <f t="shared" si="9"/>
        <v>0</v>
      </c>
      <c r="AQ63" s="329">
        <f>VLOOKUP($A63,'[2]Oct_MidYear Adj'!$A$7:$N$137,10,FALSE)</f>
        <v>640028</v>
      </c>
      <c r="AR63" s="329">
        <f>VLOOKUP($A63,'[3]Feb_MidYear Adj'!$A$7:$N$137,10,FALSE)</f>
        <v>-117741</v>
      </c>
      <c r="AS63" s="331">
        <f t="shared" si="10"/>
        <v>522287</v>
      </c>
      <c r="AT63" s="330">
        <f t="shared" si="11"/>
        <v>57280415</v>
      </c>
      <c r="AU63" s="329">
        <f>'4_Level 4'!E63</f>
        <v>0</v>
      </c>
      <c r="AV63" s="329">
        <f>'4_Level 4'!Q63</f>
        <v>230218</v>
      </c>
      <c r="AW63" s="330">
        <f t="shared" si="15"/>
        <v>57510633</v>
      </c>
      <c r="AX63" s="329">
        <f>('[4]2_State Distrib and Adjs'!AZ63*2)+'[5]2_State Distrib and Adjs'!AZ63+('[6]2_State Distrib and Adjs'!AZ63*3)+('[7]2_State Distrib and Adjs'!AZ63*2)</f>
        <v>38010948</v>
      </c>
      <c r="AY63" s="329">
        <f t="shared" si="12"/>
        <v>19499685</v>
      </c>
      <c r="AZ63" s="329">
        <f t="shared" si="16"/>
        <v>4874921</v>
      </c>
      <c r="BA63" s="329">
        <f>'4_Level 4'!J63</f>
        <v>6000</v>
      </c>
      <c r="BB63" s="329">
        <f>'4_Level 4'!L63</f>
        <v>200030</v>
      </c>
      <c r="BC63" s="329">
        <f>'4_Level 4'!M63</f>
        <v>226616</v>
      </c>
      <c r="BD63" s="330">
        <f t="shared" si="17"/>
        <v>57943279</v>
      </c>
    </row>
    <row r="64" spans="1:56" ht="15.6" customHeight="1" x14ac:dyDescent="0.2">
      <c r="A64" s="327">
        <v>58</v>
      </c>
      <c r="B64" s="328" t="s">
        <v>61</v>
      </c>
      <c r="C64" s="329">
        <f>'3_Levels 1&amp;2'!AP64</f>
        <v>54399921</v>
      </c>
      <c r="D64" s="329">
        <v>0</v>
      </c>
      <c r="E64" s="329">
        <f>-'5C1A_Madison'!$R64</f>
        <v>0</v>
      </c>
      <c r="F64" s="329">
        <f>-'5C1B_DArbonne'!$R64</f>
        <v>0</v>
      </c>
      <c r="G64" s="329">
        <f>-'5C1C_Intl High'!$R64</f>
        <v>0</v>
      </c>
      <c r="H64" s="329">
        <f>-'5C1D_NOMMA'!$R64</f>
        <v>0</v>
      </c>
      <c r="I64" s="329">
        <f>-'5C1E_LFNO'!$R64</f>
        <v>0</v>
      </c>
      <c r="J64" s="329">
        <f>-'5C1F_L.C. Charter'!$R64</f>
        <v>0</v>
      </c>
      <c r="K64" s="329">
        <f>-'5C1G_JS Clark'!$R64</f>
        <v>0</v>
      </c>
      <c r="L64" s="329">
        <f>-'5C1H_Southwest'!$R64</f>
        <v>0</v>
      </c>
      <c r="M64" s="329">
        <f>-'5C1I_LA Key'!$R64</f>
        <v>0</v>
      </c>
      <c r="N64" s="329">
        <f>-'5C1J_JCFA-East'!$R64</f>
        <v>0</v>
      </c>
      <c r="O64" s="329">
        <f>-'5C1M_GEO Mid'!$R64</f>
        <v>0</v>
      </c>
      <c r="P64" s="329">
        <f>-'5C1N_Delta'!$R64</f>
        <v>0</v>
      </c>
      <c r="Q64" s="329">
        <f>-'5C1O_Impact'!$R64</f>
        <v>0</v>
      </c>
      <c r="R64" s="329">
        <f>-'5C1Q_Advantage'!$R64</f>
        <v>0</v>
      </c>
      <c r="S64" s="329">
        <f>-'5C1R_Iberville'!$R64</f>
        <v>0</v>
      </c>
      <c r="T64" s="329">
        <f>-'5C1S_LC Col Prep'!$R64</f>
        <v>0</v>
      </c>
      <c r="U64" s="329">
        <f>-'5C1T_Northeast'!$R64</f>
        <v>0</v>
      </c>
      <c r="V64" s="329">
        <f>-'5C1U_Acadiana Ren'!$R64</f>
        <v>0</v>
      </c>
      <c r="W64" s="329">
        <f>-'5C1V_Laf Ren'!$R64</f>
        <v>0</v>
      </c>
      <c r="X64" s="329">
        <f>-'5C1W_Willow'!$R64</f>
        <v>0</v>
      </c>
      <c r="Y64" s="329">
        <f>-'5C1Y_GEO'!$R64</f>
        <v>0</v>
      </c>
      <c r="Z64" s="329">
        <f>-'5C1Z_Lincoln Prep'!$R64</f>
        <v>0</v>
      </c>
      <c r="AA64" s="329">
        <f>-'5C1AD_Greater'!$R64</f>
        <v>0</v>
      </c>
      <c r="AB64" s="329">
        <f>-'5C1AE_Noble Minds'!$R64</f>
        <v>0</v>
      </c>
      <c r="AC64" s="329">
        <f>-'5C1AF_JCFA-Laf'!$R64</f>
        <v>0</v>
      </c>
      <c r="AD64" s="329">
        <f>-'5C1AG_Collegiate'!$R64</f>
        <v>0</v>
      </c>
      <c r="AE64" s="329">
        <f>-'5C1AH_BRUP'!$R64</f>
        <v>0</v>
      </c>
      <c r="AF64" s="329">
        <f>-'5C1AI_Harmony'!$R64</f>
        <v>0</v>
      </c>
      <c r="AG64" s="329">
        <f>-'5C1AJ_Athlos'!$R64</f>
        <v>0</v>
      </c>
      <c r="AH64" s="329">
        <f>-('5C2_LAVCA'!$R64+'5C2_LAVCA'!$S64)</f>
        <v>-228722</v>
      </c>
      <c r="AI64" s="329">
        <f>-('5C3_UnvView'!$R64+'5C3_UnvView'!$S64)</f>
        <v>-117287</v>
      </c>
      <c r="AJ64" s="330">
        <f t="shared" si="13"/>
        <v>-346009</v>
      </c>
      <c r="AK64" s="330">
        <f t="shared" si="14"/>
        <v>54053912</v>
      </c>
      <c r="AL64" s="330">
        <f>ROUND(AK64/'8_2.1.19 SIS'!C64,0)</f>
        <v>6732</v>
      </c>
      <c r="AM64" s="330">
        <f>'3B_Pay Raise'!O64</f>
        <v>1150641</v>
      </c>
      <c r="AN64" s="331">
        <f>'[1]LEA Summary'!$K64</f>
        <v>17625</v>
      </c>
      <c r="AO64" s="329">
        <f t="shared" si="8"/>
        <v>17625</v>
      </c>
      <c r="AP64" s="329">
        <f t="shared" si="9"/>
        <v>0</v>
      </c>
      <c r="AQ64" s="329">
        <f>VLOOKUP($A64,'[2]Oct_MidYear Adj'!$A$7:$N$137,10,FALSE)</f>
        <v>0</v>
      </c>
      <c r="AR64" s="329">
        <f>VLOOKUP($A64,'[3]Feb_MidYear Adj'!$A$7:$N$137,10,FALSE)</f>
        <v>-195228</v>
      </c>
      <c r="AS64" s="331">
        <f t="shared" si="10"/>
        <v>-195228</v>
      </c>
      <c r="AT64" s="330">
        <f t="shared" si="11"/>
        <v>55026950</v>
      </c>
      <c r="AU64" s="329">
        <f>'4_Level 4'!E64</f>
        <v>0</v>
      </c>
      <c r="AV64" s="329">
        <f>'4_Level 4'!Q64</f>
        <v>189272</v>
      </c>
      <c r="AW64" s="330">
        <f t="shared" si="15"/>
        <v>55216222</v>
      </c>
      <c r="AX64" s="329">
        <f>('[4]2_State Distrib and Adjs'!AZ64*2)+'[5]2_State Distrib and Adjs'!AZ64+('[6]2_State Distrib and Adjs'!AZ64*3)+('[7]2_State Distrib and Adjs'!AZ64*2)</f>
        <v>36965741</v>
      </c>
      <c r="AY64" s="329">
        <f t="shared" si="12"/>
        <v>18250481</v>
      </c>
      <c r="AZ64" s="329">
        <f t="shared" si="16"/>
        <v>4562620</v>
      </c>
      <c r="BA64" s="329">
        <f>'4_Level 4'!J64</f>
        <v>0</v>
      </c>
      <c r="BB64" s="329">
        <f>'4_Level 4'!L64</f>
        <v>127850.5</v>
      </c>
      <c r="BC64" s="329">
        <f>'4_Level 4'!M64</f>
        <v>37354</v>
      </c>
      <c r="BD64" s="330">
        <f t="shared" si="17"/>
        <v>55381426.5</v>
      </c>
    </row>
    <row r="65" spans="1:56" ht="15.6" customHeight="1" x14ac:dyDescent="0.2">
      <c r="A65" s="327">
        <v>59</v>
      </c>
      <c r="B65" s="328" t="s">
        <v>62</v>
      </c>
      <c r="C65" s="329">
        <f>'3_Levels 1&amp;2'!AP65</f>
        <v>36865776</v>
      </c>
      <c r="D65" s="329">
        <v>0</v>
      </c>
      <c r="E65" s="329">
        <f>-'5C1A_Madison'!$R65</f>
        <v>0</v>
      </c>
      <c r="F65" s="329">
        <f>-'5C1B_DArbonne'!$R65</f>
        <v>0</v>
      </c>
      <c r="G65" s="329">
        <f>-'5C1C_Intl High'!$R65</f>
        <v>0</v>
      </c>
      <c r="H65" s="329">
        <f>-'5C1D_NOMMA'!$R65</f>
        <v>0</v>
      </c>
      <c r="I65" s="329">
        <f>-'5C1E_LFNO'!$R65</f>
        <v>0</v>
      </c>
      <c r="J65" s="329">
        <f>-'5C1F_L.C. Charter'!$R65</f>
        <v>0</v>
      </c>
      <c r="K65" s="329">
        <f>-'5C1G_JS Clark'!$R65</f>
        <v>0</v>
      </c>
      <c r="L65" s="329">
        <f>-'5C1H_Southwest'!$R65</f>
        <v>0</v>
      </c>
      <c r="M65" s="329">
        <f>-'5C1I_LA Key'!$R65</f>
        <v>0</v>
      </c>
      <c r="N65" s="329">
        <f>-'5C1J_JCFA-East'!$R65</f>
        <v>0</v>
      </c>
      <c r="O65" s="329">
        <f>-'5C1M_GEO Mid'!$R65</f>
        <v>0</v>
      </c>
      <c r="P65" s="329">
        <f>-'5C1N_Delta'!$R65</f>
        <v>0</v>
      </c>
      <c r="Q65" s="329">
        <f>-'5C1O_Impact'!$R65</f>
        <v>0</v>
      </c>
      <c r="R65" s="329">
        <f>-'5C1Q_Advantage'!$R65</f>
        <v>0</v>
      </c>
      <c r="S65" s="329">
        <f>-'5C1R_Iberville'!$R65</f>
        <v>0</v>
      </c>
      <c r="T65" s="329">
        <f>-'5C1S_LC Col Prep'!$R65</f>
        <v>0</v>
      </c>
      <c r="U65" s="329">
        <f>-'5C1T_Northeast'!$R65</f>
        <v>0</v>
      </c>
      <c r="V65" s="329">
        <f>-'5C1U_Acadiana Ren'!$R65</f>
        <v>0</v>
      </c>
      <c r="W65" s="329">
        <f>-'5C1V_Laf Ren'!$R65</f>
        <v>0</v>
      </c>
      <c r="X65" s="329">
        <f>-'5C1W_Willow'!$R65</f>
        <v>0</v>
      </c>
      <c r="Y65" s="329">
        <f>-'5C1Y_GEO'!$R65</f>
        <v>0</v>
      </c>
      <c r="Z65" s="329">
        <f>-'5C1Z_Lincoln Prep'!$R65</f>
        <v>0</v>
      </c>
      <c r="AA65" s="329">
        <f>-'5C1AD_Greater'!$R65</f>
        <v>0</v>
      </c>
      <c r="AB65" s="329">
        <f>-'5C1AE_Noble Minds'!$R65</f>
        <v>0</v>
      </c>
      <c r="AC65" s="329">
        <f>-'5C1AF_JCFA-Laf'!$R65</f>
        <v>0</v>
      </c>
      <c r="AD65" s="329">
        <f>-'5C1AG_Collegiate'!$R65</f>
        <v>0</v>
      </c>
      <c r="AE65" s="329">
        <f>-'5C1AH_BRUP'!$R65</f>
        <v>0</v>
      </c>
      <c r="AF65" s="329">
        <f>-'5C1AI_Harmony'!$R65</f>
        <v>0</v>
      </c>
      <c r="AG65" s="329">
        <f>-'5C1AJ_Athlos'!$R65</f>
        <v>0</v>
      </c>
      <c r="AH65" s="329">
        <f>-('5C2_LAVCA'!$R65+'5C2_LAVCA'!$S65)</f>
        <v>-73071</v>
      </c>
      <c r="AI65" s="329">
        <f>-('5C3_UnvView'!$R65+'5C3_UnvView'!$S65)</f>
        <v>-218861</v>
      </c>
      <c r="AJ65" s="330">
        <f t="shared" si="13"/>
        <v>-291932</v>
      </c>
      <c r="AK65" s="330">
        <f t="shared" si="14"/>
        <v>36573844</v>
      </c>
      <c r="AL65" s="330">
        <f>ROUND(AK65/'8_2.1.19 SIS'!C65,0)</f>
        <v>7322</v>
      </c>
      <c r="AM65" s="330">
        <f>'3B_Pay Raise'!O65</f>
        <v>741063</v>
      </c>
      <c r="AN65" s="331">
        <f>'[1]LEA Summary'!$K65</f>
        <v>6463</v>
      </c>
      <c r="AO65" s="329">
        <f t="shared" si="8"/>
        <v>6463</v>
      </c>
      <c r="AP65" s="329">
        <f t="shared" si="9"/>
        <v>0</v>
      </c>
      <c r="AQ65" s="329">
        <f>VLOOKUP($A65,'[2]Oct_MidYear Adj'!$A$7:$N$137,10,FALSE)</f>
        <v>-820064</v>
      </c>
      <c r="AR65" s="329">
        <f>VLOOKUP($A65,'[3]Feb_MidYear Adj'!$A$7:$N$137,10,FALSE)</f>
        <v>197694</v>
      </c>
      <c r="AS65" s="331">
        <f t="shared" si="10"/>
        <v>-622370</v>
      </c>
      <c r="AT65" s="330">
        <f t="shared" si="11"/>
        <v>36699000</v>
      </c>
      <c r="AU65" s="329">
        <f>'4_Level 4'!E65</f>
        <v>0</v>
      </c>
      <c r="AV65" s="329">
        <f>'4_Level 4'!Q65</f>
        <v>140656</v>
      </c>
      <c r="AW65" s="330">
        <f t="shared" si="15"/>
        <v>36839656</v>
      </c>
      <c r="AX65" s="329">
        <f>('[4]2_State Distrib and Adjs'!AZ65*2)+'[5]2_State Distrib and Adjs'!AZ65+('[6]2_State Distrib and Adjs'!AZ65*3)+('[7]2_State Distrib and Adjs'!AZ65*2)</f>
        <v>24982943</v>
      </c>
      <c r="AY65" s="329">
        <f t="shared" si="12"/>
        <v>11856713</v>
      </c>
      <c r="AZ65" s="329">
        <f t="shared" si="16"/>
        <v>2964178</v>
      </c>
      <c r="BA65" s="329">
        <f>'4_Level 4'!J65</f>
        <v>0</v>
      </c>
      <c r="BB65" s="329">
        <f>'4_Level 4'!L65</f>
        <v>229432</v>
      </c>
      <c r="BC65" s="329">
        <f>'4_Level 4'!M65</f>
        <v>0</v>
      </c>
      <c r="BD65" s="330">
        <f t="shared" si="17"/>
        <v>37069088</v>
      </c>
    </row>
    <row r="66" spans="1:56" ht="15.6" customHeight="1" x14ac:dyDescent="0.2">
      <c r="A66" s="332">
        <v>60</v>
      </c>
      <c r="B66" s="333" t="s">
        <v>63</v>
      </c>
      <c r="C66" s="334">
        <f>'3_Levels 1&amp;2'!AP66</f>
        <v>37184572</v>
      </c>
      <c r="D66" s="334">
        <v>0</v>
      </c>
      <c r="E66" s="334">
        <f>-'5C1A_Madison'!$R66</f>
        <v>0</v>
      </c>
      <c r="F66" s="334">
        <f>-'5C1B_DArbonne'!$R66</f>
        <v>0</v>
      </c>
      <c r="G66" s="334">
        <f>-'5C1C_Intl High'!$R66</f>
        <v>0</v>
      </c>
      <c r="H66" s="334">
        <f>-'5C1D_NOMMA'!$R66</f>
        <v>0</v>
      </c>
      <c r="I66" s="334">
        <f>-'5C1E_LFNO'!$R66</f>
        <v>0</v>
      </c>
      <c r="J66" s="334">
        <f>-'5C1F_L.C. Charter'!$R66</f>
        <v>0</v>
      </c>
      <c r="K66" s="334">
        <f>-'5C1G_JS Clark'!$R66</f>
        <v>0</v>
      </c>
      <c r="L66" s="334">
        <f>-'5C1H_Southwest'!$R66</f>
        <v>0</v>
      </c>
      <c r="M66" s="334">
        <f>-'5C1I_LA Key'!$R66</f>
        <v>0</v>
      </c>
      <c r="N66" s="334">
        <f>-'5C1J_JCFA-East'!$R66</f>
        <v>0</v>
      </c>
      <c r="O66" s="334">
        <f>-'5C1M_GEO Mid'!$R66</f>
        <v>0</v>
      </c>
      <c r="P66" s="334">
        <f>-'5C1N_Delta'!$R66</f>
        <v>0</v>
      </c>
      <c r="Q66" s="334">
        <f>-'5C1O_Impact'!$R66</f>
        <v>0</v>
      </c>
      <c r="R66" s="334">
        <f>-'5C1Q_Advantage'!$R66</f>
        <v>0</v>
      </c>
      <c r="S66" s="334">
        <f>-'5C1R_Iberville'!$R66</f>
        <v>0</v>
      </c>
      <c r="T66" s="334">
        <f>-'5C1S_LC Col Prep'!$R66</f>
        <v>0</v>
      </c>
      <c r="U66" s="334">
        <f>-'5C1T_Northeast'!$R66</f>
        <v>0</v>
      </c>
      <c r="V66" s="334">
        <f>-'5C1U_Acadiana Ren'!$R66</f>
        <v>0</v>
      </c>
      <c r="W66" s="334">
        <f>-'5C1V_Laf Ren'!$R66</f>
        <v>0</v>
      </c>
      <c r="X66" s="334">
        <f>-'5C1W_Willow'!$R66</f>
        <v>0</v>
      </c>
      <c r="Y66" s="334">
        <f>-'5C1Y_GEO'!$R66</f>
        <v>0</v>
      </c>
      <c r="Z66" s="334">
        <f>-'5C1Z_Lincoln Prep'!$R66</f>
        <v>-41949</v>
      </c>
      <c r="AA66" s="334">
        <f>-'5C1AD_Greater'!$R66</f>
        <v>0</v>
      </c>
      <c r="AB66" s="610">
        <f>-'5C1AE_Noble Minds'!$R66</f>
        <v>0</v>
      </c>
      <c r="AC66" s="610">
        <f>-'5C1AF_JCFA-Laf'!$R66</f>
        <v>0</v>
      </c>
      <c r="AD66" s="610">
        <f>-'5C1AG_Collegiate'!$R66</f>
        <v>0</v>
      </c>
      <c r="AE66" s="334">
        <f>-'5C1AH_BRUP'!$R66</f>
        <v>0</v>
      </c>
      <c r="AF66" s="881">
        <f>-'5C1AI_Harmony'!$R66</f>
        <v>0</v>
      </c>
      <c r="AG66" s="881">
        <f>-'5C1AJ_Athlos'!$R66</f>
        <v>0</v>
      </c>
      <c r="AH66" s="334">
        <f>-('5C2_LAVCA'!$R66+'5C2_LAVCA'!$S66)</f>
        <v>-75100</v>
      </c>
      <c r="AI66" s="334">
        <f>-('5C3_UnvView'!$R66+'5C3_UnvView'!$S66)</f>
        <v>-171619</v>
      </c>
      <c r="AJ66" s="335">
        <f t="shared" si="13"/>
        <v>-288668</v>
      </c>
      <c r="AK66" s="335">
        <f t="shared" si="14"/>
        <v>36895904</v>
      </c>
      <c r="AL66" s="335">
        <f>ROUND(AK66/'8_2.1.19 SIS'!C66,0)</f>
        <v>6225</v>
      </c>
      <c r="AM66" s="1064">
        <f>'3B_Pay Raise'!O66</f>
        <v>776083</v>
      </c>
      <c r="AN66" s="336">
        <f>'[1]LEA Summary'!$K66</f>
        <v>-5319</v>
      </c>
      <c r="AO66" s="334">
        <f t="shared" si="8"/>
        <v>0</v>
      </c>
      <c r="AP66" s="334">
        <f t="shared" si="9"/>
        <v>-5319</v>
      </c>
      <c r="AQ66" s="334">
        <f>VLOOKUP($A66,'[2]Oct_MidYear Adj'!$A$7:$N$137,10,FALSE)</f>
        <v>-809250</v>
      </c>
      <c r="AR66" s="334">
        <f>VLOOKUP($A66,'[3]Feb_MidYear Adj'!$A$7:$N$137,10,FALSE)</f>
        <v>-6225</v>
      </c>
      <c r="AS66" s="336">
        <f t="shared" si="10"/>
        <v>-815475</v>
      </c>
      <c r="AT66" s="335">
        <f t="shared" si="11"/>
        <v>36851193</v>
      </c>
      <c r="AU66" s="334">
        <f>'4_Level 4'!E66</f>
        <v>0</v>
      </c>
      <c r="AV66" s="334">
        <f>'4_Level 4'!Q66</f>
        <v>155583</v>
      </c>
      <c r="AW66" s="335">
        <f t="shared" si="15"/>
        <v>37006776</v>
      </c>
      <c r="AX66" s="334">
        <f>('[4]2_State Distrib and Adjs'!AZ66*2)+'[5]2_State Distrib and Adjs'!AZ66+('[6]2_State Distrib and Adjs'!AZ66*3)+('[7]2_State Distrib and Adjs'!AZ66*2)</f>
        <v>25220750</v>
      </c>
      <c r="AY66" s="334">
        <f t="shared" si="12"/>
        <v>11786026</v>
      </c>
      <c r="AZ66" s="334">
        <f t="shared" si="16"/>
        <v>2946507</v>
      </c>
      <c r="BA66" s="334">
        <f>'4_Level 4'!J66</f>
        <v>0</v>
      </c>
      <c r="BB66" s="334">
        <f>'4_Level 4'!L66</f>
        <v>165567</v>
      </c>
      <c r="BC66" s="334">
        <f>'4_Level 4'!M66</f>
        <v>0</v>
      </c>
      <c r="BD66" s="335">
        <f t="shared" si="17"/>
        <v>37172343</v>
      </c>
    </row>
    <row r="67" spans="1:56" ht="15.6" customHeight="1" x14ac:dyDescent="0.2">
      <c r="A67" s="325">
        <v>61</v>
      </c>
      <c r="B67" s="326" t="s">
        <v>64</v>
      </c>
      <c r="C67" s="33">
        <f>'3_Levels 1&amp;2'!AP67</f>
        <v>13721631</v>
      </c>
      <c r="D67" s="33">
        <v>0</v>
      </c>
      <c r="E67" s="33">
        <f>-'5C1A_Madison'!$R67</f>
        <v>-22701</v>
      </c>
      <c r="F67" s="33">
        <f>-'5C1B_DArbonne'!$R67</f>
        <v>0</v>
      </c>
      <c r="G67" s="33">
        <f>-'5C1C_Intl High'!$R67</f>
        <v>0</v>
      </c>
      <c r="H67" s="33">
        <f>-'5C1D_NOMMA'!$R67</f>
        <v>0</v>
      </c>
      <c r="I67" s="33">
        <f>-'5C1E_LFNO'!$R67</f>
        <v>0</v>
      </c>
      <c r="J67" s="33">
        <f>-'5C1F_L.C. Charter'!$R67</f>
        <v>0</v>
      </c>
      <c r="K67" s="33">
        <f>-'5C1G_JS Clark'!$R67</f>
        <v>0</v>
      </c>
      <c r="L67" s="33">
        <f>-'5C1H_Southwest'!$R67</f>
        <v>0</v>
      </c>
      <c r="M67" s="33">
        <f>-'5C1I_LA Key'!$R67</f>
        <v>-72415</v>
      </c>
      <c r="N67" s="33">
        <f>-'5C1J_JCFA-East'!$R67</f>
        <v>0</v>
      </c>
      <c r="O67" s="33">
        <f>-'5C1M_GEO Mid'!$R67</f>
        <v>-3261</v>
      </c>
      <c r="P67" s="33">
        <f>-'5C1N_Delta'!$R67</f>
        <v>0</v>
      </c>
      <c r="Q67" s="33">
        <f>-'5C1O_Impact'!$R67</f>
        <v>0</v>
      </c>
      <c r="R67" s="33">
        <f>-'5C1Q_Advantage'!$R67</f>
        <v>-15916</v>
      </c>
      <c r="S67" s="33">
        <f>-'5C1R_Iberville'!$R67</f>
        <v>-184617</v>
      </c>
      <c r="T67" s="33">
        <f>-'5C1S_LC Col Prep'!$R67</f>
        <v>0</v>
      </c>
      <c r="U67" s="33">
        <f>-'5C1T_Northeast'!$R67</f>
        <v>0</v>
      </c>
      <c r="V67" s="33">
        <f>-'5C1U_Acadiana Ren'!$R67</f>
        <v>0</v>
      </c>
      <c r="W67" s="33">
        <f>-'5C1V_Laf Ren'!$R67</f>
        <v>0</v>
      </c>
      <c r="X67" s="33">
        <f>-'5C1W_Willow'!$R67</f>
        <v>0</v>
      </c>
      <c r="Y67" s="33">
        <f>-'5C1Y_GEO'!$R67</f>
        <v>-6523</v>
      </c>
      <c r="Z67" s="33">
        <f>-'5C1Z_Lincoln Prep'!$R67</f>
        <v>0</v>
      </c>
      <c r="AA67" s="33">
        <f>-'5C1AD_Greater'!$R67</f>
        <v>0</v>
      </c>
      <c r="AB67" s="33">
        <f>-'5C1AE_Noble Minds'!$R67</f>
        <v>0</v>
      </c>
      <c r="AC67" s="33">
        <f>-'5C1AF_JCFA-Laf'!$R67</f>
        <v>0</v>
      </c>
      <c r="AD67" s="33">
        <f>-'5C1AG_Collegiate'!$R67</f>
        <v>0</v>
      </c>
      <c r="AE67" s="33">
        <f>-'5C1AH_BRUP'!$R67</f>
        <v>0</v>
      </c>
      <c r="AF67" s="33">
        <f>-'5C1AI_Harmony'!$R67</f>
        <v>0</v>
      </c>
      <c r="AG67" s="33">
        <f>-'5C1AJ_Athlos'!$R67</f>
        <v>0</v>
      </c>
      <c r="AH67" s="33">
        <f>-('5C2_LAVCA'!$R67+'5C2_LAVCA'!$S67)</f>
        <v>-32134</v>
      </c>
      <c r="AI67" s="33">
        <f>-('5C3_UnvView'!$R67+'5C3_UnvView'!$S67)</f>
        <v>-48330</v>
      </c>
      <c r="AJ67" s="32">
        <f t="shared" si="13"/>
        <v>-385897</v>
      </c>
      <c r="AK67" s="32">
        <f t="shared" si="14"/>
        <v>13335734</v>
      </c>
      <c r="AL67" s="32">
        <f>ROUND(AK67/'8_2.1.19 SIS'!C67,0)</f>
        <v>3777</v>
      </c>
      <c r="AM67" s="32">
        <f>'3B_Pay Raise'!O67</f>
        <v>623184</v>
      </c>
      <c r="AN67" s="34">
        <f>'[1]LEA Summary'!$K67</f>
        <v>7446</v>
      </c>
      <c r="AO67" s="33">
        <f t="shared" si="8"/>
        <v>7446</v>
      </c>
      <c r="AP67" s="33">
        <f t="shared" si="9"/>
        <v>0</v>
      </c>
      <c r="AQ67" s="33">
        <f>VLOOKUP($A67,'[2]Oct_MidYear Adj'!$A$7:$N$137,10,FALSE)</f>
        <v>494787</v>
      </c>
      <c r="AR67" s="33">
        <f>VLOOKUP($A67,'[3]Feb_MidYear Adj'!$A$7:$N$137,10,FALSE)</f>
        <v>-15108</v>
      </c>
      <c r="AS67" s="34">
        <f t="shared" si="10"/>
        <v>479679</v>
      </c>
      <c r="AT67" s="32">
        <f t="shared" si="11"/>
        <v>14446043</v>
      </c>
      <c r="AU67" s="33">
        <f>'4_Level 4'!E67</f>
        <v>0</v>
      </c>
      <c r="AV67" s="33">
        <f>'4_Level 4'!Q67</f>
        <v>89621</v>
      </c>
      <c r="AW67" s="32">
        <f t="shared" si="15"/>
        <v>14535664</v>
      </c>
      <c r="AX67" s="33">
        <f>('[4]2_State Distrib and Adjs'!AZ67*2)+'[5]2_State Distrib and Adjs'!AZ67+('[6]2_State Distrib and Adjs'!AZ67*3)+('[7]2_State Distrib and Adjs'!AZ67*2)</f>
        <v>9383448</v>
      </c>
      <c r="AY67" s="33">
        <f t="shared" si="12"/>
        <v>5152216</v>
      </c>
      <c r="AZ67" s="33">
        <f t="shared" si="16"/>
        <v>1288054</v>
      </c>
      <c r="BA67" s="33">
        <f>'4_Level 4'!J67</f>
        <v>0</v>
      </c>
      <c r="BB67" s="33">
        <f>'4_Level 4'!L67</f>
        <v>136647</v>
      </c>
      <c r="BC67" s="33">
        <f>'4_Level 4'!M67</f>
        <v>41860</v>
      </c>
      <c r="BD67" s="32">
        <f t="shared" si="17"/>
        <v>14714171</v>
      </c>
    </row>
    <row r="68" spans="1:56" ht="15.6" customHeight="1" x14ac:dyDescent="0.2">
      <c r="A68" s="327">
        <v>62</v>
      </c>
      <c r="B68" s="328" t="s">
        <v>65</v>
      </c>
      <c r="C68" s="329">
        <f>'3_Levels 1&amp;2'!AP68</f>
        <v>13408635</v>
      </c>
      <c r="D68" s="329">
        <v>0</v>
      </c>
      <c r="E68" s="329">
        <f>-'5C1A_Madison'!$R68</f>
        <v>0</v>
      </c>
      <c r="F68" s="329">
        <f>-'5C1B_DArbonne'!$R68</f>
        <v>0</v>
      </c>
      <c r="G68" s="329">
        <f>-'5C1C_Intl High'!$R68</f>
        <v>0</v>
      </c>
      <c r="H68" s="329">
        <f>-'5C1D_NOMMA'!$R68</f>
        <v>0</v>
      </c>
      <c r="I68" s="329">
        <f>-'5C1E_LFNO'!$R68</f>
        <v>0</v>
      </c>
      <c r="J68" s="329">
        <f>-'5C1F_L.C. Charter'!$R68</f>
        <v>0</v>
      </c>
      <c r="K68" s="329">
        <f>-'5C1G_JS Clark'!$R68</f>
        <v>0</v>
      </c>
      <c r="L68" s="329">
        <f>-'5C1H_Southwest'!$R68</f>
        <v>0</v>
      </c>
      <c r="M68" s="329">
        <f>-'5C1I_LA Key'!$R68</f>
        <v>0</v>
      </c>
      <c r="N68" s="329">
        <f>-'5C1J_JCFA-East'!$R68</f>
        <v>0</v>
      </c>
      <c r="O68" s="329">
        <f>-'5C1M_GEO Mid'!$R68</f>
        <v>0</v>
      </c>
      <c r="P68" s="329">
        <f>-'5C1N_Delta'!$R68</f>
        <v>0</v>
      </c>
      <c r="Q68" s="329">
        <f>-'5C1O_Impact'!$R68</f>
        <v>0</v>
      </c>
      <c r="R68" s="329">
        <f>-'5C1Q_Advantage'!$R68</f>
        <v>0</v>
      </c>
      <c r="S68" s="329">
        <f>-'5C1R_Iberville'!$R68</f>
        <v>0</v>
      </c>
      <c r="T68" s="329">
        <f>-'5C1S_LC Col Prep'!$R68</f>
        <v>0</v>
      </c>
      <c r="U68" s="329">
        <f>-'5C1T_Northeast'!$R68</f>
        <v>0</v>
      </c>
      <c r="V68" s="329">
        <f>-'5C1U_Acadiana Ren'!$R68</f>
        <v>0</v>
      </c>
      <c r="W68" s="329">
        <f>-'5C1V_Laf Ren'!$R68</f>
        <v>0</v>
      </c>
      <c r="X68" s="329">
        <f>-'5C1W_Willow'!$R68</f>
        <v>0</v>
      </c>
      <c r="Y68" s="329">
        <f>-'5C1Y_GEO'!$R68</f>
        <v>0</v>
      </c>
      <c r="Z68" s="329">
        <f>-'5C1Z_Lincoln Prep'!$R68</f>
        <v>0</v>
      </c>
      <c r="AA68" s="329">
        <f>-'5C1AD_Greater'!$R68</f>
        <v>0</v>
      </c>
      <c r="AB68" s="329">
        <f>-'5C1AE_Noble Minds'!$R68</f>
        <v>0</v>
      </c>
      <c r="AC68" s="329">
        <f>-'5C1AF_JCFA-Laf'!$R68</f>
        <v>0</v>
      </c>
      <c r="AD68" s="329">
        <f>-'5C1AG_Collegiate'!$R68</f>
        <v>0</v>
      </c>
      <c r="AE68" s="329">
        <f>-'5C1AH_BRUP'!$R68</f>
        <v>0</v>
      </c>
      <c r="AF68" s="329">
        <f>-'5C1AI_Harmony'!$R68</f>
        <v>0</v>
      </c>
      <c r="AG68" s="329">
        <f>-'5C1AJ_Athlos'!$R68</f>
        <v>0</v>
      </c>
      <c r="AH68" s="329">
        <f>-('5C2_LAVCA'!$R68+'5C2_LAVCA'!$S68)</f>
        <v>-10700</v>
      </c>
      <c r="AI68" s="329">
        <f>-('5C3_UnvView'!$R68+'5C3_UnvView'!$S68)</f>
        <v>-73216</v>
      </c>
      <c r="AJ68" s="330">
        <f t="shared" si="13"/>
        <v>-83916</v>
      </c>
      <c r="AK68" s="330">
        <f t="shared" si="14"/>
        <v>13324719</v>
      </c>
      <c r="AL68" s="330">
        <f>ROUND(AK68/'8_2.1.19 SIS'!C68,0)</f>
        <v>6802</v>
      </c>
      <c r="AM68" s="330">
        <f>'3B_Pay Raise'!O68</f>
        <v>270237</v>
      </c>
      <c r="AN68" s="331">
        <f>'[1]LEA Summary'!$K68</f>
        <v>-21979</v>
      </c>
      <c r="AO68" s="329">
        <f t="shared" si="8"/>
        <v>0</v>
      </c>
      <c r="AP68" s="329">
        <f t="shared" si="9"/>
        <v>-21979</v>
      </c>
      <c r="AQ68" s="329">
        <f>VLOOKUP($A68,'[2]Oct_MidYear Adj'!$A$7:$N$137,10,FALSE)</f>
        <v>-510150</v>
      </c>
      <c r="AR68" s="329">
        <f>VLOOKUP($A68,'[3]Feb_MidYear Adj'!$A$7:$N$137,10,FALSE)</f>
        <v>27208</v>
      </c>
      <c r="AS68" s="331">
        <f t="shared" si="10"/>
        <v>-482942</v>
      </c>
      <c r="AT68" s="330">
        <f t="shared" si="11"/>
        <v>13090035</v>
      </c>
      <c r="AU68" s="329">
        <f>'4_Level 4'!E68</f>
        <v>0</v>
      </c>
      <c r="AV68" s="329">
        <f>'4_Level 4'!Q68</f>
        <v>51920</v>
      </c>
      <c r="AW68" s="330">
        <f t="shared" si="15"/>
        <v>13141955</v>
      </c>
      <c r="AX68" s="329">
        <f>('[4]2_State Distrib and Adjs'!AZ68*2)+'[5]2_State Distrib and Adjs'!AZ68+('[6]2_State Distrib and Adjs'!AZ68*3)+('[7]2_State Distrib and Adjs'!AZ68*2)</f>
        <v>8914615</v>
      </c>
      <c r="AY68" s="329">
        <f t="shared" si="12"/>
        <v>4227340</v>
      </c>
      <c r="AZ68" s="329">
        <f t="shared" si="16"/>
        <v>1056835</v>
      </c>
      <c r="BA68" s="329">
        <f>'4_Level 4'!J68</f>
        <v>0</v>
      </c>
      <c r="BB68" s="329">
        <f>'4_Level 4'!L68</f>
        <v>52056</v>
      </c>
      <c r="BC68" s="329">
        <f>'4_Level 4'!M68</f>
        <v>0</v>
      </c>
      <c r="BD68" s="330">
        <f t="shared" si="17"/>
        <v>13194011</v>
      </c>
    </row>
    <row r="69" spans="1:56" ht="15.6" customHeight="1" x14ac:dyDescent="0.2">
      <c r="A69" s="327">
        <v>63</v>
      </c>
      <c r="B69" s="328" t="s">
        <v>66</v>
      </c>
      <c r="C69" s="329">
        <f>'3_Levels 1&amp;2'!AP69</f>
        <v>9890342</v>
      </c>
      <c r="D69" s="329">
        <v>0</v>
      </c>
      <c r="E69" s="329">
        <f>-'5C1A_Madison'!$R69</f>
        <v>0</v>
      </c>
      <c r="F69" s="329">
        <f>-'5C1B_DArbonne'!$R69</f>
        <v>0</v>
      </c>
      <c r="G69" s="329">
        <f>-'5C1C_Intl High'!$R69</f>
        <v>0</v>
      </c>
      <c r="H69" s="329">
        <f>-'5C1D_NOMMA'!$R69</f>
        <v>0</v>
      </c>
      <c r="I69" s="329">
        <f>-'5C1E_LFNO'!$R69</f>
        <v>0</v>
      </c>
      <c r="J69" s="329">
        <f>-'5C1F_L.C. Charter'!$R69</f>
        <v>0</v>
      </c>
      <c r="K69" s="329">
        <f>-'5C1G_JS Clark'!$R69</f>
        <v>0</v>
      </c>
      <c r="L69" s="329">
        <f>-'5C1H_Southwest'!$R69</f>
        <v>0</v>
      </c>
      <c r="M69" s="329">
        <f>-'5C1I_LA Key'!$R69</f>
        <v>0</v>
      </c>
      <c r="N69" s="329">
        <f>-'5C1J_JCFA-East'!$R69</f>
        <v>0</v>
      </c>
      <c r="O69" s="329">
        <f>-'5C1M_GEO Mid'!$R69</f>
        <v>0</v>
      </c>
      <c r="P69" s="329">
        <f>-'5C1N_Delta'!$R69</f>
        <v>0</v>
      </c>
      <c r="Q69" s="329">
        <f>-'5C1O_Impact'!$R69</f>
        <v>0</v>
      </c>
      <c r="R69" s="329">
        <f>-'5C1Q_Advantage'!$R69</f>
        <v>-7126</v>
      </c>
      <c r="S69" s="329">
        <f>-'5C1R_Iberville'!$R69</f>
        <v>0</v>
      </c>
      <c r="T69" s="329">
        <f>-'5C1S_LC Col Prep'!$R69</f>
        <v>0</v>
      </c>
      <c r="U69" s="329">
        <f>-'5C1T_Northeast'!$R69</f>
        <v>0</v>
      </c>
      <c r="V69" s="329">
        <f>-'5C1U_Acadiana Ren'!$R69</f>
        <v>0</v>
      </c>
      <c r="W69" s="329">
        <f>-'5C1V_Laf Ren'!$R69</f>
        <v>0</v>
      </c>
      <c r="X69" s="329">
        <f>-'5C1W_Willow'!$R69</f>
        <v>0</v>
      </c>
      <c r="Y69" s="329">
        <f>-'5C1Y_GEO'!$R69</f>
        <v>0</v>
      </c>
      <c r="Z69" s="329">
        <f>-'5C1Z_Lincoln Prep'!$R69</f>
        <v>0</v>
      </c>
      <c r="AA69" s="329">
        <f>-'5C1AD_Greater'!$R69</f>
        <v>0</v>
      </c>
      <c r="AB69" s="329">
        <f>-'5C1AE_Noble Minds'!$R69</f>
        <v>0</v>
      </c>
      <c r="AC69" s="329">
        <f>-'5C1AF_JCFA-Laf'!$R69</f>
        <v>0</v>
      </c>
      <c r="AD69" s="329">
        <f>-'5C1AG_Collegiate'!$R69</f>
        <v>0</v>
      </c>
      <c r="AE69" s="329">
        <f>-'5C1AH_BRUP'!$R69</f>
        <v>0</v>
      </c>
      <c r="AF69" s="329">
        <f>-'5C1AI_Harmony'!$R69</f>
        <v>0</v>
      </c>
      <c r="AG69" s="329">
        <f>-'5C1AJ_Athlos'!$R69</f>
        <v>0</v>
      </c>
      <c r="AH69" s="329">
        <f>-('5C2_LAVCA'!$R69+'5C2_LAVCA'!$S69)</f>
        <v>-20960</v>
      </c>
      <c r="AI69" s="329">
        <f>-('5C3_UnvView'!$R69+'5C3_UnvView'!$S69)</f>
        <v>-31448</v>
      </c>
      <c r="AJ69" s="330">
        <f t="shared" si="13"/>
        <v>-59534</v>
      </c>
      <c r="AK69" s="330">
        <f t="shared" si="14"/>
        <v>9830808</v>
      </c>
      <c r="AL69" s="330">
        <f>ROUND(AK69/'8_2.1.19 SIS'!C69,0)</f>
        <v>4675</v>
      </c>
      <c r="AM69" s="330">
        <f>'3B_Pay Raise'!O69</f>
        <v>354035</v>
      </c>
      <c r="AN69" s="331">
        <f>'[1]LEA Summary'!$K69</f>
        <v>5706</v>
      </c>
      <c r="AO69" s="329">
        <f t="shared" si="8"/>
        <v>5706</v>
      </c>
      <c r="AP69" s="329">
        <f t="shared" si="9"/>
        <v>0</v>
      </c>
      <c r="AQ69" s="329">
        <f>VLOOKUP($A69,'[2]Oct_MidYear Adj'!$A$7:$N$137,10,FALSE)</f>
        <v>56100</v>
      </c>
      <c r="AR69" s="329">
        <f>VLOOKUP($A69,'[3]Feb_MidYear Adj'!$A$7:$N$137,10,FALSE)</f>
        <v>-58438</v>
      </c>
      <c r="AS69" s="331">
        <f t="shared" si="10"/>
        <v>-2338</v>
      </c>
      <c r="AT69" s="330">
        <f t="shared" si="11"/>
        <v>10188211</v>
      </c>
      <c r="AU69" s="329">
        <f>'4_Level 4'!E69</f>
        <v>0</v>
      </c>
      <c r="AV69" s="329">
        <f>'4_Level 4'!Q69</f>
        <v>55991</v>
      </c>
      <c r="AW69" s="330">
        <f t="shared" si="15"/>
        <v>10244202</v>
      </c>
      <c r="AX69" s="329">
        <f>('[4]2_State Distrib and Adjs'!AZ69*2)+'[5]2_State Distrib and Adjs'!AZ69+('[6]2_State Distrib and Adjs'!AZ69*3)+('[7]2_State Distrib and Adjs'!AZ69*2)</f>
        <v>6841742</v>
      </c>
      <c r="AY69" s="329">
        <f t="shared" si="12"/>
        <v>3402460</v>
      </c>
      <c r="AZ69" s="329">
        <f t="shared" si="16"/>
        <v>850615</v>
      </c>
      <c r="BA69" s="329">
        <f>'4_Level 4'!J69</f>
        <v>0</v>
      </c>
      <c r="BB69" s="329">
        <f>'4_Level 4'!L69</f>
        <v>97364</v>
      </c>
      <c r="BC69" s="329">
        <f>'4_Level 4'!M69</f>
        <v>0</v>
      </c>
      <c r="BD69" s="330">
        <f t="shared" si="17"/>
        <v>10341566</v>
      </c>
    </row>
    <row r="70" spans="1:56" ht="15.6" customHeight="1" x14ac:dyDescent="0.2">
      <c r="A70" s="327">
        <v>64</v>
      </c>
      <c r="B70" s="328" t="s">
        <v>67</v>
      </c>
      <c r="C70" s="329">
        <f>'3_Levels 1&amp;2'!AP70</f>
        <v>14901777</v>
      </c>
      <c r="D70" s="329">
        <v>0</v>
      </c>
      <c r="E70" s="329">
        <f>-'5C1A_Madison'!$R70</f>
        <v>0</v>
      </c>
      <c r="F70" s="329">
        <f>-'5C1B_DArbonne'!$R70</f>
        <v>0</v>
      </c>
      <c r="G70" s="329">
        <f>-'5C1C_Intl High'!$R70</f>
        <v>0</v>
      </c>
      <c r="H70" s="329">
        <f>-'5C1D_NOMMA'!$R70</f>
        <v>0</v>
      </c>
      <c r="I70" s="329">
        <f>-'5C1E_LFNO'!$R70</f>
        <v>0</v>
      </c>
      <c r="J70" s="329">
        <f>-'5C1F_L.C. Charter'!$R70</f>
        <v>0</v>
      </c>
      <c r="K70" s="329">
        <f>-'5C1G_JS Clark'!$R70</f>
        <v>0</v>
      </c>
      <c r="L70" s="329">
        <f>-'5C1H_Southwest'!$R70</f>
        <v>0</v>
      </c>
      <c r="M70" s="329">
        <f>-'5C1I_LA Key'!$R70</f>
        <v>0</v>
      </c>
      <c r="N70" s="329">
        <f>-'5C1J_JCFA-East'!$R70</f>
        <v>0</v>
      </c>
      <c r="O70" s="329">
        <f>-'5C1M_GEO Mid'!$R70</f>
        <v>0</v>
      </c>
      <c r="P70" s="329">
        <f>-'5C1N_Delta'!$R70</f>
        <v>0</v>
      </c>
      <c r="Q70" s="329">
        <f>-'5C1O_Impact'!$R70</f>
        <v>0</v>
      </c>
      <c r="R70" s="329">
        <f>-'5C1Q_Advantage'!$R70</f>
        <v>0</v>
      </c>
      <c r="S70" s="329">
        <f>-'5C1R_Iberville'!$R70</f>
        <v>0</v>
      </c>
      <c r="T70" s="329">
        <f>-'5C1S_LC Col Prep'!$R70</f>
        <v>0</v>
      </c>
      <c r="U70" s="329">
        <f>-'5C1T_Northeast'!$R70</f>
        <v>0</v>
      </c>
      <c r="V70" s="329">
        <f>-'5C1U_Acadiana Ren'!$R70</f>
        <v>0</v>
      </c>
      <c r="W70" s="329">
        <f>-'5C1V_Laf Ren'!$R70</f>
        <v>0</v>
      </c>
      <c r="X70" s="329">
        <f>-'5C1W_Willow'!$R70</f>
        <v>0</v>
      </c>
      <c r="Y70" s="329">
        <f>-'5C1Y_GEO'!$R70</f>
        <v>0</v>
      </c>
      <c r="Z70" s="329">
        <f>-'5C1Z_Lincoln Prep'!$R70</f>
        <v>0</v>
      </c>
      <c r="AA70" s="329">
        <f>-'5C1AD_Greater'!$R70</f>
        <v>0</v>
      </c>
      <c r="AB70" s="329">
        <f>-'5C1AE_Noble Minds'!$R70</f>
        <v>0</v>
      </c>
      <c r="AC70" s="329">
        <f>-'5C1AF_JCFA-Laf'!$R70</f>
        <v>0</v>
      </c>
      <c r="AD70" s="329">
        <f>-'5C1AG_Collegiate'!$R70</f>
        <v>0</v>
      </c>
      <c r="AE70" s="329">
        <f>-'5C1AH_BRUP'!$R70</f>
        <v>0</v>
      </c>
      <c r="AF70" s="329">
        <f>-'5C1AI_Harmony'!$R70</f>
        <v>0</v>
      </c>
      <c r="AG70" s="329">
        <f>-'5C1AJ_Athlos'!$R70</f>
        <v>0</v>
      </c>
      <c r="AH70" s="329">
        <f>-('5C2_LAVCA'!$R70+'5C2_LAVCA'!$S70)</f>
        <v>-23924</v>
      </c>
      <c r="AI70" s="329">
        <f>-('5C3_UnvView'!$R70+'5C3_UnvView'!$S70)</f>
        <v>0</v>
      </c>
      <c r="AJ70" s="330">
        <f t="shared" si="13"/>
        <v>-23924</v>
      </c>
      <c r="AK70" s="330">
        <f t="shared" si="14"/>
        <v>14877853</v>
      </c>
      <c r="AL70" s="330">
        <f>ROUND(AK70/'8_2.1.19 SIS'!C70,0)</f>
        <v>7122</v>
      </c>
      <c r="AM70" s="330">
        <f>'3B_Pay Raise'!O70</f>
        <v>324205</v>
      </c>
      <c r="AN70" s="331">
        <f>'[1]LEA Summary'!$K70</f>
        <v>3047</v>
      </c>
      <c r="AO70" s="329">
        <f t="shared" si="8"/>
        <v>3047</v>
      </c>
      <c r="AP70" s="329">
        <f t="shared" si="9"/>
        <v>0</v>
      </c>
      <c r="AQ70" s="329">
        <f>VLOOKUP($A70,'[2]Oct_MidYear Adj'!$A$7:$N$137,10,FALSE)</f>
        <v>-348978</v>
      </c>
      <c r="AR70" s="329">
        <f>VLOOKUP($A70,'[3]Feb_MidYear Adj'!$A$7:$N$137,10,FALSE)</f>
        <v>-74781</v>
      </c>
      <c r="AS70" s="331">
        <f t="shared" si="10"/>
        <v>-423759</v>
      </c>
      <c r="AT70" s="330">
        <f t="shared" si="11"/>
        <v>14781346</v>
      </c>
      <c r="AU70" s="329">
        <f>'4_Level 4'!E70</f>
        <v>0</v>
      </c>
      <c r="AV70" s="329">
        <f>'4_Level 4'!Q70</f>
        <v>56876</v>
      </c>
      <c r="AW70" s="330">
        <f t="shared" si="15"/>
        <v>14838222</v>
      </c>
      <c r="AX70" s="329">
        <f>('[4]2_State Distrib and Adjs'!AZ70*2)+'[5]2_State Distrib and Adjs'!AZ70+('[6]2_State Distrib and Adjs'!AZ70*3)+('[7]2_State Distrib and Adjs'!AZ70*2)</f>
        <v>10178460</v>
      </c>
      <c r="AY70" s="329">
        <f t="shared" si="12"/>
        <v>4659762</v>
      </c>
      <c r="AZ70" s="329">
        <f t="shared" si="16"/>
        <v>1164941</v>
      </c>
      <c r="BA70" s="329">
        <f>'4_Level 4'!J70</f>
        <v>0</v>
      </c>
      <c r="BB70" s="329">
        <f>'4_Level 4'!L70</f>
        <v>189185</v>
      </c>
      <c r="BC70" s="329">
        <f>'4_Level 4'!M70</f>
        <v>0</v>
      </c>
      <c r="BD70" s="330">
        <f t="shared" si="17"/>
        <v>15027407</v>
      </c>
    </row>
    <row r="71" spans="1:56" ht="15.6" customHeight="1" x14ac:dyDescent="0.2">
      <c r="A71" s="332">
        <v>65</v>
      </c>
      <c r="B71" s="333" t="s">
        <v>68</v>
      </c>
      <c r="C71" s="334">
        <f>'3_Levels 1&amp;2'!AP71</f>
        <v>46139502</v>
      </c>
      <c r="D71" s="334">
        <v>0</v>
      </c>
      <c r="E71" s="334">
        <f>-'5C1A_Madison'!$R71</f>
        <v>0</v>
      </c>
      <c r="F71" s="334">
        <f>-'5C1B_DArbonne'!$R71</f>
        <v>0</v>
      </c>
      <c r="G71" s="334">
        <f>-'5C1C_Intl High'!$R71</f>
        <v>0</v>
      </c>
      <c r="H71" s="334">
        <f>-'5C1D_NOMMA'!$R71</f>
        <v>0</v>
      </c>
      <c r="I71" s="334">
        <f>-'5C1E_LFNO'!$R71</f>
        <v>0</v>
      </c>
      <c r="J71" s="334">
        <f>-'5C1F_L.C. Charter'!$R71</f>
        <v>0</v>
      </c>
      <c r="K71" s="334">
        <f>-'5C1G_JS Clark'!$R71</f>
        <v>0</v>
      </c>
      <c r="L71" s="334">
        <f>-'5C1H_Southwest'!$R71</f>
        <v>0</v>
      </c>
      <c r="M71" s="334">
        <f>-'5C1I_LA Key'!$R71</f>
        <v>0</v>
      </c>
      <c r="N71" s="334">
        <f>-'5C1J_JCFA-East'!$R71</f>
        <v>0</v>
      </c>
      <c r="O71" s="334">
        <f>-'5C1M_GEO Mid'!$R71</f>
        <v>0</v>
      </c>
      <c r="P71" s="334">
        <f>-'5C1N_Delta'!$R71</f>
        <v>0</v>
      </c>
      <c r="Q71" s="334">
        <f>-'5C1O_Impact'!$R71</f>
        <v>0</v>
      </c>
      <c r="R71" s="334">
        <f>-'5C1Q_Advantage'!$R71</f>
        <v>0</v>
      </c>
      <c r="S71" s="334">
        <f>-'5C1R_Iberville'!$R71</f>
        <v>0</v>
      </c>
      <c r="T71" s="334">
        <f>-'5C1S_LC Col Prep'!$R71</f>
        <v>0</v>
      </c>
      <c r="U71" s="334">
        <f>-'5C1T_Northeast'!$R71</f>
        <v>0</v>
      </c>
      <c r="V71" s="334">
        <f>-'5C1U_Acadiana Ren'!$R71</f>
        <v>0</v>
      </c>
      <c r="W71" s="334">
        <f>-'5C1V_Laf Ren'!$R71</f>
        <v>0</v>
      </c>
      <c r="X71" s="334">
        <f>-'5C1W_Willow'!$R71</f>
        <v>0</v>
      </c>
      <c r="Y71" s="334">
        <f>-'5C1Y_GEO'!$R71</f>
        <v>0</v>
      </c>
      <c r="Z71" s="334">
        <f>-'5C1Z_Lincoln Prep'!$R71</f>
        <v>0</v>
      </c>
      <c r="AA71" s="334">
        <f>-'5C1AD_Greater'!$R71</f>
        <v>0</v>
      </c>
      <c r="AB71" s="610">
        <f>-'5C1AE_Noble Minds'!$R71</f>
        <v>0</v>
      </c>
      <c r="AC71" s="610">
        <f>-'5C1AF_JCFA-Laf'!$R71</f>
        <v>0</v>
      </c>
      <c r="AD71" s="610">
        <f>-'5C1AG_Collegiate'!$R71</f>
        <v>0</v>
      </c>
      <c r="AE71" s="334">
        <f>-'5C1AH_BRUP'!$R71</f>
        <v>0</v>
      </c>
      <c r="AF71" s="881">
        <f>-'5C1AI_Harmony'!$R71</f>
        <v>0</v>
      </c>
      <c r="AG71" s="881">
        <f>-'5C1AJ_Athlos'!$R71</f>
        <v>0</v>
      </c>
      <c r="AH71" s="334">
        <f>-('5C2_LAVCA'!$R71+'5C2_LAVCA'!$S71)</f>
        <v>-42444</v>
      </c>
      <c r="AI71" s="334">
        <f>-('5C3_UnvView'!$R71+'5C3_UnvView'!$S71)</f>
        <v>-35953</v>
      </c>
      <c r="AJ71" s="335">
        <f>SUM(D71:AI71)</f>
        <v>-78397</v>
      </c>
      <c r="AK71" s="335">
        <f t="shared" si="14"/>
        <v>46061105</v>
      </c>
      <c r="AL71" s="335">
        <f>ROUND(AK71/'8_2.1.19 SIS'!C71,0)</f>
        <v>5807</v>
      </c>
      <c r="AM71" s="1064">
        <f>'3B_Pay Raise'!O71</f>
        <v>1274380</v>
      </c>
      <c r="AN71" s="336">
        <f>'[1]LEA Summary'!$K71</f>
        <v>-38540</v>
      </c>
      <c r="AO71" s="334">
        <f t="shared" si="8"/>
        <v>0</v>
      </c>
      <c r="AP71" s="334">
        <f t="shared" si="9"/>
        <v>-38540</v>
      </c>
      <c r="AQ71" s="334">
        <f>VLOOKUP($A71,'[2]Oct_MidYear Adj'!$A$7:$N$137,10,FALSE)</f>
        <v>-580700</v>
      </c>
      <c r="AR71" s="334">
        <f>VLOOKUP($A71,'[3]Feb_MidYear Adj'!$A$7:$N$137,10,FALSE)</f>
        <v>278736</v>
      </c>
      <c r="AS71" s="336">
        <f t="shared" si="10"/>
        <v>-301964</v>
      </c>
      <c r="AT71" s="335">
        <f t="shared" si="11"/>
        <v>46994981</v>
      </c>
      <c r="AU71" s="334">
        <f>'4_Level 4'!E71</f>
        <v>0</v>
      </c>
      <c r="AV71" s="334">
        <f>'4_Level 4'!Q71</f>
        <v>189390</v>
      </c>
      <c r="AW71" s="335">
        <f>ROUND(SUM(AT71:AV71),0)</f>
        <v>47184371</v>
      </c>
      <c r="AX71" s="334">
        <f>('[4]2_State Distrib and Adjs'!AZ71*2)+'[5]2_State Distrib and Adjs'!AZ71+('[6]2_State Distrib and Adjs'!AZ71*3)+('[7]2_State Distrib and Adjs'!AZ71*2)</f>
        <v>31671374</v>
      </c>
      <c r="AY71" s="334">
        <f t="shared" si="12"/>
        <v>15512997</v>
      </c>
      <c r="AZ71" s="334">
        <f>ROUND(AY71/$AZ$77,0)</f>
        <v>3878249</v>
      </c>
      <c r="BA71" s="334">
        <f>'4_Level 4'!J71</f>
        <v>0</v>
      </c>
      <c r="BB71" s="334">
        <f>'4_Level 4'!L71</f>
        <v>172074</v>
      </c>
      <c r="BC71" s="334">
        <f>'4_Level 4'!M71</f>
        <v>42841</v>
      </c>
      <c r="BD71" s="335">
        <f>AW71+BA71+BB71+BC71</f>
        <v>47399286</v>
      </c>
    </row>
    <row r="72" spans="1:56" ht="15.6" customHeight="1" x14ac:dyDescent="0.2">
      <c r="A72" s="325">
        <v>66</v>
      </c>
      <c r="B72" s="326" t="s">
        <v>69</v>
      </c>
      <c r="C72" s="33">
        <f>'3_Levels 1&amp;2'!AP72</f>
        <v>14353948</v>
      </c>
      <c r="D72" s="33">
        <v>0</v>
      </c>
      <c r="E72" s="33">
        <f>-'5C1A_Madison'!$R72</f>
        <v>0</v>
      </c>
      <c r="F72" s="33">
        <f>-'5C1B_DArbonne'!$R72</f>
        <v>0</v>
      </c>
      <c r="G72" s="33">
        <f>-'5C1C_Intl High'!$R72</f>
        <v>0</v>
      </c>
      <c r="H72" s="33">
        <f>-'5C1D_NOMMA'!$R72</f>
        <v>0</v>
      </c>
      <c r="I72" s="33">
        <f>-'5C1E_LFNO'!$R72</f>
        <v>0</v>
      </c>
      <c r="J72" s="33">
        <f>-'5C1F_L.C. Charter'!$R72</f>
        <v>0</v>
      </c>
      <c r="K72" s="33">
        <f>-'5C1G_JS Clark'!$R72</f>
        <v>0</v>
      </c>
      <c r="L72" s="33">
        <f>-'5C1H_Southwest'!$R72</f>
        <v>0</v>
      </c>
      <c r="M72" s="33">
        <f>-'5C1I_LA Key'!$R72</f>
        <v>0</v>
      </c>
      <c r="N72" s="33">
        <f>-'5C1J_JCFA-East'!$R72</f>
        <v>0</v>
      </c>
      <c r="O72" s="33">
        <f>-'5C1M_GEO Mid'!$R72</f>
        <v>0</v>
      </c>
      <c r="P72" s="33">
        <f>-'5C1N_Delta'!$R72</f>
        <v>0</v>
      </c>
      <c r="Q72" s="33">
        <f>-'5C1O_Impact'!$R72</f>
        <v>0</v>
      </c>
      <c r="R72" s="33">
        <f>-'5C1Q_Advantage'!$R72</f>
        <v>0</v>
      </c>
      <c r="S72" s="33">
        <f>-'5C1R_Iberville'!$R72</f>
        <v>0</v>
      </c>
      <c r="T72" s="33">
        <f>-'5C1S_LC Col Prep'!$R72</f>
        <v>0</v>
      </c>
      <c r="U72" s="33">
        <f>-'5C1T_Northeast'!$R72</f>
        <v>0</v>
      </c>
      <c r="V72" s="33">
        <f>-'5C1U_Acadiana Ren'!$R72</f>
        <v>0</v>
      </c>
      <c r="W72" s="33">
        <f>-'5C1V_Laf Ren'!$R72</f>
        <v>0</v>
      </c>
      <c r="X72" s="33">
        <f>-'5C1W_Willow'!$R72</f>
        <v>0</v>
      </c>
      <c r="Y72" s="33">
        <f>-'5C1Y_GEO'!$R72</f>
        <v>0</v>
      </c>
      <c r="Z72" s="33">
        <f>-'5C1Z_Lincoln Prep'!$R72</f>
        <v>0</v>
      </c>
      <c r="AA72" s="33">
        <f>-'5C1AD_Greater'!$R72</f>
        <v>0</v>
      </c>
      <c r="AB72" s="33">
        <f>-'5C1AE_Noble Minds'!$R72</f>
        <v>0</v>
      </c>
      <c r="AC72" s="33">
        <f>-'5C1AF_JCFA-Laf'!$R72</f>
        <v>0</v>
      </c>
      <c r="AD72" s="33">
        <f>-'5C1AG_Collegiate'!$R72</f>
        <v>0</v>
      </c>
      <c r="AE72" s="33">
        <f>-'5C1AH_BRUP'!$R72</f>
        <v>0</v>
      </c>
      <c r="AF72" s="33">
        <f>-'5C1AI_Harmony'!$R72</f>
        <v>0</v>
      </c>
      <c r="AG72" s="33">
        <f>-'5C1AJ_Athlos'!$R72</f>
        <v>0</v>
      </c>
      <c r="AH72" s="33">
        <f>-('5C2_LAVCA'!$R72+'5C2_LAVCA'!$S72)</f>
        <v>-69429</v>
      </c>
      <c r="AI72" s="33">
        <f>-('5C3_UnvView'!$R72+'5C3_UnvView'!$S72)</f>
        <v>-116021</v>
      </c>
      <c r="AJ72" s="32">
        <f>SUM(D72:AI72)</f>
        <v>-185450</v>
      </c>
      <c r="AK72" s="32">
        <f t="shared" si="14"/>
        <v>14168498</v>
      </c>
      <c r="AL72" s="32">
        <f>ROUND(AK72/'8_2.1.19 SIS'!C72,0)</f>
        <v>7548</v>
      </c>
      <c r="AM72" s="32">
        <f>'3B_Pay Raise'!O72</f>
        <v>293592</v>
      </c>
      <c r="AN72" s="34">
        <f>'[1]LEA Summary'!$K72</f>
        <v>707</v>
      </c>
      <c r="AO72" s="33">
        <f>IF(AN72&gt;0,AN72,0)</f>
        <v>707</v>
      </c>
      <c r="AP72" s="33">
        <f>IF(AN72&lt;0,AN72,0)</f>
        <v>0</v>
      </c>
      <c r="AQ72" s="33">
        <f>VLOOKUP($A72,'[2]Oct_MidYear Adj'!$A$7:$N$137,10,FALSE)</f>
        <v>-294372</v>
      </c>
      <c r="AR72" s="33">
        <f>VLOOKUP($A72,'[3]Feb_MidYear Adj'!$A$7:$N$137,10,FALSE)</f>
        <v>-60384</v>
      </c>
      <c r="AS72" s="34">
        <f>SUM(AQ72:AR72)</f>
        <v>-354756</v>
      </c>
      <c r="AT72" s="32">
        <f>AK72+AM72+AN72+AS72</f>
        <v>14108041</v>
      </c>
      <c r="AU72" s="33">
        <f>'4_Level 4'!E72</f>
        <v>0</v>
      </c>
      <c r="AV72" s="33">
        <f>'4_Level 4'!Q72</f>
        <v>43070</v>
      </c>
      <c r="AW72" s="32">
        <f>ROUND(SUM(AT72:AV72),0)</f>
        <v>14151111</v>
      </c>
      <c r="AX72" s="33">
        <f>('[4]2_State Distrib and Adjs'!AZ72*2)+'[5]2_State Distrib and Adjs'!AZ72+('[6]2_State Distrib and Adjs'!AZ72*3)+('[7]2_State Distrib and Adjs'!AZ72*2)</f>
        <v>9575337</v>
      </c>
      <c r="AY72" s="33">
        <f>AW72-AX72</f>
        <v>4575774</v>
      </c>
      <c r="AZ72" s="33">
        <f>ROUND(AY72/$AZ$77,0)</f>
        <v>1143944</v>
      </c>
      <c r="BA72" s="33">
        <f>'4_Level 4'!J72</f>
        <v>0</v>
      </c>
      <c r="BB72" s="33">
        <f>'4_Level 4'!L72</f>
        <v>39283</v>
      </c>
      <c r="BC72" s="33">
        <f>'4_Level 4'!M72</f>
        <v>0</v>
      </c>
      <c r="BD72" s="32">
        <f>AW72+BA72+BB72+BC72</f>
        <v>14190394</v>
      </c>
    </row>
    <row r="73" spans="1:56" ht="15.6" customHeight="1" x14ac:dyDescent="0.2">
      <c r="A73" s="327">
        <v>67</v>
      </c>
      <c r="B73" s="328" t="s">
        <v>2</v>
      </c>
      <c r="C73" s="329">
        <f>'3_Levels 1&amp;2'!AP73</f>
        <v>32460452</v>
      </c>
      <c r="D73" s="329">
        <v>0</v>
      </c>
      <c r="E73" s="329">
        <f>-'5C1A_Madison'!$R73</f>
        <v>-21333</v>
      </c>
      <c r="F73" s="329">
        <f>-'5C1B_DArbonne'!$R73</f>
        <v>0</v>
      </c>
      <c r="G73" s="329">
        <f>-'5C1C_Intl High'!$R73</f>
        <v>0</v>
      </c>
      <c r="H73" s="329">
        <f>-'5C1D_NOMMA'!$R73</f>
        <v>0</v>
      </c>
      <c r="I73" s="329">
        <f>-'5C1E_LFNO'!$R73</f>
        <v>0</v>
      </c>
      <c r="J73" s="329">
        <f>-'5C1F_L.C. Charter'!$R73</f>
        <v>0</v>
      </c>
      <c r="K73" s="329">
        <f>-'5C1G_JS Clark'!$R73</f>
        <v>0</v>
      </c>
      <c r="L73" s="329">
        <f>-'5C1H_Southwest'!$R73</f>
        <v>0</v>
      </c>
      <c r="M73" s="329">
        <f>-'5C1I_LA Key'!$R73</f>
        <v>-57773</v>
      </c>
      <c r="N73" s="329">
        <f>-'5C1J_JCFA-East'!$R73</f>
        <v>0</v>
      </c>
      <c r="O73" s="329">
        <f>-'5C1M_GEO Mid'!$R73</f>
        <v>-176</v>
      </c>
      <c r="P73" s="329">
        <f>-'5C1N_Delta'!$R73</f>
        <v>0</v>
      </c>
      <c r="Q73" s="329">
        <f>-'5C1O_Impact'!$R73</f>
        <v>-78749</v>
      </c>
      <c r="R73" s="329">
        <f>-'5C1Q_Advantage'!$R73</f>
        <v>-140313</v>
      </c>
      <c r="S73" s="329">
        <f>-'5C1R_Iberville'!$R73</f>
        <v>0</v>
      </c>
      <c r="T73" s="329">
        <f>-'5C1S_LC Col Prep'!$R73</f>
        <v>0</v>
      </c>
      <c r="U73" s="329">
        <f>-'5C1T_Northeast'!$R73</f>
        <v>0</v>
      </c>
      <c r="V73" s="329">
        <f>-'5C1U_Acadiana Ren'!$R73</f>
        <v>0</v>
      </c>
      <c r="W73" s="329">
        <f>-'5C1V_Laf Ren'!$R73</f>
        <v>0</v>
      </c>
      <c r="X73" s="329">
        <f>-'5C1W_Willow'!$R73</f>
        <v>0</v>
      </c>
      <c r="Y73" s="329">
        <f>-'5C1Y_GEO'!$R73</f>
        <v>-5480</v>
      </c>
      <c r="Z73" s="329">
        <f>-'5C1Z_Lincoln Prep'!$R73</f>
        <v>0</v>
      </c>
      <c r="AA73" s="329">
        <f>-'5C1AD_Greater'!$R73</f>
        <v>0</v>
      </c>
      <c r="AB73" s="329">
        <f>-'5C1AE_Noble Minds'!$R73</f>
        <v>0</v>
      </c>
      <c r="AC73" s="329">
        <f>-'5C1AF_JCFA-Laf'!$R73</f>
        <v>0</v>
      </c>
      <c r="AD73" s="329">
        <f>-'5C1AG_Collegiate'!$R73</f>
        <v>0</v>
      </c>
      <c r="AE73" s="329">
        <f>-'5C1AH_BRUP'!$R73</f>
        <v>0</v>
      </c>
      <c r="AF73" s="329">
        <f>-'5C1AI_Harmony'!$R73</f>
        <v>0</v>
      </c>
      <c r="AG73" s="329">
        <f>-'5C1AJ_Athlos'!$R73</f>
        <v>0</v>
      </c>
      <c r="AH73" s="329">
        <f>-('5C2_LAVCA'!$R73+'5C2_LAVCA'!$S73)</f>
        <v>-68607</v>
      </c>
      <c r="AI73" s="329">
        <f>-('5C3_UnvView'!$R73+'5C3_UnvView'!$S73)</f>
        <v>-134130</v>
      </c>
      <c r="AJ73" s="330">
        <f>SUM(D73:AI73)</f>
        <v>-506561</v>
      </c>
      <c r="AK73" s="330">
        <f t="shared" si="14"/>
        <v>31953891</v>
      </c>
      <c r="AL73" s="330">
        <f>ROUND(AK73/'8_2.1.19 SIS'!C73,0)</f>
        <v>5973</v>
      </c>
      <c r="AM73" s="330">
        <f>'3B_Pay Raise'!O73</f>
        <v>641527</v>
      </c>
      <c r="AN73" s="331">
        <f>'[1]LEA Summary'!$K73</f>
        <v>89492</v>
      </c>
      <c r="AO73" s="329">
        <f>IF(AN73&gt;0,AN73,0)</f>
        <v>89492</v>
      </c>
      <c r="AP73" s="329">
        <f>IF(AN73&lt;0,AN73,0)</f>
        <v>0</v>
      </c>
      <c r="AQ73" s="329">
        <f>VLOOKUP($A73,'[2]Oct_MidYear Adj'!$A$7:$N$137,10,FALSE)</f>
        <v>131406</v>
      </c>
      <c r="AR73" s="329">
        <f>VLOOKUP($A73,'[3]Feb_MidYear Adj'!$A$7:$N$137,10,FALSE)</f>
        <v>-17919</v>
      </c>
      <c r="AS73" s="331">
        <f>SUM(AQ73:AR73)</f>
        <v>113487</v>
      </c>
      <c r="AT73" s="330">
        <f>AK73+AM73+AN73+AS73</f>
        <v>32798397</v>
      </c>
      <c r="AU73" s="329">
        <f>'4_Level 4'!E73</f>
        <v>0</v>
      </c>
      <c r="AV73" s="329">
        <f>'4_Level 4'!Q73</f>
        <v>141010</v>
      </c>
      <c r="AW73" s="330">
        <f>ROUND(SUM(AT73:AV73),0)</f>
        <v>32939407</v>
      </c>
      <c r="AX73" s="329">
        <f>('[4]2_State Distrib and Adjs'!AZ73*2)+'[5]2_State Distrib and Adjs'!AZ73+('[6]2_State Distrib and Adjs'!AZ73*3)+('[7]2_State Distrib and Adjs'!AZ73*2)</f>
        <v>21889099</v>
      </c>
      <c r="AY73" s="329">
        <f>AW73-AX73</f>
        <v>11050308</v>
      </c>
      <c r="AZ73" s="329">
        <f>ROUND(AY73/$AZ$77,0)</f>
        <v>2762577</v>
      </c>
      <c r="BA73" s="329">
        <f>'4_Level 4'!J73</f>
        <v>0</v>
      </c>
      <c r="BB73" s="329">
        <f>'4_Level 4'!L73</f>
        <v>40970</v>
      </c>
      <c r="BC73" s="329">
        <f>'4_Level 4'!M73</f>
        <v>0</v>
      </c>
      <c r="BD73" s="330">
        <f>AW73+BA73+BB73+BC73</f>
        <v>32980377</v>
      </c>
    </row>
    <row r="74" spans="1:56" ht="15.6" customHeight="1" x14ac:dyDescent="0.2">
      <c r="A74" s="327">
        <v>68</v>
      </c>
      <c r="B74" s="328" t="s">
        <v>1</v>
      </c>
      <c r="C74" s="329">
        <f>'3_Levels 1&amp;2'!AP74</f>
        <v>13414045</v>
      </c>
      <c r="D74" s="329">
        <v>0</v>
      </c>
      <c r="E74" s="329">
        <f>-'5C1A_Madison'!$R74</f>
        <v>-116892</v>
      </c>
      <c r="F74" s="329">
        <f>-'5C1B_DArbonne'!$R74</f>
        <v>0</v>
      </c>
      <c r="G74" s="329">
        <f>-'5C1C_Intl High'!$R74</f>
        <v>0</v>
      </c>
      <c r="H74" s="329">
        <f>-'5C1D_NOMMA'!$R74</f>
        <v>0</v>
      </c>
      <c r="I74" s="329">
        <f>-'5C1E_LFNO'!$R74</f>
        <v>0</v>
      </c>
      <c r="J74" s="329">
        <f>-'5C1F_L.C. Charter'!$R74</f>
        <v>0</v>
      </c>
      <c r="K74" s="329">
        <f>-'5C1G_JS Clark'!$R74</f>
        <v>0</v>
      </c>
      <c r="L74" s="329">
        <f>-'5C1H_Southwest'!$R74</f>
        <v>0</v>
      </c>
      <c r="M74" s="329">
        <f>-'5C1I_LA Key'!$R74</f>
        <v>-82889</v>
      </c>
      <c r="N74" s="329">
        <f>-'5C1J_JCFA-East'!$R74</f>
        <v>0</v>
      </c>
      <c r="O74" s="329">
        <f>-'5C1M_GEO Mid'!$R74</f>
        <v>-62943</v>
      </c>
      <c r="P74" s="329">
        <f>-'5C1N_Delta'!$R74</f>
        <v>0</v>
      </c>
      <c r="Q74" s="329">
        <f>-'5C1O_Impact'!$R74</f>
        <v>-1012378</v>
      </c>
      <c r="R74" s="329">
        <f>-'5C1Q_Advantage'!$R74</f>
        <v>-2120737</v>
      </c>
      <c r="S74" s="329">
        <f>-'5C1R_Iberville'!$R74</f>
        <v>0</v>
      </c>
      <c r="T74" s="329">
        <f>-'5C1S_LC Col Prep'!$R74</f>
        <v>0</v>
      </c>
      <c r="U74" s="329">
        <f>-'5C1T_Northeast'!$R74</f>
        <v>0</v>
      </c>
      <c r="V74" s="329">
        <f>-'5C1U_Acadiana Ren'!$R74</f>
        <v>0</v>
      </c>
      <c r="W74" s="329">
        <f>-'5C1V_Laf Ren'!$R74</f>
        <v>0</v>
      </c>
      <c r="X74" s="329">
        <f>-'5C1W_Willow'!$R74</f>
        <v>0</v>
      </c>
      <c r="Y74" s="329">
        <f>-'5C1Y_GEO'!$R74</f>
        <v>-172499</v>
      </c>
      <c r="Z74" s="329">
        <f>-'5C1Z_Lincoln Prep'!$R74</f>
        <v>0</v>
      </c>
      <c r="AA74" s="329">
        <f>-'5C1AD_Greater'!$R74</f>
        <v>0</v>
      </c>
      <c r="AB74" s="329">
        <f>-'5C1AE_Noble Minds'!$R74</f>
        <v>0</v>
      </c>
      <c r="AC74" s="329">
        <f>-'5C1AF_JCFA-Laf'!$R74</f>
        <v>0</v>
      </c>
      <c r="AD74" s="329">
        <f>-'5C1AG_Collegiate'!$R74</f>
        <v>-1580</v>
      </c>
      <c r="AE74" s="329">
        <f>-'5C1AH_BRUP'!$R74</f>
        <v>-18923</v>
      </c>
      <c r="AF74" s="329">
        <f>-'5C1AI_Harmony'!$R74</f>
        <v>0</v>
      </c>
      <c r="AG74" s="329">
        <f>-'5C1AJ_Athlos'!$R74</f>
        <v>0</v>
      </c>
      <c r="AH74" s="329">
        <f>-('5C2_LAVCA'!$R74+'5C2_LAVCA'!$S74)</f>
        <v>-32031</v>
      </c>
      <c r="AI74" s="329">
        <f>-('5C3_UnvView'!$R74+'5C3_UnvView'!$S74)</f>
        <v>-50723</v>
      </c>
      <c r="AJ74" s="330">
        <f>SUM(D74:AI74)</f>
        <v>-3671595</v>
      </c>
      <c r="AK74" s="330">
        <f t="shared" si="14"/>
        <v>9742450</v>
      </c>
      <c r="AL74" s="330">
        <f>ROUND(AK74/'8_2.1.19 SIS'!C74,0)</f>
        <v>7659</v>
      </c>
      <c r="AM74" s="330">
        <f>'3B_Pay Raise'!O74</f>
        <v>190329</v>
      </c>
      <c r="AN74" s="331">
        <f>'[1]LEA Summary'!$K74</f>
        <v>-84532</v>
      </c>
      <c r="AO74" s="329">
        <f>IF(AN74&gt;0,AN74,0)</f>
        <v>0</v>
      </c>
      <c r="AP74" s="329">
        <f>IF(AN74&lt;0,AN74,0)</f>
        <v>-84532</v>
      </c>
      <c r="AQ74" s="329">
        <f>VLOOKUP($A74,'[2]Oct_MidYear Adj'!$A$7:$N$137,10,FALSE)</f>
        <v>-229770</v>
      </c>
      <c r="AR74" s="329">
        <f>VLOOKUP($A74,'[3]Feb_MidYear Adj'!$A$7:$N$137,10,FALSE)</f>
        <v>-130203</v>
      </c>
      <c r="AS74" s="331">
        <f>SUM(AQ74:AR74)</f>
        <v>-359973</v>
      </c>
      <c r="AT74" s="330">
        <f>AK74+AM74+AN74+AS74</f>
        <v>9488274</v>
      </c>
      <c r="AU74" s="329">
        <f>'4_Level 4'!E74</f>
        <v>0</v>
      </c>
      <c r="AV74" s="329">
        <f>'4_Level 4'!Q74</f>
        <v>42244</v>
      </c>
      <c r="AW74" s="330">
        <f>ROUND(SUM(AT74:AV74),0)</f>
        <v>9530518</v>
      </c>
      <c r="AX74" s="329">
        <f>('[4]2_State Distrib and Adjs'!AZ74*2)+'[5]2_State Distrib and Adjs'!AZ74+('[6]2_State Distrib and Adjs'!AZ74*3)+('[7]2_State Distrib and Adjs'!AZ74*2)</f>
        <v>6595762</v>
      </c>
      <c r="AY74" s="329">
        <f>AW74-AX74</f>
        <v>2934756</v>
      </c>
      <c r="AZ74" s="329">
        <f>ROUND(AY74/$AZ$77,0)</f>
        <v>733689</v>
      </c>
      <c r="BA74" s="329">
        <f>'4_Level 4'!J74</f>
        <v>0</v>
      </c>
      <c r="BB74" s="329">
        <f>'4_Level 4'!L74</f>
        <v>25000</v>
      </c>
      <c r="BC74" s="329">
        <f>'4_Level 4'!M74</f>
        <v>0</v>
      </c>
      <c r="BD74" s="330">
        <f>AW74+BA74+BB74+BC74</f>
        <v>9555518</v>
      </c>
    </row>
    <row r="75" spans="1:56" ht="15.6" customHeight="1" x14ac:dyDescent="0.2">
      <c r="A75" s="337">
        <v>69</v>
      </c>
      <c r="B75" s="338" t="s">
        <v>74</v>
      </c>
      <c r="C75" s="339">
        <f>'3_Levels 1&amp;2'!AP75</f>
        <v>31960061</v>
      </c>
      <c r="D75" s="340">
        <v>0</v>
      </c>
      <c r="E75" s="340">
        <f>-'5C1A_Madison'!$R75</f>
        <v>-19213</v>
      </c>
      <c r="F75" s="340">
        <f>-'5C1B_DArbonne'!$R75</f>
        <v>0</v>
      </c>
      <c r="G75" s="340">
        <f>-'5C1C_Intl High'!$R75</f>
        <v>0</v>
      </c>
      <c r="H75" s="340">
        <f>-'5C1D_NOMMA'!$R75</f>
        <v>0</v>
      </c>
      <c r="I75" s="340">
        <f>-'5C1E_LFNO'!$R75</f>
        <v>0</v>
      </c>
      <c r="J75" s="340">
        <f>-'5C1F_L.C. Charter'!$R75</f>
        <v>0</v>
      </c>
      <c r="K75" s="340">
        <f>-'5C1G_JS Clark'!$R75</f>
        <v>0</v>
      </c>
      <c r="L75" s="340">
        <f>-'5C1H_Southwest'!$R75</f>
        <v>0</v>
      </c>
      <c r="M75" s="340">
        <f>-'5C1I_LA Key'!$R75</f>
        <v>-107656</v>
      </c>
      <c r="N75" s="340">
        <f>-'5C1J_JCFA-East'!$R75</f>
        <v>0</v>
      </c>
      <c r="O75" s="340">
        <f>-'5C1M_GEO Mid'!$R75</f>
        <v>-25222</v>
      </c>
      <c r="P75" s="340">
        <f>-'5C1N_Delta'!$R75</f>
        <v>0</v>
      </c>
      <c r="Q75" s="340">
        <f>-'5C1O_Impact'!$R75</f>
        <v>-6207</v>
      </c>
      <c r="R75" s="340">
        <f>-'5C1Q_Advantage'!$R75</f>
        <v>-11886</v>
      </c>
      <c r="S75" s="340">
        <f>-'5C1R_Iberville'!$R75</f>
        <v>0</v>
      </c>
      <c r="T75" s="340">
        <f>-'5C1S_LC Col Prep'!$R75</f>
        <v>0</v>
      </c>
      <c r="U75" s="340">
        <f>-'5C1T_Northeast'!$R75</f>
        <v>0</v>
      </c>
      <c r="V75" s="340">
        <f>-'5C1U_Acadiana Ren'!$R75</f>
        <v>0</v>
      </c>
      <c r="W75" s="340">
        <f>-'5C1V_Laf Ren'!$R75</f>
        <v>0</v>
      </c>
      <c r="X75" s="340">
        <f>-'5C1W_Willow'!$R75</f>
        <v>0</v>
      </c>
      <c r="Y75" s="340">
        <f>-'5C1Y_GEO'!$R75</f>
        <v>-65740</v>
      </c>
      <c r="Z75" s="340">
        <f>-'5C1Z_Lincoln Prep'!$R75</f>
        <v>0</v>
      </c>
      <c r="AA75" s="340">
        <f>-'5C1AD_Greater'!$R75</f>
        <v>0</v>
      </c>
      <c r="AB75" s="590">
        <f>-'5C1AE_Noble Minds'!$R75</f>
        <v>0</v>
      </c>
      <c r="AC75" s="590">
        <f>-'5C1AF_JCFA-Laf'!$R75</f>
        <v>0</v>
      </c>
      <c r="AD75" s="590">
        <f>-'5C1AG_Collegiate'!$R75</f>
        <v>0</v>
      </c>
      <c r="AE75" s="590">
        <f>-'5C1AH_BRUP'!$R75</f>
        <v>0</v>
      </c>
      <c r="AF75" s="882">
        <f>-'5C1AI_Harmony'!$R75</f>
        <v>0</v>
      </c>
      <c r="AG75" s="882">
        <f>-'5C1AJ_Athlos'!$R75</f>
        <v>0</v>
      </c>
      <c r="AH75" s="340">
        <f>-('5C2_LAVCA'!$R75+'5C2_LAVCA'!$S75)</f>
        <v>-51366</v>
      </c>
      <c r="AI75" s="340">
        <f>-('5C3_UnvView'!$R75+'5C3_UnvView'!$S75)</f>
        <v>-134013</v>
      </c>
      <c r="AJ75" s="341">
        <f>SUM(D75:AI75)</f>
        <v>-421303</v>
      </c>
      <c r="AK75" s="341">
        <f t="shared" si="14"/>
        <v>31538758</v>
      </c>
      <c r="AL75" s="341">
        <f>ROUND(AK75/'8_2.1.19 SIS'!C75,0)</f>
        <v>6780</v>
      </c>
      <c r="AM75" s="1065">
        <f>'3B_Pay Raise'!O75</f>
        <v>508302</v>
      </c>
      <c r="AN75" s="342">
        <f>'[1]LEA Summary'!$K75</f>
        <v>-310619</v>
      </c>
      <c r="AO75" s="339">
        <f>IF(AN75&gt;0,AN75,0)</f>
        <v>0</v>
      </c>
      <c r="AP75" s="339">
        <f>IF(AN75&lt;0,AN75,0)</f>
        <v>-310619</v>
      </c>
      <c r="AQ75" s="340">
        <f>VLOOKUP($A75,'[2]Oct_MidYear Adj'!$A$7:$N$137,10,FALSE)</f>
        <v>379680</v>
      </c>
      <c r="AR75" s="340">
        <f>VLOOKUP($A75,'[3]Feb_MidYear Adj'!$A$7:$N$137,10,FALSE)</f>
        <v>138990</v>
      </c>
      <c r="AS75" s="343">
        <f>SUM(AQ75:AR75)</f>
        <v>518670</v>
      </c>
      <c r="AT75" s="341">
        <f>AK75+AM75+AN75+AS75</f>
        <v>32255111</v>
      </c>
      <c r="AU75" s="340">
        <f>'4_Level 4'!E75</f>
        <v>0</v>
      </c>
      <c r="AV75" s="340">
        <f>'4_Level 4'!Q75</f>
        <v>123900</v>
      </c>
      <c r="AW75" s="341">
        <f>ROUND(SUM(AT75:AV75),0)</f>
        <v>32379011</v>
      </c>
      <c r="AX75" s="340">
        <f>('[4]2_State Distrib and Adjs'!AZ75*2)+'[5]2_State Distrib and Adjs'!AZ75+('[6]2_State Distrib and Adjs'!AZ75*3)+('[7]2_State Distrib and Adjs'!AZ75*2)</f>
        <v>21244690</v>
      </c>
      <c r="AY75" s="340">
        <f>AW75-AX75</f>
        <v>11134321</v>
      </c>
      <c r="AZ75" s="340">
        <f>ROUND(AY75/$AZ$77,0)</f>
        <v>2783580</v>
      </c>
      <c r="BA75" s="340">
        <f>'4_Level 4'!J75</f>
        <v>0</v>
      </c>
      <c r="BB75" s="340">
        <f>'4_Level 4'!L75</f>
        <v>204850</v>
      </c>
      <c r="BC75" s="340">
        <f>'4_Level 4'!M75</f>
        <v>0</v>
      </c>
      <c r="BD75" s="341">
        <f>AW75+BA75+BB75+BC75</f>
        <v>32583861</v>
      </c>
    </row>
    <row r="76" spans="1:56" s="30" customFormat="1" ht="15.6" customHeight="1" thickBot="1" x14ac:dyDescent="0.25">
      <c r="A76" s="511"/>
      <c r="B76" s="512" t="s">
        <v>70</v>
      </c>
      <c r="C76" s="513">
        <f t="shared" ref="C76:BD76" si="18">SUM(C7:C75)</f>
        <v>3656078574</v>
      </c>
      <c r="D76" s="513">
        <f t="shared" si="18"/>
        <v>-14453264</v>
      </c>
      <c r="E76" s="513">
        <f t="shared" si="18"/>
        <v>-2325751</v>
      </c>
      <c r="F76" s="513">
        <f t="shared" si="18"/>
        <v>-5581324</v>
      </c>
      <c r="G76" s="513">
        <f t="shared" si="18"/>
        <v>-2104279</v>
      </c>
      <c r="H76" s="513">
        <f t="shared" si="18"/>
        <v>-3907009</v>
      </c>
      <c r="I76" s="513">
        <f t="shared" si="18"/>
        <v>-3554503</v>
      </c>
      <c r="J76" s="513">
        <f t="shared" si="18"/>
        <v>-3749955</v>
      </c>
      <c r="K76" s="513">
        <f t="shared" si="18"/>
        <v>-1265385</v>
      </c>
      <c r="L76" s="513">
        <f t="shared" si="18"/>
        <v>-2645540</v>
      </c>
      <c r="M76" s="513">
        <f>SUM(M7:M75)</f>
        <v>-2065897</v>
      </c>
      <c r="N76" s="513">
        <f t="shared" si="18"/>
        <v>-1204490</v>
      </c>
      <c r="O76" s="513">
        <f t="shared" si="18"/>
        <v>-2674564</v>
      </c>
      <c r="P76" s="513">
        <f t="shared" si="18"/>
        <v>-2974491</v>
      </c>
      <c r="Q76" s="513">
        <f t="shared" si="18"/>
        <v>-1830060</v>
      </c>
      <c r="R76" s="513">
        <f t="shared" si="18"/>
        <v>-3388559</v>
      </c>
      <c r="S76" s="513">
        <f t="shared" si="18"/>
        <v>-926695</v>
      </c>
      <c r="T76" s="513">
        <f t="shared" si="18"/>
        <v>-1833721</v>
      </c>
      <c r="U76" s="513">
        <f t="shared" si="18"/>
        <v>-1133334</v>
      </c>
      <c r="V76" s="513">
        <f t="shared" si="18"/>
        <v>-3806199</v>
      </c>
      <c r="W76" s="513">
        <f t="shared" si="18"/>
        <v>-4070716</v>
      </c>
      <c r="X76" s="513">
        <f t="shared" si="18"/>
        <v>-2739589</v>
      </c>
      <c r="Y76" s="513">
        <f t="shared" si="18"/>
        <v>-2236005</v>
      </c>
      <c r="Z76" s="513">
        <f t="shared" si="18"/>
        <v>-2356537</v>
      </c>
      <c r="AA76" s="513">
        <f t="shared" si="18"/>
        <v>-308546</v>
      </c>
      <c r="AB76" s="513">
        <f t="shared" si="18"/>
        <v>-289479</v>
      </c>
      <c r="AC76" s="513">
        <f t="shared" si="18"/>
        <v>-320754</v>
      </c>
      <c r="AD76" s="513">
        <f t="shared" si="18"/>
        <v>-1124564</v>
      </c>
      <c r="AE76" s="591">
        <f t="shared" si="18"/>
        <v>-1306300</v>
      </c>
      <c r="AF76" s="591">
        <f t="shared" si="18"/>
        <v>-214137</v>
      </c>
      <c r="AG76" s="591">
        <f t="shared" si="18"/>
        <v>-4493912</v>
      </c>
      <c r="AH76" s="513">
        <f>SUM(AH7:AH75)</f>
        <v>-10492962</v>
      </c>
      <c r="AI76" s="513">
        <f t="shared" si="18"/>
        <v>-16234527</v>
      </c>
      <c r="AJ76" s="514">
        <f t="shared" si="18"/>
        <v>-107613048</v>
      </c>
      <c r="AK76" s="514">
        <f t="shared" si="18"/>
        <v>3548465526</v>
      </c>
      <c r="AL76" s="514">
        <f>ROUND(AK76/'8_2.1.19 SIS'!C76,0)</f>
        <v>5386</v>
      </c>
      <c r="AM76" s="1066">
        <f t="shared" si="18"/>
        <v>96412813</v>
      </c>
      <c r="AN76" s="515">
        <f t="shared" ref="AN76:AV76" si="19">SUM(AN7:AN75)</f>
        <v>-1791959</v>
      </c>
      <c r="AO76" s="513">
        <f t="shared" si="19"/>
        <v>353902</v>
      </c>
      <c r="AP76" s="513">
        <f t="shared" si="19"/>
        <v>-2145861</v>
      </c>
      <c r="AQ76" s="513">
        <f t="shared" si="19"/>
        <v>2180032</v>
      </c>
      <c r="AR76" s="513">
        <f t="shared" si="19"/>
        <v>-6956896</v>
      </c>
      <c r="AS76" s="515">
        <f t="shared" si="19"/>
        <v>-4776864</v>
      </c>
      <c r="AT76" s="514">
        <f t="shared" si="19"/>
        <v>3638309516</v>
      </c>
      <c r="AU76" s="513">
        <f t="shared" si="19"/>
        <v>4410000</v>
      </c>
      <c r="AV76" s="513">
        <f t="shared" si="19"/>
        <v>17010467</v>
      </c>
      <c r="AW76" s="514">
        <f>SUM(AW7:AW75)</f>
        <v>3659729983</v>
      </c>
      <c r="AX76" s="513">
        <f t="shared" si="18"/>
        <v>2442559290</v>
      </c>
      <c r="AY76" s="513">
        <f t="shared" si="18"/>
        <v>1217170693</v>
      </c>
      <c r="AZ76" s="513">
        <f t="shared" si="18"/>
        <v>304292681</v>
      </c>
      <c r="BA76" s="513">
        <f t="shared" si="18"/>
        <v>438000</v>
      </c>
      <c r="BB76" s="513">
        <f>SUM(BB7:BB75)</f>
        <v>17194171.5</v>
      </c>
      <c r="BC76" s="513">
        <f t="shared" si="18"/>
        <v>11559348</v>
      </c>
      <c r="BD76" s="514">
        <f t="shared" si="18"/>
        <v>3688921502.5</v>
      </c>
    </row>
    <row r="77" spans="1:56" ht="13.5" thickTop="1" x14ac:dyDescent="0.2">
      <c r="D77" s="510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E77" s="602"/>
      <c r="AF77" s="602"/>
      <c r="AG77" s="602"/>
      <c r="AI77"/>
      <c r="AJ77"/>
      <c r="AK77"/>
      <c r="AL77"/>
      <c r="AM77"/>
      <c r="AN77"/>
      <c r="AZ77" s="7">
        <v>4</v>
      </c>
      <c r="BC77" s="30"/>
      <c r="BD77" s="344"/>
    </row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0">
    <mergeCell ref="AW1:AW2"/>
    <mergeCell ref="AN1:AP1"/>
    <mergeCell ref="AU1:AV1"/>
    <mergeCell ref="AQ1:AS1"/>
    <mergeCell ref="AT1:AT2"/>
    <mergeCell ref="AX1:AX2"/>
    <mergeCell ref="AY1:AY2"/>
    <mergeCell ref="AZ1:AZ2"/>
    <mergeCell ref="BD1:BD2"/>
    <mergeCell ref="BA1:BC1"/>
    <mergeCell ref="A1:B2"/>
    <mergeCell ref="C1:C2"/>
    <mergeCell ref="AK1:AK2"/>
    <mergeCell ref="AL1:AL2"/>
    <mergeCell ref="AM1:AM2"/>
    <mergeCell ref="AG1:AJ1"/>
    <mergeCell ref="D1:I1"/>
    <mergeCell ref="J1:Q1"/>
    <mergeCell ref="R1:X1"/>
    <mergeCell ref="Y1:AF1"/>
  </mergeCells>
  <phoneticPr fontId="37" type="noConversion"/>
  <printOptions horizontalCentered="1"/>
  <pageMargins left="0.35" right="0.35" top="1.1499999999999999" bottom="0.5" header="0.5" footer="0.25"/>
  <pageSetup paperSize="5" scale="72" firstPageNumber="3" fitToWidth="0" orientation="portrait" r:id="rId2"/>
  <headerFooter alignWithMargins="0">
    <oddHeader>&amp;L&amp;"Arial,Bold"&amp;18&amp;K000000Table 2: FY2019-20 Budget Letter
MFP Distribution and Adjustments</oddHeader>
    <oddFooter>&amp;R&amp;P</oddFooter>
  </headerFooter>
  <colBreaks count="7" manualBreakCount="7">
    <brk id="9" max="75" man="1"/>
    <brk id="17" max="75" man="1"/>
    <brk id="24" max="75" man="1"/>
    <brk id="32" max="75" man="1"/>
    <brk id="39" max="1048575" man="1"/>
    <brk id="46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419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654" t="s">
        <v>1197</v>
      </c>
      <c r="I3" s="482" t="s">
        <v>392</v>
      </c>
      <c r="J3" s="482" t="s">
        <v>320</v>
      </c>
      <c r="K3" s="654" t="s">
        <v>1198</v>
      </c>
      <c r="L3" s="482" t="s">
        <v>392</v>
      </c>
      <c r="M3" s="482" t="s">
        <v>320</v>
      </c>
      <c r="N3" s="654" t="s">
        <v>1199</v>
      </c>
      <c r="O3" s="482" t="s">
        <v>392</v>
      </c>
      <c r="P3" s="482" t="s">
        <v>320</v>
      </c>
      <c r="Q3" s="654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253</v>
      </c>
      <c r="D76" s="164">
        <v>8972.6118143692656</v>
      </c>
      <c r="E76" s="165">
        <v>2238039.0285767899</v>
      </c>
      <c r="F76" s="165">
        <v>716.3</v>
      </c>
      <c r="G76" s="165">
        <v>181223.9</v>
      </c>
      <c r="H76" s="163">
        <v>212</v>
      </c>
      <c r="I76" s="164">
        <v>569.60967937788098</v>
      </c>
      <c r="J76" s="165">
        <v>128533.38974024811</v>
      </c>
      <c r="K76" s="163">
        <v>19</v>
      </c>
      <c r="L76" s="164">
        <v>158.62710748085348</v>
      </c>
      <c r="M76" s="165">
        <v>3209.5098663886156</v>
      </c>
      <c r="N76" s="163">
        <v>25</v>
      </c>
      <c r="O76" s="164">
        <v>3935.2023104669443</v>
      </c>
      <c r="P76" s="165">
        <v>104004.55625506956</v>
      </c>
      <c r="Q76" s="163">
        <v>0</v>
      </c>
      <c r="R76" s="164">
        <v>1525.492171506211</v>
      </c>
      <c r="S76" s="165">
        <v>0</v>
      </c>
      <c r="T76" s="166">
        <v>2655009</v>
      </c>
      <c r="U76" s="164">
        <v>185765</v>
      </c>
      <c r="V76" s="164">
        <v>-72200</v>
      </c>
      <c r="W76" s="167">
        <v>113565</v>
      </c>
      <c r="X76" s="166">
        <v>2768574</v>
      </c>
      <c r="Y76" s="165">
        <v>-6923</v>
      </c>
      <c r="Z76" s="166">
        <v>2761651</v>
      </c>
      <c r="AA76" s="165">
        <v>0</v>
      </c>
      <c r="AB76" s="166">
        <v>2761651</v>
      </c>
      <c r="AC76" s="164">
        <v>1784082</v>
      </c>
      <c r="AD76" s="164">
        <v>977569</v>
      </c>
      <c r="AE76" s="166">
        <v>244394</v>
      </c>
      <c r="AF76" s="169">
        <v>2761651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26951</v>
      </c>
      <c r="U77" s="975"/>
      <c r="V77" s="975"/>
      <c r="W77" s="975"/>
      <c r="X77" s="976">
        <v>26951</v>
      </c>
      <c r="Y77" s="1018">
        <v>-67</v>
      </c>
      <c r="Z77" s="976">
        <v>26884</v>
      </c>
      <c r="AA77" s="975"/>
      <c r="AB77" s="976">
        <v>26884</v>
      </c>
      <c r="AC77" s="975">
        <v>17926</v>
      </c>
      <c r="AD77" s="975">
        <v>8958</v>
      </c>
      <c r="AE77" s="976">
        <v>2240</v>
      </c>
      <c r="AF77" s="1020">
        <v>26884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4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0</v>
      </c>
    </row>
    <row r="82" spans="1:34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4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0</v>
      </c>
      <c r="AC83" s="156">
        <v>0</v>
      </c>
      <c r="AD83" s="795">
        <v>0</v>
      </c>
      <c r="AE83" s="157">
        <v>0</v>
      </c>
      <c r="AF83" s="157">
        <v>0</v>
      </c>
    </row>
    <row r="84" spans="1:34" s="16" customFormat="1" ht="15" customHeight="1" thickBot="1" x14ac:dyDescent="0.25">
      <c r="A84" s="1408" t="s">
        <v>398</v>
      </c>
      <c r="B84" s="1409"/>
      <c r="C84" s="163">
        <v>253</v>
      </c>
      <c r="D84" s="164">
        <v>8972.6118143692656</v>
      </c>
      <c r="E84" s="165">
        <v>2238039.0285767899</v>
      </c>
      <c r="F84" s="165">
        <v>716.3</v>
      </c>
      <c r="G84" s="165">
        <v>181223.9</v>
      </c>
      <c r="H84" s="163">
        <v>212</v>
      </c>
      <c r="I84" s="164">
        <v>569.60967937788098</v>
      </c>
      <c r="J84" s="165">
        <v>128533.38974024811</v>
      </c>
      <c r="K84" s="163">
        <v>19</v>
      </c>
      <c r="L84" s="164">
        <v>158.62710748085348</v>
      </c>
      <c r="M84" s="165">
        <v>3209.5098663886156</v>
      </c>
      <c r="N84" s="163">
        <v>25</v>
      </c>
      <c r="O84" s="164">
        <v>3935.2023104669443</v>
      </c>
      <c r="P84" s="165">
        <v>104004.55625506956</v>
      </c>
      <c r="Q84" s="163">
        <v>0</v>
      </c>
      <c r="R84" s="164">
        <v>1525.492171506211</v>
      </c>
      <c r="S84" s="165">
        <v>0</v>
      </c>
      <c r="T84" s="166">
        <v>2681960</v>
      </c>
      <c r="U84" s="164">
        <v>185765</v>
      </c>
      <c r="V84" s="164">
        <v>-72200</v>
      </c>
      <c r="W84" s="167">
        <v>113565</v>
      </c>
      <c r="X84" s="166">
        <v>2795525</v>
      </c>
      <c r="Y84" s="165">
        <v>-6990</v>
      </c>
      <c r="Z84" s="166">
        <v>2788535</v>
      </c>
      <c r="AA84" s="165">
        <v>0</v>
      </c>
      <c r="AB84" s="166">
        <v>2788535</v>
      </c>
      <c r="AC84" s="164">
        <v>1802008</v>
      </c>
      <c r="AD84" s="164">
        <v>986527</v>
      </c>
      <c r="AE84" s="166">
        <v>246634</v>
      </c>
      <c r="AF84" s="169">
        <v>2788535</v>
      </c>
    </row>
    <row r="85" spans="1:34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4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4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4" ht="13.9" customHeight="1" x14ac:dyDescent="0.2">
      <c r="A88" s="9"/>
      <c r="B88" s="9"/>
      <c r="C88" s="865"/>
      <c r="D88" s="865"/>
      <c r="E88" s="865"/>
      <c r="F88" s="865"/>
      <c r="G88" s="865"/>
      <c r="H88" s="865"/>
      <c r="I88" s="865"/>
      <c r="J88" s="865"/>
      <c r="K88" s="865"/>
      <c r="L88" s="865"/>
      <c r="M88" s="865"/>
      <c r="N88" s="865"/>
      <c r="O88" s="865"/>
      <c r="P88" s="865"/>
      <c r="Q88" s="865"/>
      <c r="R88" s="865"/>
      <c r="S88" s="865"/>
      <c r="T88" s="865"/>
      <c r="U88" s="865"/>
      <c r="V88" s="865"/>
      <c r="W88" s="865"/>
      <c r="X88" s="865"/>
      <c r="Y88" s="865"/>
      <c r="Z88" s="865"/>
      <c r="AA88" s="865"/>
      <c r="AB88" s="865"/>
      <c r="AC88" s="865"/>
      <c r="AD88" s="865"/>
      <c r="AE88" s="865"/>
      <c r="AF88" s="865"/>
      <c r="AG88"/>
      <c r="AH88"/>
    </row>
    <row r="89" spans="1:34" x14ac:dyDescent="0.2">
      <c r="A89" s="9" t="s">
        <v>1171</v>
      </c>
      <c r="B89" s="9" t="s">
        <v>1171</v>
      </c>
      <c r="C89" s="870" t="s">
        <v>1171</v>
      </c>
      <c r="D89" s="870" t="s">
        <v>1171</v>
      </c>
      <c r="E89" s="870" t="s">
        <v>1171</v>
      </c>
      <c r="F89" s="865"/>
      <c r="G89" s="865"/>
      <c r="H89" s="865"/>
      <c r="I89" s="865"/>
      <c r="J89" s="865"/>
      <c r="K89" s="865"/>
      <c r="L89" s="865"/>
      <c r="M89" s="865"/>
      <c r="N89" s="865"/>
      <c r="O89" s="865"/>
      <c r="P89" s="865"/>
      <c r="Q89" s="865"/>
      <c r="R89" s="865"/>
      <c r="S89" s="865"/>
      <c r="T89" s="865"/>
      <c r="U89" s="865"/>
      <c r="V89" s="865"/>
      <c r="W89" s="865"/>
      <c r="X89" s="865"/>
      <c r="Y89" s="865"/>
      <c r="Z89" s="865"/>
      <c r="AA89" s="865"/>
      <c r="AB89" s="865"/>
      <c r="AC89" s="865"/>
      <c r="AD89" s="865"/>
      <c r="AE89" s="865"/>
      <c r="AF89" s="865"/>
      <c r="AG89"/>
      <c r="AH89"/>
    </row>
    <row r="90" spans="1:34" x14ac:dyDescent="0.2">
      <c r="A90" s="9"/>
      <c r="B90" s="9"/>
      <c r="C90" s="865"/>
      <c r="D90" s="865"/>
      <c r="E90" s="865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865"/>
      <c r="U90" s="865"/>
      <c r="V90" s="865"/>
      <c r="W90" s="865"/>
      <c r="X90" s="865"/>
      <c r="Y90" s="865"/>
      <c r="Z90" s="865"/>
      <c r="AA90" s="865"/>
      <c r="AB90" s="865"/>
      <c r="AC90" s="865"/>
      <c r="AD90" s="865"/>
      <c r="AE90" s="865"/>
      <c r="AF90" s="865"/>
      <c r="AG90"/>
      <c r="AH90"/>
    </row>
    <row r="91" spans="1:34" x14ac:dyDescent="0.2">
      <c r="A91" s="9"/>
      <c r="B91" s="868">
        <v>321001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4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4" x14ac:dyDescent="0.2">
      <c r="A93" s="9"/>
      <c r="B93" s="868" t="s">
        <v>1130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4" x14ac:dyDescent="0.2">
      <c r="A94" s="9"/>
      <c r="B94" s="868" t="s">
        <v>1463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83:B83"/>
    <mergeCell ref="K2:M2"/>
    <mergeCell ref="Q2:S2"/>
    <mergeCell ref="A81:B81"/>
    <mergeCell ref="A82:B82"/>
    <mergeCell ref="A77:B77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438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329</v>
      </c>
      <c r="D76" s="164">
        <v>8972.6118143692656</v>
      </c>
      <c r="E76" s="165">
        <v>2733491.8799428893</v>
      </c>
      <c r="F76" s="165">
        <v>598.4</v>
      </c>
      <c r="G76" s="165">
        <v>196873.59999999998</v>
      </c>
      <c r="H76" s="163">
        <v>248</v>
      </c>
      <c r="I76" s="164">
        <v>569.60967937788098</v>
      </c>
      <c r="J76" s="165">
        <v>154020.96549652913</v>
      </c>
      <c r="K76" s="163">
        <v>0</v>
      </c>
      <c r="L76" s="164">
        <v>158.62710748085348</v>
      </c>
      <c r="M76" s="165">
        <v>0</v>
      </c>
      <c r="N76" s="163">
        <v>40</v>
      </c>
      <c r="O76" s="164">
        <v>3935.2023104669443</v>
      </c>
      <c r="P76" s="165">
        <v>169427.34157120119</v>
      </c>
      <c r="Q76" s="163">
        <v>2</v>
      </c>
      <c r="R76" s="164">
        <v>1525.492171506211</v>
      </c>
      <c r="S76" s="165">
        <v>3334.8494647500174</v>
      </c>
      <c r="T76" s="166">
        <v>3257148</v>
      </c>
      <c r="U76" s="164">
        <v>194825</v>
      </c>
      <c r="V76" s="164">
        <v>-9589</v>
      </c>
      <c r="W76" s="167">
        <v>185236</v>
      </c>
      <c r="X76" s="166">
        <v>3442384</v>
      </c>
      <c r="Y76" s="165">
        <v>-8607</v>
      </c>
      <c r="Z76" s="166">
        <v>3433777</v>
      </c>
      <c r="AA76" s="165">
        <v>8363</v>
      </c>
      <c r="AB76" s="166">
        <v>3442140</v>
      </c>
      <c r="AC76" s="164">
        <v>2157270</v>
      </c>
      <c r="AD76" s="164">
        <v>1284870</v>
      </c>
      <c r="AE76" s="166">
        <v>321218</v>
      </c>
      <c r="AF76" s="169">
        <v>3442140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50515</v>
      </c>
      <c r="U77" s="975"/>
      <c r="V77" s="975"/>
      <c r="W77" s="975"/>
      <c r="X77" s="976">
        <v>50515</v>
      </c>
      <c r="Y77" s="1018">
        <v>-126</v>
      </c>
      <c r="Z77" s="976">
        <v>50389</v>
      </c>
      <c r="AA77" s="975"/>
      <c r="AB77" s="976">
        <v>50389</v>
      </c>
      <c r="AC77" s="975">
        <v>34248</v>
      </c>
      <c r="AD77" s="975">
        <v>16141</v>
      </c>
      <c r="AE77" s="976">
        <v>4035</v>
      </c>
      <c r="AF77" s="1020">
        <v>50389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10000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3540</v>
      </c>
      <c r="AC83" s="156">
        <v>2360</v>
      </c>
      <c r="AD83" s="795">
        <v>1180</v>
      </c>
      <c r="AE83" s="157">
        <v>295</v>
      </c>
      <c r="AF83" s="157">
        <v>3540</v>
      </c>
    </row>
    <row r="84" spans="1:32" s="16" customFormat="1" ht="15" customHeight="1" thickBot="1" x14ac:dyDescent="0.25">
      <c r="A84" s="1408" t="s">
        <v>398</v>
      </c>
      <c r="B84" s="1409"/>
      <c r="C84" s="163">
        <v>329</v>
      </c>
      <c r="D84" s="164">
        <v>8972.6118143692656</v>
      </c>
      <c r="E84" s="165">
        <v>2733491.8799428893</v>
      </c>
      <c r="F84" s="165">
        <v>598.4</v>
      </c>
      <c r="G84" s="165">
        <v>196873.59999999998</v>
      </c>
      <c r="H84" s="163">
        <v>248</v>
      </c>
      <c r="I84" s="164">
        <v>569.60967937788098</v>
      </c>
      <c r="J84" s="165">
        <v>154020.96549652913</v>
      </c>
      <c r="K84" s="163">
        <v>0</v>
      </c>
      <c r="L84" s="164">
        <v>158.62710748085348</v>
      </c>
      <c r="M84" s="165">
        <v>0</v>
      </c>
      <c r="N84" s="163">
        <v>40</v>
      </c>
      <c r="O84" s="164">
        <v>3935.2023104669443</v>
      </c>
      <c r="P84" s="165">
        <v>169427.34157120119</v>
      </c>
      <c r="Q84" s="163">
        <v>2</v>
      </c>
      <c r="R84" s="164">
        <v>1525.492171506211</v>
      </c>
      <c r="S84" s="165">
        <v>3334.8494647500174</v>
      </c>
      <c r="T84" s="166">
        <v>3307663</v>
      </c>
      <c r="U84" s="164">
        <v>194825</v>
      </c>
      <c r="V84" s="164">
        <v>-9589</v>
      </c>
      <c r="W84" s="167">
        <v>185236</v>
      </c>
      <c r="X84" s="166">
        <v>3492899</v>
      </c>
      <c r="Y84" s="165">
        <v>-8733</v>
      </c>
      <c r="Z84" s="166">
        <v>3484166</v>
      </c>
      <c r="AA84" s="165">
        <v>8363</v>
      </c>
      <c r="AB84" s="166">
        <v>3496069</v>
      </c>
      <c r="AC84" s="164">
        <v>2193878</v>
      </c>
      <c r="AD84" s="164">
        <v>1302191</v>
      </c>
      <c r="AE84" s="166">
        <v>325548</v>
      </c>
      <c r="AF84" s="169">
        <v>3506069</v>
      </c>
    </row>
    <row r="85" spans="1:32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2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2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2" ht="13.9" customHeight="1" x14ac:dyDescent="0.2">
      <c r="A88" s="9"/>
      <c r="B88" s="9"/>
      <c r="C88" s="9"/>
      <c r="D88" s="9"/>
      <c r="E88" s="9"/>
      <c r="F88" s="1441"/>
      <c r="G88" s="1441"/>
      <c r="H88" s="9"/>
      <c r="I88" s="9"/>
      <c r="J88" s="9"/>
      <c r="K88" s="9"/>
      <c r="L88" s="865"/>
      <c r="M88" s="865"/>
      <c r="N88" s="865"/>
      <c r="O88" s="865"/>
      <c r="P88" s="865"/>
      <c r="Q88" s="865"/>
      <c r="R88" s="865"/>
      <c r="S88" s="865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9" t="s">
        <v>1171</v>
      </c>
      <c r="B89" s="9" t="s">
        <v>1171</v>
      </c>
      <c r="C89" s="9" t="s">
        <v>1171</v>
      </c>
      <c r="D89" s="9" t="s">
        <v>1171</v>
      </c>
      <c r="E89" s="9" t="s">
        <v>1171</v>
      </c>
      <c r="F89" s="1441"/>
      <c r="G89" s="1441"/>
      <c r="H89" s="9"/>
      <c r="I89" s="9"/>
      <c r="J89" s="9"/>
      <c r="K89" s="9"/>
      <c r="L89" s="865"/>
      <c r="M89" s="865"/>
      <c r="N89" s="865"/>
      <c r="O89" s="865"/>
      <c r="P89" s="865"/>
      <c r="Q89" s="865"/>
      <c r="R89" s="865"/>
      <c r="S89" s="865"/>
      <c r="T89" s="9"/>
      <c r="U89" s="9"/>
      <c r="V89" s="9"/>
      <c r="W89" s="9"/>
      <c r="X89" s="9"/>
      <c r="Y89" s="517"/>
      <c r="Z89" s="866"/>
      <c r="AA89" s="9"/>
      <c r="AB89" s="9"/>
      <c r="AC89" s="9"/>
      <c r="AD89" s="9"/>
      <c r="AE89" s="9"/>
      <c r="AF89" s="9"/>
    </row>
    <row r="90" spans="1:3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517"/>
      <c r="Z90" s="866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329001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8" t="s">
        <v>1131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8" t="s">
        <v>1469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46" t="s">
        <v>1253</v>
      </c>
      <c r="B1" s="1447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48"/>
      <c r="B2" s="1449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50"/>
      <c r="B3" s="1451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1.5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400</v>
      </c>
      <c r="C42" s="117"/>
      <c r="D42" s="1233"/>
      <c r="E42" s="118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1387</v>
      </c>
      <c r="D76" s="164">
        <v>8972.6118143692656</v>
      </c>
      <c r="E76" s="165">
        <v>11853857.573094692</v>
      </c>
      <c r="F76" s="165">
        <v>714.81</v>
      </c>
      <c r="G76" s="165">
        <v>991441.47</v>
      </c>
      <c r="H76" s="163">
        <v>891</v>
      </c>
      <c r="I76" s="164">
        <v>569.60967937788098</v>
      </c>
      <c r="J76" s="165">
        <v>421305.4111953461</v>
      </c>
      <c r="K76" s="163">
        <v>0</v>
      </c>
      <c r="L76" s="164">
        <v>158.62710748085348</v>
      </c>
      <c r="M76" s="165">
        <v>0</v>
      </c>
      <c r="N76" s="163">
        <v>78</v>
      </c>
      <c r="O76" s="164">
        <v>3935.2023104669443</v>
      </c>
      <c r="P76" s="165">
        <v>253510.60219389756</v>
      </c>
      <c r="Q76" s="163">
        <v>0</v>
      </c>
      <c r="R76" s="164">
        <v>1525.492171506211</v>
      </c>
      <c r="S76" s="165">
        <v>0</v>
      </c>
      <c r="T76" s="166">
        <v>13520115</v>
      </c>
      <c r="U76" s="164">
        <v>139296</v>
      </c>
      <c r="V76" s="164">
        <v>-105782</v>
      </c>
      <c r="W76" s="167">
        <v>33514</v>
      </c>
      <c r="X76" s="166">
        <v>13553629</v>
      </c>
      <c r="Y76" s="165">
        <v>-33885</v>
      </c>
      <c r="Z76" s="166">
        <v>13519744</v>
      </c>
      <c r="AA76" s="165">
        <v>4573</v>
      </c>
      <c r="AB76" s="166">
        <v>13524317</v>
      </c>
      <c r="AC76" s="164">
        <v>9062998</v>
      </c>
      <c r="AD76" s="164">
        <v>4461319</v>
      </c>
      <c r="AE76" s="166">
        <v>1115331</v>
      </c>
      <c r="AF76" s="169">
        <v>13524317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213769</v>
      </c>
      <c r="U77" s="975"/>
      <c r="V77" s="975"/>
      <c r="W77" s="975"/>
      <c r="X77" s="976">
        <v>213769</v>
      </c>
      <c r="Y77" s="1018">
        <v>-534</v>
      </c>
      <c r="Z77" s="976">
        <v>213235</v>
      </c>
      <c r="AA77" s="975"/>
      <c r="AB77" s="976">
        <v>213235</v>
      </c>
      <c r="AC77" s="975">
        <v>142874</v>
      </c>
      <c r="AD77" s="975">
        <v>70361</v>
      </c>
      <c r="AE77" s="976">
        <v>17590</v>
      </c>
      <c r="AF77" s="1020">
        <v>213235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420000</v>
      </c>
      <c r="AC79" s="791">
        <v>280000</v>
      </c>
      <c r="AD79" s="790">
        <v>140000</v>
      </c>
      <c r="AE79" s="142">
        <v>35000</v>
      </c>
      <c r="AF79" s="142">
        <v>420000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66000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0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10089</v>
      </c>
      <c r="AC83" s="156">
        <v>6728</v>
      </c>
      <c r="AD83" s="795">
        <v>3361</v>
      </c>
      <c r="AE83" s="157">
        <v>840</v>
      </c>
      <c r="AF83" s="157">
        <v>10089</v>
      </c>
    </row>
    <row r="84" spans="1:32" s="16" customFormat="1" ht="15" customHeight="1" thickBot="1" x14ac:dyDescent="0.25">
      <c r="A84" s="1408" t="s">
        <v>398</v>
      </c>
      <c r="B84" s="1409"/>
      <c r="C84" s="163">
        <v>1387</v>
      </c>
      <c r="D84" s="164">
        <v>8972.6118143692656</v>
      </c>
      <c r="E84" s="165">
        <v>11853857.573094692</v>
      </c>
      <c r="F84" s="165">
        <v>714.81</v>
      </c>
      <c r="G84" s="165">
        <v>991441.47</v>
      </c>
      <c r="H84" s="163">
        <v>891</v>
      </c>
      <c r="I84" s="164">
        <v>569.60967937788098</v>
      </c>
      <c r="J84" s="165">
        <v>421305.4111953461</v>
      </c>
      <c r="K84" s="163">
        <v>0</v>
      </c>
      <c r="L84" s="164">
        <v>158.62710748085348</v>
      </c>
      <c r="M84" s="165">
        <v>0</v>
      </c>
      <c r="N84" s="163">
        <v>78</v>
      </c>
      <c r="O84" s="164">
        <v>3935.2023104669443</v>
      </c>
      <c r="P84" s="165">
        <v>253510.60219389756</v>
      </c>
      <c r="Q84" s="163">
        <v>0</v>
      </c>
      <c r="R84" s="164">
        <v>1525.492171506211</v>
      </c>
      <c r="S84" s="165">
        <v>0</v>
      </c>
      <c r="T84" s="166">
        <v>13733884</v>
      </c>
      <c r="U84" s="164">
        <v>139296</v>
      </c>
      <c r="V84" s="164">
        <v>-105782</v>
      </c>
      <c r="W84" s="167">
        <v>33514</v>
      </c>
      <c r="X84" s="166">
        <v>13767398</v>
      </c>
      <c r="Y84" s="165">
        <v>-34419</v>
      </c>
      <c r="Z84" s="166">
        <v>13732979</v>
      </c>
      <c r="AA84" s="165">
        <v>4573</v>
      </c>
      <c r="AB84" s="166">
        <v>14167641</v>
      </c>
      <c r="AC84" s="164">
        <v>9492600</v>
      </c>
      <c r="AD84" s="164">
        <v>4675041</v>
      </c>
      <c r="AE84" s="166">
        <v>1168761</v>
      </c>
      <c r="AF84" s="169">
        <v>14233641</v>
      </c>
    </row>
    <row r="85" spans="1:32" customFormat="1" ht="8.4499999999999993" customHeight="1" thickTop="1" x14ac:dyDescent="0.2"/>
    <row r="86" spans="1:32" s="1016" customFormat="1" ht="15" customHeight="1" x14ac:dyDescent="0.2">
      <c r="A86" s="1442" t="s">
        <v>401</v>
      </c>
      <c r="B86" s="1443"/>
      <c r="C86" s="1101">
        <v>533</v>
      </c>
      <c r="D86" s="1102">
        <v>8346.5404177245946</v>
      </c>
      <c r="E86" s="1102">
        <v>4448706.042647209</v>
      </c>
      <c r="F86" s="1208"/>
      <c r="G86" s="1208"/>
      <c r="H86" s="1208"/>
      <c r="I86" s="1208"/>
      <c r="J86" s="1208"/>
      <c r="K86" s="1208"/>
      <c r="L86" s="1208"/>
      <c r="M86" s="1208"/>
      <c r="N86" s="1208"/>
      <c r="O86" s="1208"/>
      <c r="P86" s="1208"/>
      <c r="Q86" s="1208"/>
      <c r="R86" s="1208"/>
      <c r="S86" s="1208"/>
      <c r="T86" s="1208"/>
      <c r="U86" s="1208"/>
      <c r="V86" s="1208"/>
      <c r="W86" s="1208"/>
      <c r="X86" s="1208"/>
      <c r="Y86" s="1208"/>
      <c r="Z86" s="1208"/>
      <c r="AA86" s="1208"/>
      <c r="AB86" s="1208"/>
      <c r="AC86" s="1208"/>
      <c r="AD86" s="1208"/>
      <c r="AE86" s="1208"/>
      <c r="AF86" s="1208"/>
    </row>
    <row r="87" spans="1:32" s="1016" customFormat="1" ht="15" customHeight="1" x14ac:dyDescent="0.2">
      <c r="A87" s="1444" t="s">
        <v>402</v>
      </c>
      <c r="B87" s="1445"/>
      <c r="C87" s="1103">
        <v>196</v>
      </c>
      <c r="D87" s="1104">
        <v>9232.5404177245946</v>
      </c>
      <c r="E87" s="1104">
        <v>1809577.9218740205</v>
      </c>
      <c r="F87" s="1208"/>
      <c r="G87" s="1208"/>
      <c r="H87" s="1208"/>
      <c r="I87" s="1208"/>
      <c r="J87" s="1208"/>
      <c r="K87" s="1208"/>
      <c r="L87" s="1208"/>
      <c r="M87" s="1208"/>
      <c r="N87" s="1208"/>
      <c r="O87" s="1208"/>
      <c r="P87" s="1208"/>
      <c r="Q87" s="1208"/>
      <c r="R87" s="1208"/>
      <c r="S87" s="1208"/>
      <c r="T87" s="1208"/>
      <c r="U87" s="1208"/>
      <c r="V87" s="1208"/>
      <c r="W87" s="1208"/>
      <c r="X87" s="1208"/>
      <c r="Y87" s="1208"/>
      <c r="Z87" s="1208"/>
      <c r="AA87" s="1208"/>
      <c r="AB87" s="1208"/>
      <c r="AC87" s="1208"/>
      <c r="AD87" s="1208"/>
      <c r="AE87" s="1208"/>
      <c r="AF87" s="1208"/>
    </row>
    <row r="88" spans="1:32" ht="16.149999999999999" customHeight="1" x14ac:dyDescent="0.2">
      <c r="A88" s="9"/>
      <c r="B88" s="9" t="s">
        <v>451</v>
      </c>
      <c r="C88" s="864">
        <v>729</v>
      </c>
      <c r="D88" s="517"/>
      <c r="E88" s="517"/>
      <c r="F88" s="517"/>
      <c r="G88" s="517"/>
      <c r="H88" s="517"/>
      <c r="I88" s="517"/>
      <c r="J88" s="517"/>
      <c r="K88" s="517"/>
      <c r="L88" s="865"/>
      <c r="M88" s="865"/>
      <c r="N88" s="865"/>
      <c r="O88" s="865"/>
      <c r="P88" s="865"/>
      <c r="Q88" s="865"/>
      <c r="R88" s="865"/>
      <c r="S88" s="865"/>
      <c r="T88" s="517"/>
      <c r="U88" s="517"/>
      <c r="V88" s="517"/>
      <c r="W88" s="517"/>
      <c r="X88" s="517"/>
      <c r="Y88" s="517"/>
      <c r="Z88" s="866"/>
      <c r="AA88" s="517"/>
      <c r="AB88" s="517"/>
      <c r="AC88" s="517"/>
      <c r="AD88" s="517"/>
      <c r="AE88" s="9"/>
      <c r="AF88" s="517"/>
    </row>
    <row r="89" spans="1:32" ht="16.149999999999999" customHeight="1" x14ac:dyDescent="0.2">
      <c r="A89" s="867" t="s">
        <v>1171</v>
      </c>
      <c r="B89" s="867" t="s">
        <v>1171</v>
      </c>
      <c r="C89" s="864">
        <v>0</v>
      </c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866"/>
      <c r="AA89" s="517"/>
      <c r="AB89" s="517"/>
      <c r="AC89" s="517"/>
      <c r="AD89" s="517"/>
      <c r="AE89" s="517"/>
      <c r="AF89" s="517"/>
    </row>
    <row r="90" spans="1:32" ht="16.149999999999999" customHeight="1" x14ac:dyDescent="0.2">
      <c r="A90" s="9"/>
      <c r="B90" s="9"/>
      <c r="C90" s="864"/>
      <c r="D90" s="9"/>
      <c r="E90" s="9"/>
      <c r="F90" s="865"/>
      <c r="G90" s="865"/>
      <c r="H90" s="865"/>
      <c r="I90" s="865"/>
      <c r="J90" s="865"/>
      <c r="K90" s="865"/>
      <c r="L90" s="865"/>
      <c r="M90" s="865"/>
      <c r="N90" s="865"/>
      <c r="O90" s="865"/>
      <c r="P90" s="865"/>
      <c r="Q90" s="865"/>
      <c r="R90" s="865"/>
      <c r="S90" s="865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331001</v>
      </c>
      <c r="C91" s="9"/>
      <c r="D91" s="9"/>
      <c r="E91" s="9"/>
      <c r="F91" s="865"/>
      <c r="G91" s="865"/>
      <c r="H91" s="865"/>
      <c r="I91" s="865"/>
      <c r="J91" s="865"/>
      <c r="K91" s="865"/>
      <c r="L91" s="865"/>
      <c r="M91" s="865"/>
      <c r="N91" s="865"/>
      <c r="O91" s="865"/>
      <c r="P91" s="865"/>
      <c r="Q91" s="865"/>
      <c r="R91" s="865"/>
      <c r="S91" s="865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9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9" t="s">
        <v>1132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9" t="s">
        <v>1468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  <mergeCell ref="X2:X3"/>
    <mergeCell ref="K2:M2"/>
    <mergeCell ref="AD2:AD3"/>
    <mergeCell ref="A76:B76"/>
    <mergeCell ref="AF2:AF3"/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399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718</v>
      </c>
      <c r="D76" s="164">
        <v>8972.6118143692656</v>
      </c>
      <c r="E76" s="165">
        <v>4587500.3438631045</v>
      </c>
      <c r="F76" s="165">
        <v>536.12</v>
      </c>
      <c r="G76" s="165">
        <v>384934.16</v>
      </c>
      <c r="H76" s="163">
        <v>402</v>
      </c>
      <c r="I76" s="164">
        <v>569.60967937788098</v>
      </c>
      <c r="J76" s="165">
        <v>284149.67419345112</v>
      </c>
      <c r="K76" s="163">
        <v>97</v>
      </c>
      <c r="L76" s="164">
        <v>158.62710748085348</v>
      </c>
      <c r="M76" s="165">
        <v>18726.08760111811</v>
      </c>
      <c r="N76" s="163">
        <v>34</v>
      </c>
      <c r="O76" s="164">
        <v>3935.2023104669443</v>
      </c>
      <c r="P76" s="165">
        <v>164094.58207165357</v>
      </c>
      <c r="Q76" s="163">
        <v>0</v>
      </c>
      <c r="R76" s="164">
        <v>1525.492171506211</v>
      </c>
      <c r="S76" s="165">
        <v>0</v>
      </c>
      <c r="T76" s="166">
        <v>5439406</v>
      </c>
      <c r="U76" s="164">
        <v>188321</v>
      </c>
      <c r="V76" s="164">
        <v>-58312</v>
      </c>
      <c r="W76" s="167">
        <v>130009</v>
      </c>
      <c r="X76" s="166">
        <v>5569415</v>
      </c>
      <c r="Y76" s="165">
        <v>-13924</v>
      </c>
      <c r="Z76" s="166">
        <v>5555491</v>
      </c>
      <c r="AA76" s="165">
        <v>6101</v>
      </c>
      <c r="AB76" s="166">
        <v>5561592</v>
      </c>
      <c r="AC76" s="164">
        <v>3617416</v>
      </c>
      <c r="AD76" s="164">
        <v>1944176</v>
      </c>
      <c r="AE76" s="166">
        <v>486045</v>
      </c>
      <c r="AF76" s="169">
        <v>5561592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68513</v>
      </c>
      <c r="U77" s="975"/>
      <c r="V77" s="975"/>
      <c r="W77" s="975"/>
      <c r="X77" s="976">
        <v>68513</v>
      </c>
      <c r="Y77" s="1018">
        <v>-171</v>
      </c>
      <c r="Z77" s="976">
        <v>68342</v>
      </c>
      <c r="AA77" s="975"/>
      <c r="AB77" s="976">
        <v>68342</v>
      </c>
      <c r="AC77" s="975">
        <v>45520</v>
      </c>
      <c r="AD77" s="975">
        <v>22822</v>
      </c>
      <c r="AE77" s="976">
        <v>5706</v>
      </c>
      <c r="AF77" s="1020">
        <v>68342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10000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19706</v>
      </c>
      <c r="AC83" s="156">
        <v>13136</v>
      </c>
      <c r="AD83" s="795">
        <v>6570</v>
      </c>
      <c r="AE83" s="157">
        <v>1643</v>
      </c>
      <c r="AF83" s="157">
        <v>19706</v>
      </c>
    </row>
    <row r="84" spans="1:32" s="16" customFormat="1" ht="15" customHeight="1" thickBot="1" x14ac:dyDescent="0.25">
      <c r="A84" s="1408" t="s">
        <v>398</v>
      </c>
      <c r="B84" s="1409"/>
      <c r="C84" s="163">
        <v>718</v>
      </c>
      <c r="D84" s="164">
        <v>8972.6118143692656</v>
      </c>
      <c r="E84" s="165">
        <v>4587500.3438631045</v>
      </c>
      <c r="F84" s="165">
        <v>536.12</v>
      </c>
      <c r="G84" s="165">
        <v>384934.16</v>
      </c>
      <c r="H84" s="163">
        <v>402</v>
      </c>
      <c r="I84" s="164">
        <v>569.60967937788098</v>
      </c>
      <c r="J84" s="165">
        <v>284149.67419345112</v>
      </c>
      <c r="K84" s="163">
        <v>97</v>
      </c>
      <c r="L84" s="164">
        <v>158.62710748085348</v>
      </c>
      <c r="M84" s="165">
        <v>18726.08760111811</v>
      </c>
      <c r="N84" s="163">
        <v>34</v>
      </c>
      <c r="O84" s="164">
        <v>3935.2023104669443</v>
      </c>
      <c r="P84" s="165">
        <v>164094.58207165357</v>
      </c>
      <c r="Q84" s="163">
        <v>0</v>
      </c>
      <c r="R84" s="164">
        <v>1525.492171506211</v>
      </c>
      <c r="S84" s="165">
        <v>0</v>
      </c>
      <c r="T84" s="166">
        <v>5507919</v>
      </c>
      <c r="U84" s="164">
        <v>188321</v>
      </c>
      <c r="V84" s="164">
        <v>-58312</v>
      </c>
      <c r="W84" s="167">
        <v>130009</v>
      </c>
      <c r="X84" s="166">
        <v>5637928</v>
      </c>
      <c r="Y84" s="165">
        <v>-14095</v>
      </c>
      <c r="Z84" s="166">
        <v>5623833</v>
      </c>
      <c r="AA84" s="165">
        <v>6101</v>
      </c>
      <c r="AB84" s="166">
        <v>5649640</v>
      </c>
      <c r="AC84" s="164">
        <v>3676072</v>
      </c>
      <c r="AD84" s="164">
        <v>1973568</v>
      </c>
      <c r="AE84" s="166">
        <v>493394</v>
      </c>
      <c r="AF84" s="169">
        <v>5659640</v>
      </c>
    </row>
    <row r="85" spans="1:32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2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2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2" ht="13.9" customHeight="1" x14ac:dyDescent="0.2">
      <c r="A88" s="9"/>
      <c r="B88" s="9"/>
      <c r="C88" s="9"/>
      <c r="D88" s="9"/>
      <c r="E88" s="9"/>
      <c r="F88" s="1441"/>
      <c r="G88" s="1441"/>
      <c r="H88" s="9"/>
      <c r="I88" s="9"/>
      <c r="J88" s="9"/>
      <c r="K88" s="9"/>
      <c r="L88" s="865"/>
      <c r="M88" s="865"/>
      <c r="N88" s="865"/>
      <c r="O88" s="865"/>
      <c r="P88" s="865"/>
      <c r="Q88" s="865"/>
      <c r="R88" s="865"/>
      <c r="S88" s="865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9" t="s">
        <v>1171</v>
      </c>
      <c r="B89" s="9" t="s">
        <v>1171</v>
      </c>
      <c r="C89" s="9" t="s">
        <v>1171</v>
      </c>
      <c r="D89" s="9" t="s">
        <v>1171</v>
      </c>
      <c r="E89" s="9" t="s">
        <v>1171</v>
      </c>
      <c r="F89" s="1441"/>
      <c r="G89" s="1441"/>
      <c r="H89" s="9"/>
      <c r="I89" s="9"/>
      <c r="J89" s="9"/>
      <c r="K89" s="9"/>
      <c r="L89" s="865"/>
      <c r="M89" s="865"/>
      <c r="N89" s="865"/>
      <c r="O89" s="865"/>
      <c r="P89" s="865"/>
      <c r="Q89" s="865"/>
      <c r="R89" s="865"/>
      <c r="S89" s="865"/>
      <c r="T89" s="9"/>
      <c r="U89" s="9"/>
      <c r="V89" s="9"/>
      <c r="W89" s="9"/>
      <c r="X89" s="9"/>
      <c r="Y89" s="517"/>
      <c r="Z89" s="866"/>
      <c r="AA89" s="9"/>
      <c r="AB89" s="9"/>
      <c r="AC89" s="9"/>
      <c r="AD89" s="9"/>
      <c r="AE89" s="9"/>
      <c r="AF89" s="9"/>
    </row>
    <row r="90" spans="1:3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517"/>
      <c r="Z90" s="866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333001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8" t="s">
        <v>1133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8" t="s">
        <v>1467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420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870</v>
      </c>
      <c r="D76" s="164">
        <v>8972.6118143692656</v>
      </c>
      <c r="E76" s="165">
        <v>7071656.3581939079</v>
      </c>
      <c r="F76" s="165">
        <v>527.02</v>
      </c>
      <c r="G76" s="165">
        <v>458507.39999999997</v>
      </c>
      <c r="H76" s="163">
        <v>656</v>
      </c>
      <c r="I76" s="164">
        <v>569.60967937788098</v>
      </c>
      <c r="J76" s="165">
        <v>406822.45616199379</v>
      </c>
      <c r="K76" s="163">
        <v>295</v>
      </c>
      <c r="L76" s="164">
        <v>158.62710748085348</v>
      </c>
      <c r="M76" s="165">
        <v>49971.761305925334</v>
      </c>
      <c r="N76" s="163">
        <v>65</v>
      </c>
      <c r="O76" s="164">
        <v>3935.2023104669443</v>
      </c>
      <c r="P76" s="165">
        <v>275694.1480173117</v>
      </c>
      <c r="Q76" s="163">
        <v>7</v>
      </c>
      <c r="R76" s="164">
        <v>1525.492171506211</v>
      </c>
      <c r="S76" s="165">
        <v>12203.011353679445</v>
      </c>
      <c r="T76" s="166">
        <v>8274856</v>
      </c>
      <c r="U76" s="164">
        <v>-146984</v>
      </c>
      <c r="V76" s="164">
        <v>-116776</v>
      </c>
      <c r="W76" s="167">
        <v>-263760</v>
      </c>
      <c r="X76" s="166">
        <v>8011096</v>
      </c>
      <c r="Y76" s="165">
        <v>-20028</v>
      </c>
      <c r="Z76" s="166">
        <v>7991068</v>
      </c>
      <c r="AA76" s="165">
        <v>0</v>
      </c>
      <c r="AB76" s="166">
        <v>7991068</v>
      </c>
      <c r="AC76" s="164">
        <v>5450706</v>
      </c>
      <c r="AD76" s="164">
        <v>2540362</v>
      </c>
      <c r="AE76" s="166">
        <v>635090</v>
      </c>
      <c r="AF76" s="169">
        <v>7991068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104242</v>
      </c>
      <c r="U77" s="975"/>
      <c r="V77" s="975"/>
      <c r="W77" s="975"/>
      <c r="X77" s="976">
        <v>104242</v>
      </c>
      <c r="Y77" s="1018">
        <v>-261</v>
      </c>
      <c r="Z77" s="976">
        <v>103981</v>
      </c>
      <c r="AA77" s="975"/>
      <c r="AB77" s="976">
        <v>103981</v>
      </c>
      <c r="AC77" s="975">
        <v>68952</v>
      </c>
      <c r="AD77" s="975">
        <v>35029</v>
      </c>
      <c r="AE77" s="976">
        <v>8757</v>
      </c>
      <c r="AF77" s="1020">
        <v>103981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43862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23246</v>
      </c>
      <c r="AC83" s="156">
        <v>15496</v>
      </c>
      <c r="AD83" s="795">
        <v>7750</v>
      </c>
      <c r="AE83" s="157">
        <v>1938</v>
      </c>
      <c r="AF83" s="157">
        <v>23246</v>
      </c>
    </row>
    <row r="84" spans="1:32" s="16" customFormat="1" ht="15" customHeight="1" thickBot="1" x14ac:dyDescent="0.25">
      <c r="A84" s="1408" t="s">
        <v>398</v>
      </c>
      <c r="B84" s="1409"/>
      <c r="C84" s="163">
        <v>870</v>
      </c>
      <c r="D84" s="164">
        <v>8972.6118143692656</v>
      </c>
      <c r="E84" s="165">
        <v>7071656.3581939079</v>
      </c>
      <c r="F84" s="165">
        <v>527.02</v>
      </c>
      <c r="G84" s="165">
        <v>458507.39999999997</v>
      </c>
      <c r="H84" s="163">
        <v>656</v>
      </c>
      <c r="I84" s="164">
        <v>569.60967937788098</v>
      </c>
      <c r="J84" s="165">
        <v>406822.45616199379</v>
      </c>
      <c r="K84" s="163">
        <v>295</v>
      </c>
      <c r="L84" s="164">
        <v>158.62710748085348</v>
      </c>
      <c r="M84" s="165">
        <v>49971.761305925334</v>
      </c>
      <c r="N84" s="163">
        <v>65</v>
      </c>
      <c r="O84" s="164">
        <v>3935.2023104669443</v>
      </c>
      <c r="P84" s="165">
        <v>275694.1480173117</v>
      </c>
      <c r="Q84" s="163">
        <v>7</v>
      </c>
      <c r="R84" s="164">
        <v>1525.492171506211</v>
      </c>
      <c r="S84" s="165">
        <v>12203.011353679445</v>
      </c>
      <c r="T84" s="166">
        <v>8379098</v>
      </c>
      <c r="U84" s="164">
        <v>-146984</v>
      </c>
      <c r="V84" s="164">
        <v>-116776</v>
      </c>
      <c r="W84" s="167">
        <v>-263760</v>
      </c>
      <c r="X84" s="166">
        <v>8115338</v>
      </c>
      <c r="Y84" s="165">
        <v>-20289</v>
      </c>
      <c r="Z84" s="166">
        <v>8095049</v>
      </c>
      <c r="AA84" s="165">
        <v>0</v>
      </c>
      <c r="AB84" s="166">
        <v>8118295</v>
      </c>
      <c r="AC84" s="164">
        <v>5535154</v>
      </c>
      <c r="AD84" s="164">
        <v>2583141</v>
      </c>
      <c r="AE84" s="166">
        <v>645785</v>
      </c>
      <c r="AF84" s="169">
        <v>8162157</v>
      </c>
    </row>
    <row r="85" spans="1:32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2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2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2" ht="13.9" customHeight="1" x14ac:dyDescent="0.2">
      <c r="A88" s="9"/>
      <c r="B88" s="9"/>
      <c r="C88" s="9"/>
      <c r="D88" s="9"/>
      <c r="E88" s="9"/>
      <c r="F88" s="1441"/>
      <c r="G88" s="1441"/>
      <c r="H88" s="9"/>
      <c r="I88" s="9"/>
      <c r="J88" s="9"/>
      <c r="K88" s="9"/>
      <c r="L88" s="865"/>
      <c r="M88" s="865"/>
      <c r="N88" s="865"/>
      <c r="O88" s="865"/>
      <c r="P88" s="865"/>
      <c r="Q88" s="865"/>
      <c r="R88" s="865"/>
      <c r="S88" s="865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9" t="s">
        <v>1171</v>
      </c>
      <c r="B89" s="9" t="s">
        <v>1171</v>
      </c>
      <c r="C89" s="9" t="s">
        <v>1171</v>
      </c>
      <c r="D89" s="9" t="s">
        <v>1171</v>
      </c>
      <c r="E89" s="9" t="s">
        <v>1171</v>
      </c>
      <c r="F89" s="1441"/>
      <c r="G89" s="1441"/>
      <c r="H89" s="9"/>
      <c r="I89" s="9"/>
      <c r="J89" s="9"/>
      <c r="K89" s="9"/>
      <c r="L89" s="865"/>
      <c r="M89" s="865"/>
      <c r="N89" s="865"/>
      <c r="O89" s="865"/>
      <c r="P89" s="865"/>
      <c r="Q89" s="865"/>
      <c r="R89" s="865"/>
      <c r="S89" s="865"/>
      <c r="T89" s="9"/>
      <c r="U89" s="9"/>
      <c r="V89" s="9"/>
      <c r="W89" s="9"/>
      <c r="X89" s="9"/>
      <c r="Y89" s="517"/>
      <c r="Z89" s="866"/>
      <c r="AA89" s="9"/>
      <c r="AB89" s="9"/>
      <c r="AC89" s="9"/>
      <c r="AD89" s="9"/>
      <c r="AE89" s="9"/>
      <c r="AF89" s="9"/>
    </row>
    <row r="90" spans="1:3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517"/>
      <c r="Z90" s="866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336001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8" t="s">
        <v>1134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8" t="s">
        <v>1466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421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960</v>
      </c>
      <c r="D76" s="164">
        <v>8972.6118143692656</v>
      </c>
      <c r="E76" s="165">
        <v>10242618.097803583</v>
      </c>
      <c r="F76" s="165">
        <v>788.9</v>
      </c>
      <c r="G76" s="165">
        <v>757343.99999999988</v>
      </c>
      <c r="H76" s="163">
        <v>420</v>
      </c>
      <c r="I76" s="164">
        <v>569.60967937788098</v>
      </c>
      <c r="J76" s="165">
        <v>142964.06230053416</v>
      </c>
      <c r="K76" s="163">
        <v>0</v>
      </c>
      <c r="L76" s="164">
        <v>158.62710748085348</v>
      </c>
      <c r="M76" s="165">
        <v>0</v>
      </c>
      <c r="N76" s="163">
        <v>102</v>
      </c>
      <c r="O76" s="164">
        <v>3935.2023104669443</v>
      </c>
      <c r="P76" s="165">
        <v>222776.64358730242</v>
      </c>
      <c r="Q76" s="163">
        <v>52</v>
      </c>
      <c r="R76" s="164">
        <v>1525.492171506211</v>
      </c>
      <c r="S76" s="165">
        <v>50463.453216713897</v>
      </c>
      <c r="T76" s="166">
        <v>11416166</v>
      </c>
      <c r="U76" s="164">
        <v>-604420</v>
      </c>
      <c r="V76" s="164">
        <v>119265</v>
      </c>
      <c r="W76" s="167">
        <v>-485155</v>
      </c>
      <c r="X76" s="166">
        <v>10931011</v>
      </c>
      <c r="Y76" s="165">
        <v>-27328</v>
      </c>
      <c r="Z76" s="166">
        <v>10903683</v>
      </c>
      <c r="AA76" s="165">
        <v>3171</v>
      </c>
      <c r="AB76" s="166">
        <v>10906854</v>
      </c>
      <c r="AC76" s="164">
        <v>7377738</v>
      </c>
      <c r="AD76" s="164">
        <v>3529116</v>
      </c>
      <c r="AE76" s="166">
        <v>882280</v>
      </c>
      <c r="AF76" s="169">
        <v>10906854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170578</v>
      </c>
      <c r="U77" s="975"/>
      <c r="V77" s="975"/>
      <c r="W77" s="975"/>
      <c r="X77" s="976">
        <v>170578</v>
      </c>
      <c r="Y77" s="1018">
        <v>-426</v>
      </c>
      <c r="Z77" s="976">
        <v>170152</v>
      </c>
      <c r="AA77" s="975"/>
      <c r="AB77" s="976">
        <v>170152</v>
      </c>
      <c r="AC77" s="975">
        <v>113126</v>
      </c>
      <c r="AD77" s="975">
        <v>57026</v>
      </c>
      <c r="AE77" s="976">
        <v>14257</v>
      </c>
      <c r="AF77" s="1020">
        <v>170152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0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11446</v>
      </c>
      <c r="AC83" s="156">
        <v>7632</v>
      </c>
      <c r="AD83" s="795">
        <v>3814</v>
      </c>
      <c r="AE83" s="157">
        <v>954</v>
      </c>
      <c r="AF83" s="157">
        <v>11446</v>
      </c>
    </row>
    <row r="84" spans="1:32" s="16" customFormat="1" ht="15" customHeight="1" thickBot="1" x14ac:dyDescent="0.25">
      <c r="A84" s="1408" t="s">
        <v>398</v>
      </c>
      <c r="B84" s="1409"/>
      <c r="C84" s="163">
        <v>960</v>
      </c>
      <c r="D84" s="164">
        <v>8972.6118143692656</v>
      </c>
      <c r="E84" s="165">
        <v>10242618.097803583</v>
      </c>
      <c r="F84" s="165">
        <v>788.9</v>
      </c>
      <c r="G84" s="165">
        <v>757343.99999999988</v>
      </c>
      <c r="H84" s="163">
        <v>420</v>
      </c>
      <c r="I84" s="164">
        <v>569.60967937788098</v>
      </c>
      <c r="J84" s="165">
        <v>142964.06230053416</v>
      </c>
      <c r="K84" s="163">
        <v>0</v>
      </c>
      <c r="L84" s="164">
        <v>158.62710748085348</v>
      </c>
      <c r="M84" s="165">
        <v>0</v>
      </c>
      <c r="N84" s="163">
        <v>102</v>
      </c>
      <c r="O84" s="164">
        <v>3935.2023104669443</v>
      </c>
      <c r="P84" s="165">
        <v>222776.64358730242</v>
      </c>
      <c r="Q84" s="163">
        <v>52</v>
      </c>
      <c r="R84" s="164">
        <v>1525.492171506211</v>
      </c>
      <c r="S84" s="165">
        <v>50463.453216713897</v>
      </c>
      <c r="T84" s="166">
        <v>11586744</v>
      </c>
      <c r="U84" s="164">
        <v>-604420</v>
      </c>
      <c r="V84" s="164">
        <v>119265</v>
      </c>
      <c r="W84" s="167">
        <v>-485155</v>
      </c>
      <c r="X84" s="166">
        <v>11101589</v>
      </c>
      <c r="Y84" s="165">
        <v>-27754</v>
      </c>
      <c r="Z84" s="166">
        <v>11073835</v>
      </c>
      <c r="AA84" s="165">
        <v>3171</v>
      </c>
      <c r="AB84" s="166">
        <v>11088452</v>
      </c>
      <c r="AC84" s="164">
        <v>7498496</v>
      </c>
      <c r="AD84" s="164">
        <v>3589956</v>
      </c>
      <c r="AE84" s="166">
        <v>897491</v>
      </c>
      <c r="AF84" s="169">
        <v>11088452</v>
      </c>
    </row>
    <row r="85" spans="1:32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2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2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2" ht="13.9" customHeight="1" x14ac:dyDescent="0.2">
      <c r="A88" s="9"/>
      <c r="B88" s="9"/>
      <c r="C88" s="9"/>
      <c r="D88" s="9"/>
      <c r="E88" s="9"/>
      <c r="F88" s="1441"/>
      <c r="G88" s="1441"/>
      <c r="H88" s="9"/>
      <c r="I88" s="9"/>
      <c r="J88" s="9"/>
      <c r="K88" s="9"/>
      <c r="L88" s="865"/>
      <c r="M88" s="865"/>
      <c r="N88" s="865"/>
      <c r="O88" s="865"/>
      <c r="P88" s="865"/>
      <c r="Q88" s="865"/>
      <c r="R88" s="865"/>
      <c r="S88" s="865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9" t="s">
        <v>1171</v>
      </c>
      <c r="B89" s="9" t="s">
        <v>1171</v>
      </c>
      <c r="C89" s="9" t="s">
        <v>1171</v>
      </c>
      <c r="D89" s="9" t="s">
        <v>1171</v>
      </c>
      <c r="E89" s="9" t="s">
        <v>1171</v>
      </c>
      <c r="F89" s="1441"/>
      <c r="G89" s="1441"/>
      <c r="H89" s="9"/>
      <c r="I89" s="9"/>
      <c r="J89" s="9"/>
      <c r="K89" s="9"/>
      <c r="L89" s="865"/>
      <c r="M89" s="865"/>
      <c r="N89" s="865"/>
      <c r="O89" s="865"/>
      <c r="P89" s="865"/>
      <c r="Q89" s="865"/>
      <c r="R89" s="865"/>
      <c r="S89" s="865"/>
      <c r="T89" s="9"/>
      <c r="U89" s="9"/>
      <c r="V89" s="9"/>
      <c r="W89" s="9"/>
      <c r="X89" s="9"/>
      <c r="Y89" s="517"/>
      <c r="Z89" s="866"/>
      <c r="AA89" s="9"/>
      <c r="AB89" s="9"/>
      <c r="AC89" s="9"/>
      <c r="AD89" s="9"/>
      <c r="AE89" s="9"/>
      <c r="AF89" s="9"/>
    </row>
    <row r="90" spans="1:3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517"/>
      <c r="Z90" s="866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337001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8" t="s">
        <v>1135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8" t="s">
        <v>1465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6.28515625" style="5" customWidth="1"/>
    <col min="2" max="2" width="27.42578125" style="5" customWidth="1"/>
    <col min="3" max="3" width="12.140625" style="5" bestFit="1" customWidth="1"/>
    <col min="4" max="4" width="10" style="5" customWidth="1"/>
    <col min="5" max="5" width="14.140625" style="5" customWidth="1"/>
    <col min="6" max="6" width="10" style="5" customWidth="1"/>
    <col min="7" max="7" width="14.140625" style="5" customWidth="1"/>
    <col min="8" max="8" width="11.5703125" style="5" customWidth="1"/>
    <col min="9" max="9" width="10" style="5" customWidth="1"/>
    <col min="10" max="10" width="11.28515625" style="5" customWidth="1"/>
    <col min="11" max="11" width="11.5703125" style="5" customWidth="1"/>
    <col min="12" max="12" width="10" style="5" customWidth="1"/>
    <col min="13" max="13" width="11.28515625" style="5" customWidth="1"/>
    <col min="14" max="14" width="11.5703125" style="5" customWidth="1"/>
    <col min="15" max="15" width="10" style="5" customWidth="1"/>
    <col min="16" max="16" width="11.28515625" style="5" customWidth="1"/>
    <col min="17" max="17" width="11.5703125" style="5" customWidth="1"/>
    <col min="18" max="18" width="10" style="5" customWidth="1"/>
    <col min="19" max="19" width="11.28515625" style="5" customWidth="1"/>
    <col min="20" max="20" width="13.140625" style="5" customWidth="1"/>
    <col min="21" max="24" width="14.85546875" style="5" customWidth="1"/>
    <col min="25" max="25" width="12.7109375" style="5" customWidth="1"/>
    <col min="26" max="26" width="14.85546875" style="5" customWidth="1"/>
    <col min="27" max="27" width="16.28515625" style="5" customWidth="1"/>
    <col min="28" max="28" width="17.28515625" style="5" bestFit="1" customWidth="1"/>
    <col min="29" max="31" width="15.28515625" style="5" customWidth="1"/>
    <col min="32" max="32" width="18.85546875" style="5" customWidth="1"/>
    <col min="33" max="16384" width="8.85546875" style="5"/>
  </cols>
  <sheetData>
    <row r="1" spans="1:32" ht="19.899999999999999" customHeight="1" x14ac:dyDescent="0.2">
      <c r="A1" s="1431" t="s">
        <v>422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6"/>
      <c r="K1" s="1432" t="s">
        <v>310</v>
      </c>
      <c r="L1" s="1433"/>
      <c r="M1" s="1433"/>
      <c r="N1" s="1433"/>
      <c r="O1" s="1433"/>
      <c r="P1" s="1433"/>
      <c r="Q1" s="1433"/>
      <c r="R1" s="1433"/>
      <c r="S1" s="1433"/>
      <c r="T1" s="1434"/>
      <c r="U1" s="1404" t="s">
        <v>310</v>
      </c>
      <c r="V1" s="1405"/>
      <c r="W1" s="1405"/>
      <c r="X1" s="1405"/>
      <c r="Y1" s="1405"/>
      <c r="Z1" s="1405"/>
      <c r="AA1" s="1406"/>
      <c r="AB1" s="1404" t="s">
        <v>310</v>
      </c>
      <c r="AC1" s="1405"/>
      <c r="AD1" s="1405"/>
      <c r="AE1" s="1405"/>
      <c r="AF1" s="1406"/>
    </row>
    <row r="2" spans="1:32" ht="27.75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432</v>
      </c>
      <c r="U2" s="1298" t="s">
        <v>228</v>
      </c>
      <c r="V2" s="1298"/>
      <c r="W2" s="1298"/>
      <c r="X2" s="1412" t="s">
        <v>433</v>
      </c>
      <c r="Y2" s="1413" t="s">
        <v>391</v>
      </c>
      <c r="Z2" s="1413" t="s">
        <v>434</v>
      </c>
      <c r="AA2" s="1415" t="s">
        <v>1430</v>
      </c>
      <c r="AB2" s="1412" t="s">
        <v>970</v>
      </c>
      <c r="AC2" s="1412" t="s">
        <v>268</v>
      </c>
      <c r="AD2" s="1412" t="s">
        <v>269</v>
      </c>
      <c r="AE2" s="1412" t="s">
        <v>231</v>
      </c>
      <c r="AF2" s="1412" t="s">
        <v>971</v>
      </c>
    </row>
    <row r="3" spans="1:32" ht="93" customHeight="1" x14ac:dyDescent="0.2">
      <c r="A3" s="1422"/>
      <c r="B3" s="1423"/>
      <c r="C3" s="1424"/>
      <c r="D3" s="482" t="s">
        <v>392</v>
      </c>
      <c r="E3" s="482" t="s">
        <v>549</v>
      </c>
      <c r="F3" s="482" t="s">
        <v>392</v>
      </c>
      <c r="G3" s="482" t="s">
        <v>548</v>
      </c>
      <c r="H3" s="886" t="s">
        <v>1197</v>
      </c>
      <c r="I3" s="482" t="s">
        <v>392</v>
      </c>
      <c r="J3" s="482" t="s">
        <v>320</v>
      </c>
      <c r="K3" s="886" t="s">
        <v>1198</v>
      </c>
      <c r="L3" s="482" t="s">
        <v>392</v>
      </c>
      <c r="M3" s="482" t="s">
        <v>320</v>
      </c>
      <c r="N3" s="886" t="s">
        <v>1199</v>
      </c>
      <c r="O3" s="482" t="s">
        <v>392</v>
      </c>
      <c r="P3" s="482" t="s">
        <v>320</v>
      </c>
      <c r="Q3" s="886" t="s">
        <v>1199</v>
      </c>
      <c r="R3" s="482" t="s">
        <v>392</v>
      </c>
      <c r="S3" s="482" t="s">
        <v>320</v>
      </c>
      <c r="T3" s="1412"/>
      <c r="U3" s="483" t="s">
        <v>1186</v>
      </c>
      <c r="V3" s="483" t="s">
        <v>1187</v>
      </c>
      <c r="W3" s="483" t="s">
        <v>230</v>
      </c>
      <c r="X3" s="1412"/>
      <c r="Y3" s="1414"/>
      <c r="Z3" s="1414"/>
      <c r="AA3" s="1415"/>
      <c r="AB3" s="1412"/>
      <c r="AC3" s="1412"/>
      <c r="AD3" s="1412"/>
      <c r="AE3" s="1412"/>
      <c r="AF3" s="1412"/>
    </row>
    <row r="4" spans="1:32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</row>
    <row r="5" spans="1:32" s="736" customFormat="1" ht="36" customHeight="1" x14ac:dyDescent="0.2">
      <c r="A5" s="733"/>
      <c r="B5" s="734"/>
      <c r="C5" s="598" t="s">
        <v>813</v>
      </c>
      <c r="D5" s="598" t="s">
        <v>822</v>
      </c>
      <c r="E5" s="598" t="s">
        <v>814</v>
      </c>
      <c r="F5" s="598" t="s">
        <v>733</v>
      </c>
      <c r="G5" s="598" t="s">
        <v>708</v>
      </c>
      <c r="H5" s="598" t="s">
        <v>960</v>
      </c>
      <c r="I5" s="598" t="s">
        <v>823</v>
      </c>
      <c r="J5" s="598" t="s">
        <v>824</v>
      </c>
      <c r="K5" s="598" t="s">
        <v>959</v>
      </c>
      <c r="L5" s="598" t="s">
        <v>825</v>
      </c>
      <c r="M5" s="598" t="s">
        <v>826</v>
      </c>
      <c r="N5" s="598" t="s">
        <v>957</v>
      </c>
      <c r="O5" s="598" t="s">
        <v>827</v>
      </c>
      <c r="P5" s="598" t="s">
        <v>828</v>
      </c>
      <c r="Q5" s="598" t="s">
        <v>958</v>
      </c>
      <c r="R5" s="598" t="s">
        <v>829</v>
      </c>
      <c r="S5" s="598" t="s">
        <v>830</v>
      </c>
      <c r="T5" s="598" t="s">
        <v>1401</v>
      </c>
      <c r="U5" s="598" t="s">
        <v>951</v>
      </c>
      <c r="V5" s="598" t="s">
        <v>952</v>
      </c>
      <c r="W5" s="598" t="s">
        <v>831</v>
      </c>
      <c r="X5" s="598" t="s">
        <v>832</v>
      </c>
      <c r="Y5" s="598" t="s">
        <v>833</v>
      </c>
      <c r="Z5" s="598" t="s">
        <v>834</v>
      </c>
      <c r="AA5" s="598" t="s">
        <v>818</v>
      </c>
      <c r="AB5" s="598" t="s">
        <v>1400</v>
      </c>
      <c r="AC5" s="598" t="s">
        <v>956</v>
      </c>
      <c r="AD5" s="598" t="s">
        <v>835</v>
      </c>
      <c r="AE5" s="598" t="s">
        <v>969</v>
      </c>
      <c r="AF5" s="598" t="s">
        <v>1399</v>
      </c>
    </row>
    <row r="6" spans="1:32" s="736" customFormat="1" ht="36" hidden="1" customHeight="1" x14ac:dyDescent="0.2">
      <c r="A6" s="737"/>
      <c r="B6" s="738"/>
      <c r="C6" s="601" t="s">
        <v>603</v>
      </c>
      <c r="D6" s="601" t="s">
        <v>603</v>
      </c>
      <c r="E6" s="601" t="s">
        <v>604</v>
      </c>
      <c r="F6" s="601" t="s">
        <v>740</v>
      </c>
      <c r="G6" s="601" t="s">
        <v>604</v>
      </c>
      <c r="H6" s="601" t="s">
        <v>694</v>
      </c>
      <c r="I6" s="601" t="s">
        <v>603</v>
      </c>
      <c r="J6" s="601" t="s">
        <v>604</v>
      </c>
      <c r="K6" s="601" t="s">
        <v>694</v>
      </c>
      <c r="L6" s="601" t="s">
        <v>603</v>
      </c>
      <c r="M6" s="601" t="s">
        <v>604</v>
      </c>
      <c r="N6" s="601" t="s">
        <v>694</v>
      </c>
      <c r="O6" s="601" t="s">
        <v>603</v>
      </c>
      <c r="P6" s="601" t="s">
        <v>604</v>
      </c>
      <c r="Q6" s="601" t="s">
        <v>694</v>
      </c>
      <c r="R6" s="601" t="s">
        <v>603</v>
      </c>
      <c r="S6" s="601" t="s">
        <v>604</v>
      </c>
      <c r="T6" s="601" t="s">
        <v>604</v>
      </c>
      <c r="U6" s="601" t="s">
        <v>817</v>
      </c>
      <c r="V6" s="601" t="s">
        <v>817</v>
      </c>
      <c r="W6" s="601" t="s">
        <v>604</v>
      </c>
      <c r="X6" s="601" t="s">
        <v>604</v>
      </c>
      <c r="Y6" s="601" t="s">
        <v>604</v>
      </c>
      <c r="Z6" s="601" t="s">
        <v>604</v>
      </c>
      <c r="AA6" s="601" t="s">
        <v>818</v>
      </c>
      <c r="AB6" s="601" t="s">
        <v>836</v>
      </c>
      <c r="AC6" s="601" t="s">
        <v>819</v>
      </c>
      <c r="AD6" s="601" t="s">
        <v>604</v>
      </c>
      <c r="AE6" s="601" t="s">
        <v>604</v>
      </c>
      <c r="AF6" s="601" t="s">
        <v>837</v>
      </c>
    </row>
    <row r="7" spans="1:32" ht="15" customHeight="1" x14ac:dyDescent="0.2">
      <c r="A7" s="378">
        <v>1</v>
      </c>
      <c r="B7" s="116" t="s">
        <v>5</v>
      </c>
      <c r="C7" s="117"/>
      <c r="D7" s="118"/>
      <c r="E7" s="119"/>
      <c r="F7" s="119"/>
      <c r="G7" s="119"/>
      <c r="H7" s="120"/>
      <c r="I7" s="118"/>
      <c r="J7" s="119"/>
      <c r="K7" s="120"/>
      <c r="L7" s="118"/>
      <c r="M7" s="119"/>
      <c r="N7" s="120"/>
      <c r="O7" s="118"/>
      <c r="P7" s="119"/>
      <c r="Q7" s="120"/>
      <c r="R7" s="118"/>
      <c r="S7" s="119"/>
      <c r="T7" s="121"/>
      <c r="U7" s="118"/>
      <c r="V7" s="118"/>
      <c r="W7" s="122"/>
      <c r="X7" s="121"/>
      <c r="Y7" s="119"/>
      <c r="Z7" s="121"/>
      <c r="AA7" s="118"/>
      <c r="AB7" s="121"/>
      <c r="AC7" s="118"/>
      <c r="AD7" s="118"/>
      <c r="AE7" s="121"/>
      <c r="AF7" s="123"/>
    </row>
    <row r="8" spans="1:32" ht="15" customHeight="1" x14ac:dyDescent="0.2">
      <c r="A8" s="383">
        <v>2</v>
      </c>
      <c r="B8" s="134" t="s">
        <v>6</v>
      </c>
      <c r="C8" s="135"/>
      <c r="D8" s="136"/>
      <c r="E8" s="137"/>
      <c r="F8" s="137"/>
      <c r="G8" s="137"/>
      <c r="H8" s="138"/>
      <c r="I8" s="136"/>
      <c r="J8" s="137"/>
      <c r="K8" s="138"/>
      <c r="L8" s="136"/>
      <c r="M8" s="137"/>
      <c r="N8" s="138"/>
      <c r="O8" s="136"/>
      <c r="P8" s="137"/>
      <c r="Q8" s="138"/>
      <c r="R8" s="136"/>
      <c r="S8" s="137"/>
      <c r="T8" s="139"/>
      <c r="U8" s="136"/>
      <c r="V8" s="136"/>
      <c r="W8" s="140"/>
      <c r="X8" s="139"/>
      <c r="Y8" s="137"/>
      <c r="Z8" s="139"/>
      <c r="AA8" s="136"/>
      <c r="AB8" s="139"/>
      <c r="AC8" s="136"/>
      <c r="AD8" s="136"/>
      <c r="AE8" s="139"/>
      <c r="AF8" s="142"/>
    </row>
    <row r="9" spans="1:32" ht="15" customHeight="1" x14ac:dyDescent="0.2">
      <c r="A9" s="383">
        <v>3</v>
      </c>
      <c r="B9" s="134" t="s">
        <v>7</v>
      </c>
      <c r="C9" s="135"/>
      <c r="D9" s="136"/>
      <c r="E9" s="137"/>
      <c r="F9" s="137"/>
      <c r="G9" s="137"/>
      <c r="H9" s="138"/>
      <c r="I9" s="136"/>
      <c r="J9" s="137"/>
      <c r="K9" s="138"/>
      <c r="L9" s="136"/>
      <c r="M9" s="137"/>
      <c r="N9" s="138"/>
      <c r="O9" s="136"/>
      <c r="P9" s="137"/>
      <c r="Q9" s="138"/>
      <c r="R9" s="136"/>
      <c r="S9" s="137"/>
      <c r="T9" s="139"/>
      <c r="U9" s="136"/>
      <c r="V9" s="136"/>
      <c r="W9" s="140"/>
      <c r="X9" s="139"/>
      <c r="Y9" s="137"/>
      <c r="Z9" s="139"/>
      <c r="AA9" s="136"/>
      <c r="AB9" s="139"/>
      <c r="AC9" s="136"/>
      <c r="AD9" s="136"/>
      <c r="AE9" s="139"/>
      <c r="AF9" s="142"/>
    </row>
    <row r="10" spans="1:32" ht="15" customHeight="1" x14ac:dyDescent="0.2">
      <c r="A10" s="383">
        <v>4</v>
      </c>
      <c r="B10" s="134" t="s">
        <v>8</v>
      </c>
      <c r="C10" s="135"/>
      <c r="D10" s="136"/>
      <c r="E10" s="137"/>
      <c r="F10" s="137"/>
      <c r="G10" s="137"/>
      <c r="H10" s="138"/>
      <c r="I10" s="136"/>
      <c r="J10" s="137"/>
      <c r="K10" s="138"/>
      <c r="L10" s="136"/>
      <c r="M10" s="137"/>
      <c r="N10" s="138"/>
      <c r="O10" s="136"/>
      <c r="P10" s="137"/>
      <c r="Q10" s="138"/>
      <c r="R10" s="136"/>
      <c r="S10" s="137"/>
      <c r="T10" s="139"/>
      <c r="U10" s="136"/>
      <c r="V10" s="136"/>
      <c r="W10" s="140"/>
      <c r="X10" s="139"/>
      <c r="Y10" s="137"/>
      <c r="Z10" s="139"/>
      <c r="AA10" s="136"/>
      <c r="AB10" s="139"/>
      <c r="AC10" s="136"/>
      <c r="AD10" s="136"/>
      <c r="AE10" s="139"/>
      <c r="AF10" s="142"/>
    </row>
    <row r="11" spans="1:32" ht="15" customHeight="1" x14ac:dyDescent="0.2">
      <c r="A11" s="388">
        <v>5</v>
      </c>
      <c r="B11" s="148" t="s">
        <v>9</v>
      </c>
      <c r="C11" s="149"/>
      <c r="D11" s="150"/>
      <c r="E11" s="151"/>
      <c r="F11" s="151"/>
      <c r="G11" s="151"/>
      <c r="H11" s="152"/>
      <c r="I11" s="150"/>
      <c r="J11" s="151"/>
      <c r="K11" s="152"/>
      <c r="L11" s="150"/>
      <c r="M11" s="151"/>
      <c r="N11" s="152"/>
      <c r="O11" s="150"/>
      <c r="P11" s="151"/>
      <c r="Q11" s="152"/>
      <c r="R11" s="150"/>
      <c r="S11" s="151"/>
      <c r="T11" s="153"/>
      <c r="U11" s="150"/>
      <c r="V11" s="150"/>
      <c r="W11" s="154"/>
      <c r="X11" s="153"/>
      <c r="Y11" s="151"/>
      <c r="Z11" s="153"/>
      <c r="AA11" s="150"/>
      <c r="AB11" s="153"/>
      <c r="AC11" s="156"/>
      <c r="AD11" s="150"/>
      <c r="AE11" s="157"/>
      <c r="AF11" s="157"/>
    </row>
    <row r="12" spans="1:32" ht="15" customHeight="1" x14ac:dyDescent="0.2">
      <c r="A12" s="378">
        <v>6</v>
      </c>
      <c r="B12" s="116" t="s">
        <v>10</v>
      </c>
      <c r="C12" s="117"/>
      <c r="D12" s="118"/>
      <c r="E12" s="119"/>
      <c r="F12" s="119"/>
      <c r="G12" s="119"/>
      <c r="H12" s="120"/>
      <c r="I12" s="118"/>
      <c r="J12" s="119"/>
      <c r="K12" s="120"/>
      <c r="L12" s="118"/>
      <c r="M12" s="119"/>
      <c r="N12" s="120"/>
      <c r="O12" s="118"/>
      <c r="P12" s="119"/>
      <c r="Q12" s="120"/>
      <c r="R12" s="118"/>
      <c r="S12" s="119"/>
      <c r="T12" s="121"/>
      <c r="U12" s="118"/>
      <c r="V12" s="118"/>
      <c r="W12" s="122"/>
      <c r="X12" s="121"/>
      <c r="Y12" s="119"/>
      <c r="Z12" s="121"/>
      <c r="AA12" s="118"/>
      <c r="AB12" s="121"/>
      <c r="AC12" s="118"/>
      <c r="AD12" s="118"/>
      <c r="AE12" s="121"/>
      <c r="AF12" s="123"/>
    </row>
    <row r="13" spans="1:32" ht="15" customHeight="1" x14ac:dyDescent="0.2">
      <c r="A13" s="383">
        <v>7</v>
      </c>
      <c r="B13" s="134" t="s">
        <v>11</v>
      </c>
      <c r="C13" s="135"/>
      <c r="D13" s="136"/>
      <c r="E13" s="137"/>
      <c r="F13" s="137"/>
      <c r="G13" s="137"/>
      <c r="H13" s="138"/>
      <c r="I13" s="136"/>
      <c r="J13" s="137"/>
      <c r="K13" s="138"/>
      <c r="L13" s="136"/>
      <c r="M13" s="137"/>
      <c r="N13" s="138"/>
      <c r="O13" s="136"/>
      <c r="P13" s="137"/>
      <c r="Q13" s="138"/>
      <c r="R13" s="136"/>
      <c r="S13" s="137"/>
      <c r="T13" s="139"/>
      <c r="U13" s="136"/>
      <c r="V13" s="136"/>
      <c r="W13" s="140"/>
      <c r="X13" s="139"/>
      <c r="Y13" s="137"/>
      <c r="Z13" s="139"/>
      <c r="AA13" s="136"/>
      <c r="AB13" s="139"/>
      <c r="AC13" s="136"/>
      <c r="AD13" s="136"/>
      <c r="AE13" s="139"/>
      <c r="AF13" s="142"/>
    </row>
    <row r="14" spans="1:32" ht="15" customHeight="1" x14ac:dyDescent="0.2">
      <c r="A14" s="383">
        <v>8</v>
      </c>
      <c r="B14" s="134" t="s">
        <v>12</v>
      </c>
      <c r="C14" s="135"/>
      <c r="D14" s="136"/>
      <c r="E14" s="137"/>
      <c r="F14" s="137"/>
      <c r="G14" s="137"/>
      <c r="H14" s="138"/>
      <c r="I14" s="136"/>
      <c r="J14" s="137"/>
      <c r="K14" s="138"/>
      <c r="L14" s="136"/>
      <c r="M14" s="137"/>
      <c r="N14" s="138"/>
      <c r="O14" s="136"/>
      <c r="P14" s="137"/>
      <c r="Q14" s="138"/>
      <c r="R14" s="136"/>
      <c r="S14" s="137"/>
      <c r="T14" s="139"/>
      <c r="U14" s="136"/>
      <c r="V14" s="136"/>
      <c r="W14" s="140"/>
      <c r="X14" s="139"/>
      <c r="Y14" s="137"/>
      <c r="Z14" s="139"/>
      <c r="AA14" s="136"/>
      <c r="AB14" s="139"/>
      <c r="AC14" s="136"/>
      <c r="AD14" s="136"/>
      <c r="AE14" s="139"/>
      <c r="AF14" s="142"/>
    </row>
    <row r="15" spans="1:32" ht="15" customHeight="1" x14ac:dyDescent="0.2">
      <c r="A15" s="383">
        <v>9</v>
      </c>
      <c r="B15" s="134" t="s">
        <v>13</v>
      </c>
      <c r="C15" s="135"/>
      <c r="D15" s="136"/>
      <c r="E15" s="137"/>
      <c r="F15" s="137"/>
      <c r="G15" s="137"/>
      <c r="H15" s="138"/>
      <c r="I15" s="136"/>
      <c r="J15" s="137"/>
      <c r="K15" s="138"/>
      <c r="L15" s="136"/>
      <c r="M15" s="137"/>
      <c r="N15" s="138"/>
      <c r="O15" s="136"/>
      <c r="P15" s="137"/>
      <c r="Q15" s="138"/>
      <c r="R15" s="136"/>
      <c r="S15" s="137"/>
      <c r="T15" s="139"/>
      <c r="U15" s="136"/>
      <c r="V15" s="136"/>
      <c r="W15" s="140"/>
      <c r="X15" s="139"/>
      <c r="Y15" s="137"/>
      <c r="Z15" s="139"/>
      <c r="AA15" s="136"/>
      <c r="AB15" s="139"/>
      <c r="AC15" s="136"/>
      <c r="AD15" s="136"/>
      <c r="AE15" s="139"/>
      <c r="AF15" s="142"/>
    </row>
    <row r="16" spans="1:32" ht="15" customHeight="1" x14ac:dyDescent="0.2">
      <c r="A16" s="388">
        <v>10</v>
      </c>
      <c r="B16" s="148" t="s">
        <v>14</v>
      </c>
      <c r="C16" s="149"/>
      <c r="D16" s="150"/>
      <c r="E16" s="151"/>
      <c r="F16" s="151"/>
      <c r="G16" s="151"/>
      <c r="H16" s="152"/>
      <c r="I16" s="150"/>
      <c r="J16" s="151"/>
      <c r="K16" s="152"/>
      <c r="L16" s="150"/>
      <c r="M16" s="151"/>
      <c r="N16" s="152"/>
      <c r="O16" s="150"/>
      <c r="P16" s="151"/>
      <c r="Q16" s="152"/>
      <c r="R16" s="150"/>
      <c r="S16" s="151"/>
      <c r="T16" s="153"/>
      <c r="U16" s="150"/>
      <c r="V16" s="150"/>
      <c r="W16" s="154"/>
      <c r="X16" s="153"/>
      <c r="Y16" s="151"/>
      <c r="Z16" s="153"/>
      <c r="AA16" s="150"/>
      <c r="AB16" s="153"/>
      <c r="AC16" s="156"/>
      <c r="AD16" s="150"/>
      <c r="AE16" s="157"/>
      <c r="AF16" s="157"/>
    </row>
    <row r="17" spans="1:32" ht="15" customHeight="1" x14ac:dyDescent="0.2">
      <c r="A17" s="378">
        <v>11</v>
      </c>
      <c r="B17" s="116" t="s">
        <v>15</v>
      </c>
      <c r="C17" s="117"/>
      <c r="D17" s="118"/>
      <c r="E17" s="119"/>
      <c r="F17" s="119"/>
      <c r="G17" s="119"/>
      <c r="H17" s="120"/>
      <c r="I17" s="118"/>
      <c r="J17" s="119"/>
      <c r="K17" s="120"/>
      <c r="L17" s="118"/>
      <c r="M17" s="119"/>
      <c r="N17" s="120"/>
      <c r="O17" s="118"/>
      <c r="P17" s="119"/>
      <c r="Q17" s="120"/>
      <c r="R17" s="118"/>
      <c r="S17" s="119"/>
      <c r="T17" s="121"/>
      <c r="U17" s="118"/>
      <c r="V17" s="118"/>
      <c r="W17" s="122"/>
      <c r="X17" s="121"/>
      <c r="Y17" s="119"/>
      <c r="Z17" s="121"/>
      <c r="AA17" s="118"/>
      <c r="AB17" s="121"/>
      <c r="AC17" s="118"/>
      <c r="AD17" s="118"/>
      <c r="AE17" s="121"/>
      <c r="AF17" s="123"/>
    </row>
    <row r="18" spans="1:32" ht="15" customHeight="1" x14ac:dyDescent="0.2">
      <c r="A18" s="383">
        <v>12</v>
      </c>
      <c r="B18" s="134" t="s">
        <v>16</v>
      </c>
      <c r="C18" s="135"/>
      <c r="D18" s="136"/>
      <c r="E18" s="137"/>
      <c r="F18" s="137"/>
      <c r="G18" s="137"/>
      <c r="H18" s="138"/>
      <c r="I18" s="136"/>
      <c r="J18" s="137"/>
      <c r="K18" s="138"/>
      <c r="L18" s="136"/>
      <c r="M18" s="137"/>
      <c r="N18" s="138"/>
      <c r="O18" s="136"/>
      <c r="P18" s="137"/>
      <c r="Q18" s="138"/>
      <c r="R18" s="136"/>
      <c r="S18" s="137"/>
      <c r="T18" s="139"/>
      <c r="U18" s="136"/>
      <c r="V18" s="136"/>
      <c r="W18" s="140"/>
      <c r="X18" s="139"/>
      <c r="Y18" s="137"/>
      <c r="Z18" s="139"/>
      <c r="AA18" s="136"/>
      <c r="AB18" s="139"/>
      <c r="AC18" s="136"/>
      <c r="AD18" s="136"/>
      <c r="AE18" s="139"/>
      <c r="AF18" s="142"/>
    </row>
    <row r="19" spans="1:32" ht="15" customHeight="1" x14ac:dyDescent="0.2">
      <c r="A19" s="383">
        <v>13</v>
      </c>
      <c r="B19" s="134" t="s">
        <v>17</v>
      </c>
      <c r="C19" s="135"/>
      <c r="D19" s="136"/>
      <c r="E19" s="137"/>
      <c r="F19" s="137"/>
      <c r="G19" s="137"/>
      <c r="H19" s="138"/>
      <c r="I19" s="136"/>
      <c r="J19" s="137"/>
      <c r="K19" s="138"/>
      <c r="L19" s="136"/>
      <c r="M19" s="137"/>
      <c r="N19" s="138"/>
      <c r="O19" s="136"/>
      <c r="P19" s="137"/>
      <c r="Q19" s="138"/>
      <c r="R19" s="136"/>
      <c r="S19" s="137"/>
      <c r="T19" s="139"/>
      <c r="U19" s="136"/>
      <c r="V19" s="136"/>
      <c r="W19" s="140"/>
      <c r="X19" s="139"/>
      <c r="Y19" s="137"/>
      <c r="Z19" s="139"/>
      <c r="AA19" s="136"/>
      <c r="AB19" s="139"/>
      <c r="AC19" s="136"/>
      <c r="AD19" s="136"/>
      <c r="AE19" s="139"/>
      <c r="AF19" s="142"/>
    </row>
    <row r="20" spans="1:32" ht="15" customHeight="1" x14ac:dyDescent="0.2">
      <c r="A20" s="383">
        <v>14</v>
      </c>
      <c r="B20" s="134" t="s">
        <v>18</v>
      </c>
      <c r="C20" s="135"/>
      <c r="D20" s="136"/>
      <c r="E20" s="137"/>
      <c r="F20" s="137"/>
      <c r="G20" s="137"/>
      <c r="H20" s="138"/>
      <c r="I20" s="136"/>
      <c r="J20" s="137"/>
      <c r="K20" s="138"/>
      <c r="L20" s="136"/>
      <c r="M20" s="137"/>
      <c r="N20" s="138"/>
      <c r="O20" s="136"/>
      <c r="P20" s="137"/>
      <c r="Q20" s="138"/>
      <c r="R20" s="136"/>
      <c r="S20" s="137"/>
      <c r="T20" s="139"/>
      <c r="U20" s="136"/>
      <c r="V20" s="136"/>
      <c r="W20" s="140"/>
      <c r="X20" s="139"/>
      <c r="Y20" s="137"/>
      <c r="Z20" s="139"/>
      <c r="AA20" s="136"/>
      <c r="AB20" s="139"/>
      <c r="AC20" s="136"/>
      <c r="AD20" s="136"/>
      <c r="AE20" s="139"/>
      <c r="AF20" s="142"/>
    </row>
    <row r="21" spans="1:32" ht="15" customHeight="1" x14ac:dyDescent="0.2">
      <c r="A21" s="388">
        <v>15</v>
      </c>
      <c r="B21" s="148" t="s">
        <v>19</v>
      </c>
      <c r="C21" s="149"/>
      <c r="D21" s="150"/>
      <c r="E21" s="151"/>
      <c r="F21" s="151"/>
      <c r="G21" s="151"/>
      <c r="H21" s="152"/>
      <c r="I21" s="150"/>
      <c r="J21" s="151"/>
      <c r="K21" s="152"/>
      <c r="L21" s="150"/>
      <c r="M21" s="151"/>
      <c r="N21" s="152"/>
      <c r="O21" s="150"/>
      <c r="P21" s="151"/>
      <c r="Q21" s="152"/>
      <c r="R21" s="150"/>
      <c r="S21" s="151"/>
      <c r="T21" s="153"/>
      <c r="U21" s="150"/>
      <c r="V21" s="150"/>
      <c r="W21" s="154"/>
      <c r="X21" s="153"/>
      <c r="Y21" s="151"/>
      <c r="Z21" s="153"/>
      <c r="AA21" s="150"/>
      <c r="AB21" s="153"/>
      <c r="AC21" s="156"/>
      <c r="AD21" s="150"/>
      <c r="AE21" s="157"/>
      <c r="AF21" s="157"/>
    </row>
    <row r="22" spans="1:32" ht="15" customHeight="1" x14ac:dyDescent="0.2">
      <c r="A22" s="378">
        <v>16</v>
      </c>
      <c r="B22" s="116" t="s">
        <v>20</v>
      </c>
      <c r="C22" s="117"/>
      <c r="D22" s="118"/>
      <c r="E22" s="119"/>
      <c r="F22" s="119"/>
      <c r="G22" s="119"/>
      <c r="H22" s="120"/>
      <c r="I22" s="118"/>
      <c r="J22" s="119"/>
      <c r="K22" s="120"/>
      <c r="L22" s="118"/>
      <c r="M22" s="119"/>
      <c r="N22" s="120"/>
      <c r="O22" s="118"/>
      <c r="P22" s="119"/>
      <c r="Q22" s="120"/>
      <c r="R22" s="118"/>
      <c r="S22" s="119"/>
      <c r="T22" s="121"/>
      <c r="U22" s="118"/>
      <c r="V22" s="118"/>
      <c r="W22" s="122"/>
      <c r="X22" s="121"/>
      <c r="Y22" s="119"/>
      <c r="Z22" s="121"/>
      <c r="AA22" s="118"/>
      <c r="AB22" s="121"/>
      <c r="AC22" s="118"/>
      <c r="AD22" s="118"/>
      <c r="AE22" s="121"/>
      <c r="AF22" s="123"/>
    </row>
    <row r="23" spans="1:32" ht="15" customHeight="1" x14ac:dyDescent="0.2">
      <c r="A23" s="383">
        <v>17</v>
      </c>
      <c r="B23" s="134" t="s">
        <v>21</v>
      </c>
      <c r="C23" s="135"/>
      <c r="D23" s="136"/>
      <c r="E23" s="137"/>
      <c r="F23" s="137"/>
      <c r="G23" s="137"/>
      <c r="H23" s="138"/>
      <c r="I23" s="136"/>
      <c r="J23" s="137"/>
      <c r="K23" s="138"/>
      <c r="L23" s="136"/>
      <c r="M23" s="137"/>
      <c r="N23" s="138"/>
      <c r="O23" s="136"/>
      <c r="P23" s="137"/>
      <c r="Q23" s="138"/>
      <c r="R23" s="136"/>
      <c r="S23" s="137"/>
      <c r="T23" s="139"/>
      <c r="U23" s="136"/>
      <c r="V23" s="136"/>
      <c r="W23" s="140"/>
      <c r="X23" s="139"/>
      <c r="Y23" s="137"/>
      <c r="Z23" s="139"/>
      <c r="AA23" s="136"/>
      <c r="AB23" s="139"/>
      <c r="AC23" s="136"/>
      <c r="AD23" s="136"/>
      <c r="AE23" s="139"/>
      <c r="AF23" s="142"/>
    </row>
    <row r="24" spans="1:32" ht="15" customHeight="1" x14ac:dyDescent="0.2">
      <c r="A24" s="383">
        <v>18</v>
      </c>
      <c r="B24" s="134" t="s">
        <v>22</v>
      </c>
      <c r="C24" s="135"/>
      <c r="D24" s="136"/>
      <c r="E24" s="137"/>
      <c r="F24" s="137"/>
      <c r="G24" s="137"/>
      <c r="H24" s="138"/>
      <c r="I24" s="136"/>
      <c r="J24" s="137"/>
      <c r="K24" s="138"/>
      <c r="L24" s="136"/>
      <c r="M24" s="137"/>
      <c r="N24" s="138"/>
      <c r="O24" s="136"/>
      <c r="P24" s="137"/>
      <c r="Q24" s="138"/>
      <c r="R24" s="136"/>
      <c r="S24" s="137"/>
      <c r="T24" s="139"/>
      <c r="U24" s="136"/>
      <c r="V24" s="136"/>
      <c r="W24" s="140"/>
      <c r="X24" s="139"/>
      <c r="Y24" s="137"/>
      <c r="Z24" s="139"/>
      <c r="AA24" s="136"/>
      <c r="AB24" s="139"/>
      <c r="AC24" s="136"/>
      <c r="AD24" s="136"/>
      <c r="AE24" s="139"/>
      <c r="AF24" s="142"/>
    </row>
    <row r="25" spans="1:32" ht="15" customHeight="1" x14ac:dyDescent="0.2">
      <c r="A25" s="383">
        <v>19</v>
      </c>
      <c r="B25" s="134" t="s">
        <v>23</v>
      </c>
      <c r="C25" s="135"/>
      <c r="D25" s="136"/>
      <c r="E25" s="137"/>
      <c r="F25" s="137"/>
      <c r="G25" s="137"/>
      <c r="H25" s="138"/>
      <c r="I25" s="136"/>
      <c r="J25" s="137"/>
      <c r="K25" s="138"/>
      <c r="L25" s="136"/>
      <c r="M25" s="137"/>
      <c r="N25" s="138"/>
      <c r="O25" s="136"/>
      <c r="P25" s="137"/>
      <c r="Q25" s="138"/>
      <c r="R25" s="136"/>
      <c r="S25" s="137"/>
      <c r="T25" s="139"/>
      <c r="U25" s="136"/>
      <c r="V25" s="136"/>
      <c r="W25" s="140"/>
      <c r="X25" s="139"/>
      <c r="Y25" s="137"/>
      <c r="Z25" s="139"/>
      <c r="AA25" s="136"/>
      <c r="AB25" s="139"/>
      <c r="AC25" s="136"/>
      <c r="AD25" s="136"/>
      <c r="AE25" s="139"/>
      <c r="AF25" s="142"/>
    </row>
    <row r="26" spans="1:32" ht="15" customHeight="1" x14ac:dyDescent="0.2">
      <c r="A26" s="388">
        <v>20</v>
      </c>
      <c r="B26" s="148" t="s">
        <v>24</v>
      </c>
      <c r="C26" s="149"/>
      <c r="D26" s="150"/>
      <c r="E26" s="151"/>
      <c r="F26" s="151"/>
      <c r="G26" s="151"/>
      <c r="H26" s="152"/>
      <c r="I26" s="150"/>
      <c r="J26" s="151"/>
      <c r="K26" s="152"/>
      <c r="L26" s="150"/>
      <c r="M26" s="151"/>
      <c r="N26" s="152"/>
      <c r="O26" s="150"/>
      <c r="P26" s="151"/>
      <c r="Q26" s="152"/>
      <c r="R26" s="150"/>
      <c r="S26" s="151"/>
      <c r="T26" s="153"/>
      <c r="U26" s="150"/>
      <c r="V26" s="150"/>
      <c r="W26" s="154"/>
      <c r="X26" s="153"/>
      <c r="Y26" s="151"/>
      <c r="Z26" s="153"/>
      <c r="AA26" s="150"/>
      <c r="AB26" s="153"/>
      <c r="AC26" s="156"/>
      <c r="AD26" s="150"/>
      <c r="AE26" s="157"/>
      <c r="AF26" s="157"/>
    </row>
    <row r="27" spans="1:32" ht="15" customHeight="1" x14ac:dyDescent="0.2">
      <c r="A27" s="378">
        <v>21</v>
      </c>
      <c r="B27" s="116" t="s">
        <v>25</v>
      </c>
      <c r="C27" s="117"/>
      <c r="D27" s="118"/>
      <c r="E27" s="119"/>
      <c r="F27" s="119"/>
      <c r="G27" s="119"/>
      <c r="H27" s="120"/>
      <c r="I27" s="118"/>
      <c r="J27" s="119"/>
      <c r="K27" s="120"/>
      <c r="L27" s="118"/>
      <c r="M27" s="119"/>
      <c r="N27" s="120"/>
      <c r="O27" s="118"/>
      <c r="P27" s="119"/>
      <c r="Q27" s="120"/>
      <c r="R27" s="118"/>
      <c r="S27" s="119"/>
      <c r="T27" s="121"/>
      <c r="U27" s="118"/>
      <c r="V27" s="118"/>
      <c r="W27" s="122"/>
      <c r="X27" s="121"/>
      <c r="Y27" s="119"/>
      <c r="Z27" s="121"/>
      <c r="AA27" s="118"/>
      <c r="AB27" s="121"/>
      <c r="AC27" s="118"/>
      <c r="AD27" s="118"/>
      <c r="AE27" s="121"/>
      <c r="AF27" s="123"/>
    </row>
    <row r="28" spans="1:32" ht="15" customHeight="1" x14ac:dyDescent="0.2">
      <c r="A28" s="383">
        <v>22</v>
      </c>
      <c r="B28" s="134" t="s">
        <v>26</v>
      </c>
      <c r="C28" s="135"/>
      <c r="D28" s="136"/>
      <c r="E28" s="137"/>
      <c r="F28" s="137"/>
      <c r="G28" s="137"/>
      <c r="H28" s="138"/>
      <c r="I28" s="136"/>
      <c r="J28" s="137"/>
      <c r="K28" s="138"/>
      <c r="L28" s="136"/>
      <c r="M28" s="137"/>
      <c r="N28" s="138"/>
      <c r="O28" s="136"/>
      <c r="P28" s="137"/>
      <c r="Q28" s="138"/>
      <c r="R28" s="136"/>
      <c r="S28" s="137"/>
      <c r="T28" s="139"/>
      <c r="U28" s="136"/>
      <c r="V28" s="136"/>
      <c r="W28" s="140"/>
      <c r="X28" s="139"/>
      <c r="Y28" s="137"/>
      <c r="Z28" s="139"/>
      <c r="AA28" s="136"/>
      <c r="AB28" s="139"/>
      <c r="AC28" s="136"/>
      <c r="AD28" s="136"/>
      <c r="AE28" s="139"/>
      <c r="AF28" s="142"/>
    </row>
    <row r="29" spans="1:32" ht="15" customHeight="1" x14ac:dyDescent="0.2">
      <c r="A29" s="383">
        <v>23</v>
      </c>
      <c r="B29" s="134" t="s">
        <v>27</v>
      </c>
      <c r="C29" s="135"/>
      <c r="D29" s="136"/>
      <c r="E29" s="137"/>
      <c r="F29" s="137"/>
      <c r="G29" s="137"/>
      <c r="H29" s="138"/>
      <c r="I29" s="136"/>
      <c r="J29" s="137"/>
      <c r="K29" s="138"/>
      <c r="L29" s="136"/>
      <c r="M29" s="137"/>
      <c r="N29" s="138"/>
      <c r="O29" s="136"/>
      <c r="P29" s="137"/>
      <c r="Q29" s="138"/>
      <c r="R29" s="136"/>
      <c r="S29" s="137"/>
      <c r="T29" s="139"/>
      <c r="U29" s="136"/>
      <c r="V29" s="136"/>
      <c r="W29" s="140"/>
      <c r="X29" s="139"/>
      <c r="Y29" s="137"/>
      <c r="Z29" s="139"/>
      <c r="AA29" s="136"/>
      <c r="AB29" s="139"/>
      <c r="AC29" s="136"/>
      <c r="AD29" s="136"/>
      <c r="AE29" s="139"/>
      <c r="AF29" s="142"/>
    </row>
    <row r="30" spans="1:32" ht="15" customHeight="1" x14ac:dyDescent="0.2">
      <c r="A30" s="383">
        <v>24</v>
      </c>
      <c r="B30" s="134" t="s">
        <v>28</v>
      </c>
      <c r="C30" s="135"/>
      <c r="D30" s="136"/>
      <c r="E30" s="137"/>
      <c r="F30" s="137"/>
      <c r="G30" s="137"/>
      <c r="H30" s="138"/>
      <c r="I30" s="136"/>
      <c r="J30" s="137"/>
      <c r="K30" s="138"/>
      <c r="L30" s="136"/>
      <c r="M30" s="137"/>
      <c r="N30" s="138"/>
      <c r="O30" s="136"/>
      <c r="P30" s="137"/>
      <c r="Q30" s="138"/>
      <c r="R30" s="136"/>
      <c r="S30" s="137"/>
      <c r="T30" s="139"/>
      <c r="U30" s="136"/>
      <c r="V30" s="136"/>
      <c r="W30" s="140"/>
      <c r="X30" s="139"/>
      <c r="Y30" s="137"/>
      <c r="Z30" s="139"/>
      <c r="AA30" s="136"/>
      <c r="AB30" s="139"/>
      <c r="AC30" s="136"/>
      <c r="AD30" s="136"/>
      <c r="AE30" s="139"/>
      <c r="AF30" s="142"/>
    </row>
    <row r="31" spans="1:32" ht="15" customHeight="1" x14ac:dyDescent="0.2">
      <c r="A31" s="388">
        <v>25</v>
      </c>
      <c r="B31" s="148" t="s">
        <v>29</v>
      </c>
      <c r="C31" s="149"/>
      <c r="D31" s="150"/>
      <c r="E31" s="151"/>
      <c r="F31" s="151"/>
      <c r="G31" s="151"/>
      <c r="H31" s="152"/>
      <c r="I31" s="150"/>
      <c r="J31" s="151"/>
      <c r="K31" s="152"/>
      <c r="L31" s="150"/>
      <c r="M31" s="151"/>
      <c r="N31" s="152"/>
      <c r="O31" s="150"/>
      <c r="P31" s="151"/>
      <c r="Q31" s="152"/>
      <c r="R31" s="150"/>
      <c r="S31" s="151"/>
      <c r="T31" s="153"/>
      <c r="U31" s="150"/>
      <c r="V31" s="150"/>
      <c r="W31" s="154"/>
      <c r="X31" s="153"/>
      <c r="Y31" s="151"/>
      <c r="Z31" s="153"/>
      <c r="AA31" s="150"/>
      <c r="AB31" s="153"/>
      <c r="AC31" s="156"/>
      <c r="AD31" s="150"/>
      <c r="AE31" s="157"/>
      <c r="AF31" s="157"/>
    </row>
    <row r="32" spans="1:32" ht="15" customHeight="1" x14ac:dyDescent="0.2">
      <c r="A32" s="378">
        <v>26</v>
      </c>
      <c r="B32" s="116" t="s">
        <v>30</v>
      </c>
      <c r="C32" s="117"/>
      <c r="D32" s="118"/>
      <c r="E32" s="119"/>
      <c r="F32" s="119"/>
      <c r="G32" s="119"/>
      <c r="H32" s="120"/>
      <c r="I32" s="118"/>
      <c r="J32" s="119"/>
      <c r="K32" s="120"/>
      <c r="L32" s="118"/>
      <c r="M32" s="119"/>
      <c r="N32" s="120"/>
      <c r="O32" s="118"/>
      <c r="P32" s="119"/>
      <c r="Q32" s="120"/>
      <c r="R32" s="118"/>
      <c r="S32" s="119"/>
      <c r="T32" s="121"/>
      <c r="U32" s="118"/>
      <c r="V32" s="118"/>
      <c r="W32" s="122"/>
      <c r="X32" s="121"/>
      <c r="Y32" s="119"/>
      <c r="Z32" s="121"/>
      <c r="AA32" s="118"/>
      <c r="AB32" s="121"/>
      <c r="AC32" s="118"/>
      <c r="AD32" s="118"/>
      <c r="AE32" s="121"/>
      <c r="AF32" s="123"/>
    </row>
    <row r="33" spans="1:32" ht="15" customHeight="1" x14ac:dyDescent="0.2">
      <c r="A33" s="383">
        <v>27</v>
      </c>
      <c r="B33" s="134" t="s">
        <v>31</v>
      </c>
      <c r="C33" s="135"/>
      <c r="D33" s="136"/>
      <c r="E33" s="137"/>
      <c r="F33" s="137"/>
      <c r="G33" s="137"/>
      <c r="H33" s="138"/>
      <c r="I33" s="136"/>
      <c r="J33" s="137"/>
      <c r="K33" s="138"/>
      <c r="L33" s="136"/>
      <c r="M33" s="137"/>
      <c r="N33" s="138"/>
      <c r="O33" s="136"/>
      <c r="P33" s="137"/>
      <c r="Q33" s="138"/>
      <c r="R33" s="136"/>
      <c r="S33" s="137"/>
      <c r="T33" s="139"/>
      <c r="U33" s="136"/>
      <c r="V33" s="136"/>
      <c r="W33" s="140"/>
      <c r="X33" s="139"/>
      <c r="Y33" s="137"/>
      <c r="Z33" s="139"/>
      <c r="AA33" s="136"/>
      <c r="AB33" s="139"/>
      <c r="AC33" s="136"/>
      <c r="AD33" s="136"/>
      <c r="AE33" s="139"/>
      <c r="AF33" s="142"/>
    </row>
    <row r="34" spans="1:32" ht="15" customHeight="1" x14ac:dyDescent="0.2">
      <c r="A34" s="383">
        <v>28</v>
      </c>
      <c r="B34" s="134" t="s">
        <v>32</v>
      </c>
      <c r="C34" s="135"/>
      <c r="D34" s="136"/>
      <c r="E34" s="137"/>
      <c r="F34" s="137"/>
      <c r="G34" s="137"/>
      <c r="H34" s="138"/>
      <c r="I34" s="136"/>
      <c r="J34" s="137"/>
      <c r="K34" s="138"/>
      <c r="L34" s="136"/>
      <c r="M34" s="137"/>
      <c r="N34" s="138"/>
      <c r="O34" s="136"/>
      <c r="P34" s="137"/>
      <c r="Q34" s="138"/>
      <c r="R34" s="136"/>
      <c r="S34" s="137"/>
      <c r="T34" s="139"/>
      <c r="U34" s="136"/>
      <c r="V34" s="136"/>
      <c r="W34" s="140"/>
      <c r="X34" s="139"/>
      <c r="Y34" s="137"/>
      <c r="Z34" s="139"/>
      <c r="AA34" s="136"/>
      <c r="AB34" s="139"/>
      <c r="AC34" s="136"/>
      <c r="AD34" s="136"/>
      <c r="AE34" s="139"/>
      <c r="AF34" s="142"/>
    </row>
    <row r="35" spans="1:32" ht="15" customHeight="1" x14ac:dyDescent="0.2">
      <c r="A35" s="383">
        <v>29</v>
      </c>
      <c r="B35" s="134" t="s">
        <v>33</v>
      </c>
      <c r="C35" s="135"/>
      <c r="D35" s="136"/>
      <c r="E35" s="137"/>
      <c r="F35" s="137"/>
      <c r="G35" s="137"/>
      <c r="H35" s="138"/>
      <c r="I35" s="136"/>
      <c r="J35" s="137"/>
      <c r="K35" s="138"/>
      <c r="L35" s="136"/>
      <c r="M35" s="137"/>
      <c r="N35" s="138"/>
      <c r="O35" s="136"/>
      <c r="P35" s="137"/>
      <c r="Q35" s="138"/>
      <c r="R35" s="136"/>
      <c r="S35" s="137"/>
      <c r="T35" s="139"/>
      <c r="U35" s="136"/>
      <c r="V35" s="136"/>
      <c r="W35" s="140"/>
      <c r="X35" s="139"/>
      <c r="Y35" s="137"/>
      <c r="Z35" s="139"/>
      <c r="AA35" s="136"/>
      <c r="AB35" s="139"/>
      <c r="AC35" s="136"/>
      <c r="AD35" s="136"/>
      <c r="AE35" s="139"/>
      <c r="AF35" s="142"/>
    </row>
    <row r="36" spans="1:32" ht="15" customHeight="1" x14ac:dyDescent="0.2">
      <c r="A36" s="388">
        <v>30</v>
      </c>
      <c r="B36" s="148" t="s">
        <v>34</v>
      </c>
      <c r="C36" s="149"/>
      <c r="D36" s="150"/>
      <c r="E36" s="151"/>
      <c r="F36" s="151"/>
      <c r="G36" s="151"/>
      <c r="H36" s="152"/>
      <c r="I36" s="150"/>
      <c r="J36" s="151"/>
      <c r="K36" s="152"/>
      <c r="L36" s="150"/>
      <c r="M36" s="151"/>
      <c r="N36" s="152"/>
      <c r="O36" s="150"/>
      <c r="P36" s="151"/>
      <c r="Q36" s="152"/>
      <c r="R36" s="150"/>
      <c r="S36" s="151"/>
      <c r="T36" s="153"/>
      <c r="U36" s="150"/>
      <c r="V36" s="150"/>
      <c r="W36" s="154"/>
      <c r="X36" s="153"/>
      <c r="Y36" s="151"/>
      <c r="Z36" s="153"/>
      <c r="AA36" s="150"/>
      <c r="AB36" s="153"/>
      <c r="AC36" s="156"/>
      <c r="AD36" s="150"/>
      <c r="AE36" s="157"/>
      <c r="AF36" s="157"/>
    </row>
    <row r="37" spans="1:32" ht="15" customHeight="1" x14ac:dyDescent="0.2">
      <c r="A37" s="378">
        <v>31</v>
      </c>
      <c r="B37" s="116" t="s">
        <v>35</v>
      </c>
      <c r="C37" s="117"/>
      <c r="D37" s="118"/>
      <c r="E37" s="119"/>
      <c r="F37" s="119"/>
      <c r="G37" s="119"/>
      <c r="H37" s="120"/>
      <c r="I37" s="118"/>
      <c r="J37" s="119"/>
      <c r="K37" s="120"/>
      <c r="L37" s="118"/>
      <c r="M37" s="119"/>
      <c r="N37" s="120"/>
      <c r="O37" s="118"/>
      <c r="P37" s="119"/>
      <c r="Q37" s="120"/>
      <c r="R37" s="118"/>
      <c r="S37" s="119"/>
      <c r="T37" s="121"/>
      <c r="U37" s="118"/>
      <c r="V37" s="118"/>
      <c r="W37" s="122"/>
      <c r="X37" s="121"/>
      <c r="Y37" s="119"/>
      <c r="Z37" s="121"/>
      <c r="AA37" s="118"/>
      <c r="AB37" s="121"/>
      <c r="AC37" s="118"/>
      <c r="AD37" s="118"/>
      <c r="AE37" s="121"/>
      <c r="AF37" s="123"/>
    </row>
    <row r="38" spans="1:32" ht="15" customHeight="1" x14ac:dyDescent="0.2">
      <c r="A38" s="383">
        <v>32</v>
      </c>
      <c r="B38" s="134" t="s">
        <v>36</v>
      </c>
      <c r="C38" s="135"/>
      <c r="D38" s="136"/>
      <c r="E38" s="137"/>
      <c r="F38" s="137"/>
      <c r="G38" s="137"/>
      <c r="H38" s="138"/>
      <c r="I38" s="136"/>
      <c r="J38" s="137"/>
      <c r="K38" s="138"/>
      <c r="L38" s="136"/>
      <c r="M38" s="137"/>
      <c r="N38" s="138"/>
      <c r="O38" s="136"/>
      <c r="P38" s="137"/>
      <c r="Q38" s="138"/>
      <c r="R38" s="136"/>
      <c r="S38" s="137"/>
      <c r="T38" s="139"/>
      <c r="U38" s="136"/>
      <c r="V38" s="136"/>
      <c r="W38" s="140"/>
      <c r="X38" s="139"/>
      <c r="Y38" s="137"/>
      <c r="Z38" s="139"/>
      <c r="AA38" s="136"/>
      <c r="AB38" s="139"/>
      <c r="AC38" s="136"/>
      <c r="AD38" s="136"/>
      <c r="AE38" s="139"/>
      <c r="AF38" s="142"/>
    </row>
    <row r="39" spans="1:32" ht="15" customHeight="1" x14ac:dyDescent="0.2">
      <c r="A39" s="383">
        <v>33</v>
      </c>
      <c r="B39" s="134" t="s">
        <v>37</v>
      </c>
      <c r="C39" s="135"/>
      <c r="D39" s="136"/>
      <c r="E39" s="137"/>
      <c r="F39" s="137"/>
      <c r="G39" s="137"/>
      <c r="H39" s="138"/>
      <c r="I39" s="136"/>
      <c r="J39" s="137"/>
      <c r="K39" s="138"/>
      <c r="L39" s="136"/>
      <c r="M39" s="137"/>
      <c r="N39" s="138"/>
      <c r="O39" s="136"/>
      <c r="P39" s="137"/>
      <c r="Q39" s="138"/>
      <c r="R39" s="136"/>
      <c r="S39" s="137"/>
      <c r="T39" s="139"/>
      <c r="U39" s="136"/>
      <c r="V39" s="136"/>
      <c r="W39" s="140"/>
      <c r="X39" s="139"/>
      <c r="Y39" s="137"/>
      <c r="Z39" s="139"/>
      <c r="AA39" s="136"/>
      <c r="AB39" s="139"/>
      <c r="AC39" s="136"/>
      <c r="AD39" s="136"/>
      <c r="AE39" s="139"/>
      <c r="AF39" s="142"/>
    </row>
    <row r="40" spans="1:32" ht="15" customHeight="1" x14ac:dyDescent="0.2">
      <c r="A40" s="383">
        <v>34</v>
      </c>
      <c r="B40" s="134" t="s">
        <v>38</v>
      </c>
      <c r="C40" s="135"/>
      <c r="D40" s="136"/>
      <c r="E40" s="137"/>
      <c r="F40" s="137"/>
      <c r="G40" s="137"/>
      <c r="H40" s="138"/>
      <c r="I40" s="136"/>
      <c r="J40" s="137"/>
      <c r="K40" s="138"/>
      <c r="L40" s="136"/>
      <c r="M40" s="137"/>
      <c r="N40" s="138"/>
      <c r="O40" s="136"/>
      <c r="P40" s="137"/>
      <c r="Q40" s="138"/>
      <c r="R40" s="136"/>
      <c r="S40" s="137"/>
      <c r="T40" s="139"/>
      <c r="U40" s="136"/>
      <c r="V40" s="136"/>
      <c r="W40" s="140"/>
      <c r="X40" s="139"/>
      <c r="Y40" s="137"/>
      <c r="Z40" s="139"/>
      <c r="AA40" s="136"/>
      <c r="AB40" s="139"/>
      <c r="AC40" s="136"/>
      <c r="AD40" s="136"/>
      <c r="AE40" s="139"/>
      <c r="AF40" s="142"/>
    </row>
    <row r="41" spans="1:32" ht="15" customHeight="1" x14ac:dyDescent="0.2">
      <c r="A41" s="388">
        <v>35</v>
      </c>
      <c r="B41" s="148" t="s">
        <v>39</v>
      </c>
      <c r="C41" s="149"/>
      <c r="D41" s="150"/>
      <c r="E41" s="151"/>
      <c r="F41" s="151"/>
      <c r="G41" s="151"/>
      <c r="H41" s="152"/>
      <c r="I41" s="150"/>
      <c r="J41" s="151"/>
      <c r="K41" s="152"/>
      <c r="L41" s="150"/>
      <c r="M41" s="151"/>
      <c r="N41" s="152"/>
      <c r="O41" s="150"/>
      <c r="P41" s="151"/>
      <c r="Q41" s="152"/>
      <c r="R41" s="150"/>
      <c r="S41" s="151"/>
      <c r="T41" s="153"/>
      <c r="U41" s="150"/>
      <c r="V41" s="150"/>
      <c r="W41" s="154"/>
      <c r="X41" s="153"/>
      <c r="Y41" s="151"/>
      <c r="Z41" s="153"/>
      <c r="AA41" s="150"/>
      <c r="AB41" s="153"/>
      <c r="AC41" s="156"/>
      <c r="AD41" s="150"/>
      <c r="AE41" s="157"/>
      <c r="AF41" s="157"/>
    </row>
    <row r="42" spans="1:32" ht="15" customHeight="1" x14ac:dyDescent="0.2">
      <c r="A42" s="378">
        <v>36</v>
      </c>
      <c r="B42" s="116" t="s">
        <v>40</v>
      </c>
      <c r="C42" s="117"/>
      <c r="D42" s="118"/>
      <c r="E42" s="119"/>
      <c r="F42" s="119"/>
      <c r="G42" s="119"/>
      <c r="H42" s="120"/>
      <c r="I42" s="118"/>
      <c r="J42" s="119"/>
      <c r="K42" s="120"/>
      <c r="L42" s="118"/>
      <c r="M42" s="119"/>
      <c r="N42" s="120"/>
      <c r="O42" s="118"/>
      <c r="P42" s="119"/>
      <c r="Q42" s="120"/>
      <c r="R42" s="118"/>
      <c r="S42" s="119"/>
      <c r="T42" s="121"/>
      <c r="U42" s="118"/>
      <c r="V42" s="118"/>
      <c r="W42" s="122"/>
      <c r="X42" s="121"/>
      <c r="Y42" s="119"/>
      <c r="Z42" s="121"/>
      <c r="AA42" s="118"/>
      <c r="AB42" s="121"/>
      <c r="AC42" s="118"/>
      <c r="AD42" s="118"/>
      <c r="AE42" s="121"/>
      <c r="AF42" s="123"/>
    </row>
    <row r="43" spans="1:32" ht="15" customHeight="1" x14ac:dyDescent="0.2">
      <c r="A43" s="383">
        <v>37</v>
      </c>
      <c r="B43" s="134" t="s">
        <v>41</v>
      </c>
      <c r="C43" s="135"/>
      <c r="D43" s="136"/>
      <c r="E43" s="137"/>
      <c r="F43" s="137"/>
      <c r="G43" s="137"/>
      <c r="H43" s="138"/>
      <c r="I43" s="136"/>
      <c r="J43" s="137"/>
      <c r="K43" s="138"/>
      <c r="L43" s="136"/>
      <c r="M43" s="137"/>
      <c r="N43" s="138"/>
      <c r="O43" s="136"/>
      <c r="P43" s="137"/>
      <c r="Q43" s="138"/>
      <c r="R43" s="136"/>
      <c r="S43" s="137"/>
      <c r="T43" s="139"/>
      <c r="U43" s="136"/>
      <c r="V43" s="136"/>
      <c r="W43" s="140"/>
      <c r="X43" s="139"/>
      <c r="Y43" s="137"/>
      <c r="Z43" s="139"/>
      <c r="AA43" s="136"/>
      <c r="AB43" s="139"/>
      <c r="AC43" s="136"/>
      <c r="AD43" s="136"/>
      <c r="AE43" s="139"/>
      <c r="AF43" s="142"/>
    </row>
    <row r="44" spans="1:32" ht="15" customHeight="1" x14ac:dyDescent="0.2">
      <c r="A44" s="383">
        <v>38</v>
      </c>
      <c r="B44" s="134" t="s">
        <v>42</v>
      </c>
      <c r="C44" s="135"/>
      <c r="D44" s="136"/>
      <c r="E44" s="137"/>
      <c r="F44" s="137"/>
      <c r="G44" s="137"/>
      <c r="H44" s="138"/>
      <c r="I44" s="136"/>
      <c r="J44" s="137"/>
      <c r="K44" s="138"/>
      <c r="L44" s="136"/>
      <c r="M44" s="137"/>
      <c r="N44" s="138"/>
      <c r="O44" s="136"/>
      <c r="P44" s="137"/>
      <c r="Q44" s="138"/>
      <c r="R44" s="136"/>
      <c r="S44" s="137"/>
      <c r="T44" s="139"/>
      <c r="U44" s="136"/>
      <c r="V44" s="136"/>
      <c r="W44" s="140"/>
      <c r="X44" s="139"/>
      <c r="Y44" s="137"/>
      <c r="Z44" s="139"/>
      <c r="AA44" s="136"/>
      <c r="AB44" s="139"/>
      <c r="AC44" s="136"/>
      <c r="AD44" s="136"/>
      <c r="AE44" s="139"/>
      <c r="AF44" s="142"/>
    </row>
    <row r="45" spans="1:32" ht="15" customHeight="1" x14ac:dyDescent="0.2">
      <c r="A45" s="383">
        <v>39</v>
      </c>
      <c r="B45" s="134" t="s">
        <v>43</v>
      </c>
      <c r="C45" s="135"/>
      <c r="D45" s="136"/>
      <c r="E45" s="137"/>
      <c r="F45" s="137"/>
      <c r="G45" s="137"/>
      <c r="H45" s="138"/>
      <c r="I45" s="136"/>
      <c r="J45" s="137"/>
      <c r="K45" s="138"/>
      <c r="L45" s="136"/>
      <c r="M45" s="137"/>
      <c r="N45" s="138"/>
      <c r="O45" s="136"/>
      <c r="P45" s="137"/>
      <c r="Q45" s="138"/>
      <c r="R45" s="136"/>
      <c r="S45" s="137"/>
      <c r="T45" s="139"/>
      <c r="U45" s="136"/>
      <c r="V45" s="136"/>
      <c r="W45" s="140"/>
      <c r="X45" s="139"/>
      <c r="Y45" s="137"/>
      <c r="Z45" s="139"/>
      <c r="AA45" s="136"/>
      <c r="AB45" s="139"/>
      <c r="AC45" s="136"/>
      <c r="AD45" s="136"/>
      <c r="AE45" s="139"/>
      <c r="AF45" s="142"/>
    </row>
    <row r="46" spans="1:32" ht="15" customHeight="1" x14ac:dyDescent="0.2">
      <c r="A46" s="388">
        <v>40</v>
      </c>
      <c r="B46" s="148" t="s">
        <v>44</v>
      </c>
      <c r="C46" s="149"/>
      <c r="D46" s="150"/>
      <c r="E46" s="151"/>
      <c r="F46" s="151"/>
      <c r="G46" s="151"/>
      <c r="H46" s="152"/>
      <c r="I46" s="150"/>
      <c r="J46" s="151"/>
      <c r="K46" s="152"/>
      <c r="L46" s="150"/>
      <c r="M46" s="151"/>
      <c r="N46" s="152"/>
      <c r="O46" s="150"/>
      <c r="P46" s="151"/>
      <c r="Q46" s="152"/>
      <c r="R46" s="150"/>
      <c r="S46" s="151"/>
      <c r="T46" s="153"/>
      <c r="U46" s="150"/>
      <c r="V46" s="150"/>
      <c r="W46" s="154"/>
      <c r="X46" s="153"/>
      <c r="Y46" s="151"/>
      <c r="Z46" s="153"/>
      <c r="AA46" s="150"/>
      <c r="AB46" s="153"/>
      <c r="AC46" s="156"/>
      <c r="AD46" s="150"/>
      <c r="AE46" s="157"/>
      <c r="AF46" s="157"/>
    </row>
    <row r="47" spans="1:32" ht="15" customHeight="1" x14ac:dyDescent="0.2">
      <c r="A47" s="378">
        <v>41</v>
      </c>
      <c r="B47" s="116" t="s">
        <v>45</v>
      </c>
      <c r="C47" s="117"/>
      <c r="D47" s="118"/>
      <c r="E47" s="119"/>
      <c r="F47" s="119"/>
      <c r="G47" s="119"/>
      <c r="H47" s="120"/>
      <c r="I47" s="118"/>
      <c r="J47" s="119"/>
      <c r="K47" s="120"/>
      <c r="L47" s="118"/>
      <c r="M47" s="119"/>
      <c r="N47" s="120"/>
      <c r="O47" s="118"/>
      <c r="P47" s="119"/>
      <c r="Q47" s="120"/>
      <c r="R47" s="118"/>
      <c r="S47" s="119"/>
      <c r="T47" s="121"/>
      <c r="U47" s="118"/>
      <c r="V47" s="118"/>
      <c r="W47" s="122"/>
      <c r="X47" s="121"/>
      <c r="Y47" s="119"/>
      <c r="Z47" s="121"/>
      <c r="AA47" s="118"/>
      <c r="AB47" s="121"/>
      <c r="AC47" s="118"/>
      <c r="AD47" s="118"/>
      <c r="AE47" s="121"/>
      <c r="AF47" s="123"/>
    </row>
    <row r="48" spans="1:32" ht="15" customHeight="1" x14ac:dyDescent="0.2">
      <c r="A48" s="383">
        <v>42</v>
      </c>
      <c r="B48" s="134" t="s">
        <v>46</v>
      </c>
      <c r="C48" s="135"/>
      <c r="D48" s="136"/>
      <c r="E48" s="137"/>
      <c r="F48" s="137"/>
      <c r="G48" s="137"/>
      <c r="H48" s="138"/>
      <c r="I48" s="136"/>
      <c r="J48" s="137"/>
      <c r="K48" s="138"/>
      <c r="L48" s="136"/>
      <c r="M48" s="137"/>
      <c r="N48" s="138"/>
      <c r="O48" s="136"/>
      <c r="P48" s="137"/>
      <c r="Q48" s="138"/>
      <c r="R48" s="136"/>
      <c r="S48" s="137"/>
      <c r="T48" s="139"/>
      <c r="U48" s="136"/>
      <c r="V48" s="136"/>
      <c r="W48" s="140"/>
      <c r="X48" s="139"/>
      <c r="Y48" s="137"/>
      <c r="Z48" s="139"/>
      <c r="AA48" s="136"/>
      <c r="AB48" s="139"/>
      <c r="AC48" s="136"/>
      <c r="AD48" s="136"/>
      <c r="AE48" s="139"/>
      <c r="AF48" s="142"/>
    </row>
    <row r="49" spans="1:32" ht="15" customHeight="1" x14ac:dyDescent="0.2">
      <c r="A49" s="383">
        <v>43</v>
      </c>
      <c r="B49" s="134" t="s">
        <v>47</v>
      </c>
      <c r="C49" s="135"/>
      <c r="D49" s="136"/>
      <c r="E49" s="137"/>
      <c r="F49" s="137"/>
      <c r="G49" s="137"/>
      <c r="H49" s="138"/>
      <c r="I49" s="136"/>
      <c r="J49" s="137"/>
      <c r="K49" s="138"/>
      <c r="L49" s="136"/>
      <c r="M49" s="137"/>
      <c r="N49" s="138"/>
      <c r="O49" s="136"/>
      <c r="P49" s="137"/>
      <c r="Q49" s="138"/>
      <c r="R49" s="136"/>
      <c r="S49" s="137"/>
      <c r="T49" s="139"/>
      <c r="U49" s="136"/>
      <c r="V49" s="136"/>
      <c r="W49" s="140"/>
      <c r="X49" s="139"/>
      <c r="Y49" s="137"/>
      <c r="Z49" s="139"/>
      <c r="AA49" s="136"/>
      <c r="AB49" s="139"/>
      <c r="AC49" s="136"/>
      <c r="AD49" s="136"/>
      <c r="AE49" s="139"/>
      <c r="AF49" s="142"/>
    </row>
    <row r="50" spans="1:32" ht="15" customHeight="1" x14ac:dyDescent="0.2">
      <c r="A50" s="383">
        <v>44</v>
      </c>
      <c r="B50" s="134" t="s">
        <v>48</v>
      </c>
      <c r="C50" s="135"/>
      <c r="D50" s="136"/>
      <c r="E50" s="137"/>
      <c r="F50" s="137"/>
      <c r="G50" s="137"/>
      <c r="H50" s="138"/>
      <c r="I50" s="136"/>
      <c r="J50" s="137"/>
      <c r="K50" s="138"/>
      <c r="L50" s="136"/>
      <c r="M50" s="137"/>
      <c r="N50" s="138"/>
      <c r="O50" s="136"/>
      <c r="P50" s="137"/>
      <c r="Q50" s="138"/>
      <c r="R50" s="136"/>
      <c r="S50" s="137"/>
      <c r="T50" s="139"/>
      <c r="U50" s="136"/>
      <c r="V50" s="136"/>
      <c r="W50" s="140"/>
      <c r="X50" s="139"/>
      <c r="Y50" s="137"/>
      <c r="Z50" s="139"/>
      <c r="AA50" s="136"/>
      <c r="AB50" s="139"/>
      <c r="AC50" s="136"/>
      <c r="AD50" s="136"/>
      <c r="AE50" s="139"/>
      <c r="AF50" s="142"/>
    </row>
    <row r="51" spans="1:32" ht="15" customHeight="1" x14ac:dyDescent="0.2">
      <c r="A51" s="388">
        <v>45</v>
      </c>
      <c r="B51" s="148" t="s">
        <v>49</v>
      </c>
      <c r="C51" s="149"/>
      <c r="D51" s="150"/>
      <c r="E51" s="151"/>
      <c r="F51" s="151"/>
      <c r="G51" s="151"/>
      <c r="H51" s="152"/>
      <c r="I51" s="150"/>
      <c r="J51" s="151"/>
      <c r="K51" s="152"/>
      <c r="L51" s="150"/>
      <c r="M51" s="151"/>
      <c r="N51" s="152"/>
      <c r="O51" s="150"/>
      <c r="P51" s="151"/>
      <c r="Q51" s="152"/>
      <c r="R51" s="150"/>
      <c r="S51" s="151"/>
      <c r="T51" s="153"/>
      <c r="U51" s="150"/>
      <c r="V51" s="150"/>
      <c r="W51" s="154"/>
      <c r="X51" s="153"/>
      <c r="Y51" s="151"/>
      <c r="Z51" s="153"/>
      <c r="AA51" s="150"/>
      <c r="AB51" s="153"/>
      <c r="AC51" s="156"/>
      <c r="AD51" s="150"/>
      <c r="AE51" s="157"/>
      <c r="AF51" s="157"/>
    </row>
    <row r="52" spans="1:32" ht="15" customHeight="1" x14ac:dyDescent="0.2">
      <c r="A52" s="378">
        <v>46</v>
      </c>
      <c r="B52" s="116" t="s">
        <v>50</v>
      </c>
      <c r="C52" s="117"/>
      <c r="D52" s="118"/>
      <c r="E52" s="119"/>
      <c r="F52" s="119"/>
      <c r="G52" s="119"/>
      <c r="H52" s="120"/>
      <c r="I52" s="118"/>
      <c r="J52" s="119"/>
      <c r="K52" s="120"/>
      <c r="L52" s="118"/>
      <c r="M52" s="119"/>
      <c r="N52" s="120"/>
      <c r="O52" s="118"/>
      <c r="P52" s="119"/>
      <c r="Q52" s="120"/>
      <c r="R52" s="118"/>
      <c r="S52" s="119"/>
      <c r="T52" s="121"/>
      <c r="U52" s="118"/>
      <c r="V52" s="118"/>
      <c r="W52" s="122"/>
      <c r="X52" s="121"/>
      <c r="Y52" s="119"/>
      <c r="Z52" s="121"/>
      <c r="AA52" s="118"/>
      <c r="AB52" s="121"/>
      <c r="AC52" s="118"/>
      <c r="AD52" s="118"/>
      <c r="AE52" s="121"/>
      <c r="AF52" s="123"/>
    </row>
    <row r="53" spans="1:32" ht="15" customHeight="1" x14ac:dyDescent="0.2">
      <c r="A53" s="383">
        <v>47</v>
      </c>
      <c r="B53" s="134" t="s">
        <v>51</v>
      </c>
      <c r="C53" s="135"/>
      <c r="D53" s="136"/>
      <c r="E53" s="137"/>
      <c r="F53" s="137"/>
      <c r="G53" s="137"/>
      <c r="H53" s="138"/>
      <c r="I53" s="136"/>
      <c r="J53" s="137"/>
      <c r="K53" s="138"/>
      <c r="L53" s="136"/>
      <c r="M53" s="137"/>
      <c r="N53" s="138"/>
      <c r="O53" s="136"/>
      <c r="P53" s="137"/>
      <c r="Q53" s="138"/>
      <c r="R53" s="136"/>
      <c r="S53" s="137"/>
      <c r="T53" s="139"/>
      <c r="U53" s="136"/>
      <c r="V53" s="136"/>
      <c r="W53" s="140"/>
      <c r="X53" s="139"/>
      <c r="Y53" s="137"/>
      <c r="Z53" s="139"/>
      <c r="AA53" s="136"/>
      <c r="AB53" s="139"/>
      <c r="AC53" s="136"/>
      <c r="AD53" s="136"/>
      <c r="AE53" s="139"/>
      <c r="AF53" s="142"/>
    </row>
    <row r="54" spans="1:32" ht="15" customHeight="1" x14ac:dyDescent="0.2">
      <c r="A54" s="383">
        <v>48</v>
      </c>
      <c r="B54" s="134" t="s">
        <v>73</v>
      </c>
      <c r="C54" s="135"/>
      <c r="D54" s="136"/>
      <c r="E54" s="137"/>
      <c r="F54" s="137"/>
      <c r="G54" s="137"/>
      <c r="H54" s="138"/>
      <c r="I54" s="136"/>
      <c r="J54" s="137"/>
      <c r="K54" s="138"/>
      <c r="L54" s="136"/>
      <c r="M54" s="137"/>
      <c r="N54" s="138"/>
      <c r="O54" s="136"/>
      <c r="P54" s="137"/>
      <c r="Q54" s="138"/>
      <c r="R54" s="136"/>
      <c r="S54" s="137"/>
      <c r="T54" s="139"/>
      <c r="U54" s="136"/>
      <c r="V54" s="136"/>
      <c r="W54" s="140"/>
      <c r="X54" s="139"/>
      <c r="Y54" s="137"/>
      <c r="Z54" s="139"/>
      <c r="AA54" s="136"/>
      <c r="AB54" s="139"/>
      <c r="AC54" s="136"/>
      <c r="AD54" s="136"/>
      <c r="AE54" s="139"/>
      <c r="AF54" s="142"/>
    </row>
    <row r="55" spans="1:32" ht="15" customHeight="1" x14ac:dyDescent="0.2">
      <c r="A55" s="383">
        <v>49</v>
      </c>
      <c r="B55" s="134" t="s">
        <v>52</v>
      </c>
      <c r="C55" s="135"/>
      <c r="D55" s="136"/>
      <c r="E55" s="137"/>
      <c r="F55" s="137"/>
      <c r="G55" s="137"/>
      <c r="H55" s="138"/>
      <c r="I55" s="136"/>
      <c r="J55" s="137"/>
      <c r="K55" s="138"/>
      <c r="L55" s="136"/>
      <c r="M55" s="137"/>
      <c r="N55" s="138"/>
      <c r="O55" s="136"/>
      <c r="P55" s="137"/>
      <c r="Q55" s="138"/>
      <c r="R55" s="136"/>
      <c r="S55" s="137"/>
      <c r="T55" s="139"/>
      <c r="U55" s="136"/>
      <c r="V55" s="136"/>
      <c r="W55" s="140"/>
      <c r="X55" s="139"/>
      <c r="Y55" s="137"/>
      <c r="Z55" s="139"/>
      <c r="AA55" s="136"/>
      <c r="AB55" s="139"/>
      <c r="AC55" s="136"/>
      <c r="AD55" s="136"/>
      <c r="AE55" s="139"/>
      <c r="AF55" s="142"/>
    </row>
    <row r="56" spans="1:32" ht="15" customHeight="1" x14ac:dyDescent="0.2">
      <c r="A56" s="388">
        <v>50</v>
      </c>
      <c r="B56" s="148" t="s">
        <v>53</v>
      </c>
      <c r="C56" s="149"/>
      <c r="D56" s="150"/>
      <c r="E56" s="151"/>
      <c r="F56" s="151"/>
      <c r="G56" s="151"/>
      <c r="H56" s="152"/>
      <c r="I56" s="150"/>
      <c r="J56" s="151"/>
      <c r="K56" s="152"/>
      <c r="L56" s="150"/>
      <c r="M56" s="151"/>
      <c r="N56" s="152"/>
      <c r="O56" s="150"/>
      <c r="P56" s="151"/>
      <c r="Q56" s="152"/>
      <c r="R56" s="150"/>
      <c r="S56" s="151"/>
      <c r="T56" s="153"/>
      <c r="U56" s="150"/>
      <c r="V56" s="150"/>
      <c r="W56" s="154"/>
      <c r="X56" s="153"/>
      <c r="Y56" s="151"/>
      <c r="Z56" s="153"/>
      <c r="AA56" s="150"/>
      <c r="AB56" s="153"/>
      <c r="AC56" s="156"/>
      <c r="AD56" s="150"/>
      <c r="AE56" s="157"/>
      <c r="AF56" s="157"/>
    </row>
    <row r="57" spans="1:32" ht="15" customHeight="1" x14ac:dyDescent="0.2">
      <c r="A57" s="378">
        <v>51</v>
      </c>
      <c r="B57" s="116" t="s">
        <v>54</v>
      </c>
      <c r="C57" s="117"/>
      <c r="D57" s="118"/>
      <c r="E57" s="119"/>
      <c r="F57" s="119"/>
      <c r="G57" s="119"/>
      <c r="H57" s="120"/>
      <c r="I57" s="118"/>
      <c r="J57" s="119"/>
      <c r="K57" s="120"/>
      <c r="L57" s="118"/>
      <c r="M57" s="119"/>
      <c r="N57" s="120"/>
      <c r="O57" s="118"/>
      <c r="P57" s="119"/>
      <c r="Q57" s="120"/>
      <c r="R57" s="118"/>
      <c r="S57" s="119"/>
      <c r="T57" s="121"/>
      <c r="U57" s="118"/>
      <c r="V57" s="118"/>
      <c r="W57" s="122"/>
      <c r="X57" s="121"/>
      <c r="Y57" s="119"/>
      <c r="Z57" s="121"/>
      <c r="AA57" s="118"/>
      <c r="AB57" s="121"/>
      <c r="AC57" s="118"/>
      <c r="AD57" s="118"/>
      <c r="AE57" s="121"/>
      <c r="AF57" s="123"/>
    </row>
    <row r="58" spans="1:32" ht="15" customHeight="1" x14ac:dyDescent="0.2">
      <c r="A58" s="383">
        <v>52</v>
      </c>
      <c r="B58" s="134" t="s">
        <v>55</v>
      </c>
      <c r="C58" s="135"/>
      <c r="D58" s="136"/>
      <c r="E58" s="137"/>
      <c r="F58" s="137"/>
      <c r="G58" s="137"/>
      <c r="H58" s="138"/>
      <c r="I58" s="136"/>
      <c r="J58" s="137"/>
      <c r="K58" s="138"/>
      <c r="L58" s="136"/>
      <c r="M58" s="137"/>
      <c r="N58" s="138"/>
      <c r="O58" s="136"/>
      <c r="P58" s="137"/>
      <c r="Q58" s="138"/>
      <c r="R58" s="136"/>
      <c r="S58" s="137"/>
      <c r="T58" s="139"/>
      <c r="U58" s="136"/>
      <c r="V58" s="136"/>
      <c r="W58" s="140"/>
      <c r="X58" s="139"/>
      <c r="Y58" s="137"/>
      <c r="Z58" s="139"/>
      <c r="AA58" s="136"/>
      <c r="AB58" s="139"/>
      <c r="AC58" s="136"/>
      <c r="AD58" s="136"/>
      <c r="AE58" s="139"/>
      <c r="AF58" s="142"/>
    </row>
    <row r="59" spans="1:32" ht="15" customHeight="1" x14ac:dyDescent="0.2">
      <c r="A59" s="383">
        <v>53</v>
      </c>
      <c r="B59" s="134" t="s">
        <v>56</v>
      </c>
      <c r="C59" s="135"/>
      <c r="D59" s="136"/>
      <c r="E59" s="137"/>
      <c r="F59" s="137"/>
      <c r="G59" s="137"/>
      <c r="H59" s="138"/>
      <c r="I59" s="136"/>
      <c r="J59" s="137"/>
      <c r="K59" s="138"/>
      <c r="L59" s="136"/>
      <c r="M59" s="137"/>
      <c r="N59" s="138"/>
      <c r="O59" s="136"/>
      <c r="P59" s="137"/>
      <c r="Q59" s="138"/>
      <c r="R59" s="136"/>
      <c r="S59" s="137"/>
      <c r="T59" s="139"/>
      <c r="U59" s="136"/>
      <c r="V59" s="136"/>
      <c r="W59" s="140"/>
      <c r="X59" s="139"/>
      <c r="Y59" s="137"/>
      <c r="Z59" s="139"/>
      <c r="AA59" s="136"/>
      <c r="AB59" s="139"/>
      <c r="AC59" s="136"/>
      <c r="AD59" s="136"/>
      <c r="AE59" s="139"/>
      <c r="AF59" s="142"/>
    </row>
    <row r="60" spans="1:32" ht="15" customHeight="1" x14ac:dyDescent="0.2">
      <c r="A60" s="383">
        <v>54</v>
      </c>
      <c r="B60" s="134" t="s">
        <v>57</v>
      </c>
      <c r="C60" s="135"/>
      <c r="D60" s="136"/>
      <c r="E60" s="137"/>
      <c r="F60" s="137"/>
      <c r="G60" s="137"/>
      <c r="H60" s="138"/>
      <c r="I60" s="136"/>
      <c r="J60" s="137"/>
      <c r="K60" s="138"/>
      <c r="L60" s="136"/>
      <c r="M60" s="137"/>
      <c r="N60" s="138"/>
      <c r="O60" s="136"/>
      <c r="P60" s="137"/>
      <c r="Q60" s="138"/>
      <c r="R60" s="136"/>
      <c r="S60" s="137"/>
      <c r="T60" s="139"/>
      <c r="U60" s="136"/>
      <c r="V60" s="136"/>
      <c r="W60" s="140"/>
      <c r="X60" s="139"/>
      <c r="Y60" s="137"/>
      <c r="Z60" s="139"/>
      <c r="AA60" s="136"/>
      <c r="AB60" s="139"/>
      <c r="AC60" s="136"/>
      <c r="AD60" s="136"/>
      <c r="AE60" s="139"/>
      <c r="AF60" s="142"/>
    </row>
    <row r="61" spans="1:32" ht="15" customHeight="1" x14ac:dyDescent="0.2">
      <c r="A61" s="388">
        <v>55</v>
      </c>
      <c r="B61" s="148" t="s">
        <v>58</v>
      </c>
      <c r="C61" s="149"/>
      <c r="D61" s="150"/>
      <c r="E61" s="151"/>
      <c r="F61" s="151"/>
      <c r="G61" s="151"/>
      <c r="H61" s="152"/>
      <c r="I61" s="150"/>
      <c r="J61" s="151"/>
      <c r="K61" s="152"/>
      <c r="L61" s="150"/>
      <c r="M61" s="151"/>
      <c r="N61" s="152"/>
      <c r="O61" s="150"/>
      <c r="P61" s="151"/>
      <c r="Q61" s="152"/>
      <c r="R61" s="150"/>
      <c r="S61" s="151"/>
      <c r="T61" s="153"/>
      <c r="U61" s="150"/>
      <c r="V61" s="150"/>
      <c r="W61" s="154"/>
      <c r="X61" s="153"/>
      <c r="Y61" s="151"/>
      <c r="Z61" s="153"/>
      <c r="AA61" s="150"/>
      <c r="AB61" s="153"/>
      <c r="AC61" s="156"/>
      <c r="AD61" s="150"/>
      <c r="AE61" s="157"/>
      <c r="AF61" s="157"/>
    </row>
    <row r="62" spans="1:32" ht="15" customHeight="1" x14ac:dyDescent="0.2">
      <c r="A62" s="378">
        <v>56</v>
      </c>
      <c r="B62" s="116" t="s">
        <v>59</v>
      </c>
      <c r="C62" s="117"/>
      <c r="D62" s="118"/>
      <c r="E62" s="119"/>
      <c r="F62" s="119"/>
      <c r="G62" s="119"/>
      <c r="H62" s="120"/>
      <c r="I62" s="118"/>
      <c r="J62" s="119"/>
      <c r="K62" s="120"/>
      <c r="L62" s="118"/>
      <c r="M62" s="119"/>
      <c r="N62" s="120"/>
      <c r="O62" s="118"/>
      <c r="P62" s="119"/>
      <c r="Q62" s="120"/>
      <c r="R62" s="118"/>
      <c r="S62" s="119"/>
      <c r="T62" s="121"/>
      <c r="U62" s="118"/>
      <c r="V62" s="118"/>
      <c r="W62" s="122"/>
      <c r="X62" s="121"/>
      <c r="Y62" s="119"/>
      <c r="Z62" s="121"/>
      <c r="AA62" s="118"/>
      <c r="AB62" s="121"/>
      <c r="AC62" s="118"/>
      <c r="AD62" s="118"/>
      <c r="AE62" s="121"/>
      <c r="AF62" s="123"/>
    </row>
    <row r="63" spans="1:32" ht="15" customHeight="1" x14ac:dyDescent="0.2">
      <c r="A63" s="383">
        <v>57</v>
      </c>
      <c r="B63" s="134" t="s">
        <v>60</v>
      </c>
      <c r="C63" s="135"/>
      <c r="D63" s="136"/>
      <c r="E63" s="137"/>
      <c r="F63" s="137"/>
      <c r="G63" s="137"/>
      <c r="H63" s="138"/>
      <c r="I63" s="136"/>
      <c r="J63" s="137"/>
      <c r="K63" s="138"/>
      <c r="L63" s="136"/>
      <c r="M63" s="137"/>
      <c r="N63" s="138"/>
      <c r="O63" s="136"/>
      <c r="P63" s="137"/>
      <c r="Q63" s="138"/>
      <c r="R63" s="136"/>
      <c r="S63" s="137"/>
      <c r="T63" s="139"/>
      <c r="U63" s="136"/>
      <c r="V63" s="136"/>
      <c r="W63" s="140"/>
      <c r="X63" s="139"/>
      <c r="Y63" s="137"/>
      <c r="Z63" s="139"/>
      <c r="AA63" s="136"/>
      <c r="AB63" s="139"/>
      <c r="AC63" s="136"/>
      <c r="AD63" s="136"/>
      <c r="AE63" s="139"/>
      <c r="AF63" s="142"/>
    </row>
    <row r="64" spans="1:32" ht="15" customHeight="1" x14ac:dyDescent="0.2">
      <c r="A64" s="383">
        <v>58</v>
      </c>
      <c r="B64" s="134" t="s">
        <v>61</v>
      </c>
      <c r="C64" s="135"/>
      <c r="D64" s="136"/>
      <c r="E64" s="137"/>
      <c r="F64" s="137"/>
      <c r="G64" s="137"/>
      <c r="H64" s="138"/>
      <c r="I64" s="136"/>
      <c r="J64" s="137"/>
      <c r="K64" s="138"/>
      <c r="L64" s="136"/>
      <c r="M64" s="137"/>
      <c r="N64" s="138"/>
      <c r="O64" s="136"/>
      <c r="P64" s="137"/>
      <c r="Q64" s="138"/>
      <c r="R64" s="136"/>
      <c r="S64" s="137"/>
      <c r="T64" s="139"/>
      <c r="U64" s="136"/>
      <c r="V64" s="136"/>
      <c r="W64" s="140"/>
      <c r="X64" s="139"/>
      <c r="Y64" s="137"/>
      <c r="Z64" s="139"/>
      <c r="AA64" s="136"/>
      <c r="AB64" s="139"/>
      <c r="AC64" s="136"/>
      <c r="AD64" s="136"/>
      <c r="AE64" s="139"/>
      <c r="AF64" s="142"/>
    </row>
    <row r="65" spans="1:32" ht="15" customHeight="1" x14ac:dyDescent="0.2">
      <c r="A65" s="383">
        <v>59</v>
      </c>
      <c r="B65" s="134" t="s">
        <v>62</v>
      </c>
      <c r="C65" s="135"/>
      <c r="D65" s="136"/>
      <c r="E65" s="137"/>
      <c r="F65" s="137"/>
      <c r="G65" s="137"/>
      <c r="H65" s="138"/>
      <c r="I65" s="136"/>
      <c r="J65" s="137"/>
      <c r="K65" s="138"/>
      <c r="L65" s="136"/>
      <c r="M65" s="137"/>
      <c r="N65" s="138"/>
      <c r="O65" s="136"/>
      <c r="P65" s="137"/>
      <c r="Q65" s="138"/>
      <c r="R65" s="136"/>
      <c r="S65" s="137"/>
      <c r="T65" s="139"/>
      <c r="U65" s="136"/>
      <c r="V65" s="136"/>
      <c r="W65" s="140"/>
      <c r="X65" s="139"/>
      <c r="Y65" s="137"/>
      <c r="Z65" s="139"/>
      <c r="AA65" s="136"/>
      <c r="AB65" s="139"/>
      <c r="AC65" s="136"/>
      <c r="AD65" s="136"/>
      <c r="AE65" s="139"/>
      <c r="AF65" s="142"/>
    </row>
    <row r="66" spans="1:32" ht="15" customHeight="1" x14ac:dyDescent="0.2">
      <c r="A66" s="388">
        <v>60</v>
      </c>
      <c r="B66" s="148" t="s">
        <v>63</v>
      </c>
      <c r="C66" s="149"/>
      <c r="D66" s="150"/>
      <c r="E66" s="151"/>
      <c r="F66" s="151"/>
      <c r="G66" s="151"/>
      <c r="H66" s="152"/>
      <c r="I66" s="150"/>
      <c r="J66" s="151"/>
      <c r="K66" s="152"/>
      <c r="L66" s="150"/>
      <c r="M66" s="151"/>
      <c r="N66" s="152"/>
      <c r="O66" s="150"/>
      <c r="P66" s="151"/>
      <c r="Q66" s="152"/>
      <c r="R66" s="150"/>
      <c r="S66" s="151"/>
      <c r="T66" s="153"/>
      <c r="U66" s="150"/>
      <c r="V66" s="150"/>
      <c r="W66" s="154"/>
      <c r="X66" s="153"/>
      <c r="Y66" s="151"/>
      <c r="Z66" s="153"/>
      <c r="AA66" s="150"/>
      <c r="AB66" s="153"/>
      <c r="AC66" s="156"/>
      <c r="AD66" s="150"/>
      <c r="AE66" s="157"/>
      <c r="AF66" s="157"/>
    </row>
    <row r="67" spans="1:32" ht="15" customHeight="1" x14ac:dyDescent="0.2">
      <c r="A67" s="378">
        <v>61</v>
      </c>
      <c r="B67" s="116" t="s">
        <v>64</v>
      </c>
      <c r="C67" s="117"/>
      <c r="D67" s="118"/>
      <c r="E67" s="119"/>
      <c r="F67" s="119"/>
      <c r="G67" s="119"/>
      <c r="H67" s="120"/>
      <c r="I67" s="118"/>
      <c r="J67" s="119"/>
      <c r="K67" s="120"/>
      <c r="L67" s="118"/>
      <c r="M67" s="119"/>
      <c r="N67" s="120"/>
      <c r="O67" s="118"/>
      <c r="P67" s="119"/>
      <c r="Q67" s="120"/>
      <c r="R67" s="118"/>
      <c r="S67" s="119"/>
      <c r="T67" s="121"/>
      <c r="U67" s="118"/>
      <c r="V67" s="118"/>
      <c r="W67" s="122"/>
      <c r="X67" s="121"/>
      <c r="Y67" s="119"/>
      <c r="Z67" s="121"/>
      <c r="AA67" s="118"/>
      <c r="AB67" s="121"/>
      <c r="AC67" s="118"/>
      <c r="AD67" s="118"/>
      <c r="AE67" s="121"/>
      <c r="AF67" s="123"/>
    </row>
    <row r="68" spans="1:32" ht="15" customHeight="1" x14ac:dyDescent="0.2">
      <c r="A68" s="383">
        <v>62</v>
      </c>
      <c r="B68" s="134" t="s">
        <v>65</v>
      </c>
      <c r="C68" s="135"/>
      <c r="D68" s="136"/>
      <c r="E68" s="137"/>
      <c r="F68" s="137"/>
      <c r="G68" s="137"/>
      <c r="H68" s="138"/>
      <c r="I68" s="136"/>
      <c r="J68" s="137"/>
      <c r="K68" s="138"/>
      <c r="L68" s="136"/>
      <c r="M68" s="137"/>
      <c r="N68" s="138"/>
      <c r="O68" s="136"/>
      <c r="P68" s="137"/>
      <c r="Q68" s="138"/>
      <c r="R68" s="136"/>
      <c r="S68" s="137"/>
      <c r="T68" s="139"/>
      <c r="U68" s="136"/>
      <c r="V68" s="136"/>
      <c r="W68" s="140"/>
      <c r="X68" s="139"/>
      <c r="Y68" s="137"/>
      <c r="Z68" s="139"/>
      <c r="AA68" s="136"/>
      <c r="AB68" s="139"/>
      <c r="AC68" s="136"/>
      <c r="AD68" s="136"/>
      <c r="AE68" s="139"/>
      <c r="AF68" s="142"/>
    </row>
    <row r="69" spans="1:32" ht="15" customHeight="1" x14ac:dyDescent="0.2">
      <c r="A69" s="383">
        <v>63</v>
      </c>
      <c r="B69" s="134" t="s">
        <v>66</v>
      </c>
      <c r="C69" s="135"/>
      <c r="D69" s="136"/>
      <c r="E69" s="137"/>
      <c r="F69" s="137"/>
      <c r="G69" s="137"/>
      <c r="H69" s="138"/>
      <c r="I69" s="136"/>
      <c r="J69" s="137"/>
      <c r="K69" s="138"/>
      <c r="L69" s="136"/>
      <c r="M69" s="137"/>
      <c r="N69" s="138"/>
      <c r="O69" s="136"/>
      <c r="P69" s="137"/>
      <c r="Q69" s="138"/>
      <c r="R69" s="136"/>
      <c r="S69" s="137"/>
      <c r="T69" s="139"/>
      <c r="U69" s="136"/>
      <c r="V69" s="136"/>
      <c r="W69" s="140"/>
      <c r="X69" s="139"/>
      <c r="Y69" s="137"/>
      <c r="Z69" s="139"/>
      <c r="AA69" s="136"/>
      <c r="AB69" s="139"/>
      <c r="AC69" s="136"/>
      <c r="AD69" s="136"/>
      <c r="AE69" s="139"/>
      <c r="AF69" s="142"/>
    </row>
    <row r="70" spans="1:32" ht="15" customHeight="1" x14ac:dyDescent="0.2">
      <c r="A70" s="383">
        <v>64</v>
      </c>
      <c r="B70" s="134" t="s">
        <v>67</v>
      </c>
      <c r="C70" s="135"/>
      <c r="D70" s="136"/>
      <c r="E70" s="137"/>
      <c r="F70" s="137"/>
      <c r="G70" s="137"/>
      <c r="H70" s="138"/>
      <c r="I70" s="136"/>
      <c r="J70" s="137"/>
      <c r="K70" s="138"/>
      <c r="L70" s="136"/>
      <c r="M70" s="137"/>
      <c r="N70" s="138"/>
      <c r="O70" s="136"/>
      <c r="P70" s="137"/>
      <c r="Q70" s="138"/>
      <c r="R70" s="136"/>
      <c r="S70" s="137"/>
      <c r="T70" s="139"/>
      <c r="U70" s="136"/>
      <c r="V70" s="136"/>
      <c r="W70" s="140"/>
      <c r="X70" s="139"/>
      <c r="Y70" s="137"/>
      <c r="Z70" s="139"/>
      <c r="AA70" s="136"/>
      <c r="AB70" s="139"/>
      <c r="AC70" s="136"/>
      <c r="AD70" s="136"/>
      <c r="AE70" s="139"/>
      <c r="AF70" s="142"/>
    </row>
    <row r="71" spans="1:32" ht="15" customHeight="1" x14ac:dyDescent="0.2">
      <c r="A71" s="388">
        <v>65</v>
      </c>
      <c r="B71" s="148" t="s">
        <v>68</v>
      </c>
      <c r="C71" s="149"/>
      <c r="D71" s="150"/>
      <c r="E71" s="151"/>
      <c r="F71" s="151"/>
      <c r="G71" s="151"/>
      <c r="H71" s="152"/>
      <c r="I71" s="150"/>
      <c r="J71" s="151"/>
      <c r="K71" s="152"/>
      <c r="L71" s="150"/>
      <c r="M71" s="151"/>
      <c r="N71" s="152"/>
      <c r="O71" s="150"/>
      <c r="P71" s="151"/>
      <c r="Q71" s="152"/>
      <c r="R71" s="150"/>
      <c r="S71" s="151"/>
      <c r="T71" s="153"/>
      <c r="U71" s="150"/>
      <c r="V71" s="150"/>
      <c r="W71" s="154"/>
      <c r="X71" s="153"/>
      <c r="Y71" s="151"/>
      <c r="Z71" s="153"/>
      <c r="AA71" s="150"/>
      <c r="AB71" s="153"/>
      <c r="AC71" s="156"/>
      <c r="AD71" s="150"/>
      <c r="AE71" s="157"/>
      <c r="AF71" s="157"/>
    </row>
    <row r="72" spans="1:32" ht="15" customHeight="1" x14ac:dyDescent="0.2">
      <c r="A72" s="378">
        <v>66</v>
      </c>
      <c r="B72" s="116" t="s">
        <v>69</v>
      </c>
      <c r="C72" s="117"/>
      <c r="D72" s="118"/>
      <c r="E72" s="119"/>
      <c r="F72" s="119"/>
      <c r="G72" s="119"/>
      <c r="H72" s="120"/>
      <c r="I72" s="118"/>
      <c r="J72" s="119"/>
      <c r="K72" s="120"/>
      <c r="L72" s="118"/>
      <c r="M72" s="119"/>
      <c r="N72" s="120"/>
      <c r="O72" s="118"/>
      <c r="P72" s="119"/>
      <c r="Q72" s="120"/>
      <c r="R72" s="118"/>
      <c r="S72" s="119"/>
      <c r="T72" s="121"/>
      <c r="U72" s="118"/>
      <c r="V72" s="118"/>
      <c r="W72" s="122"/>
      <c r="X72" s="121"/>
      <c r="Y72" s="119"/>
      <c r="Z72" s="121"/>
      <c r="AA72" s="118"/>
      <c r="AB72" s="121"/>
      <c r="AC72" s="118"/>
      <c r="AD72" s="118"/>
      <c r="AE72" s="121"/>
      <c r="AF72" s="123"/>
    </row>
    <row r="73" spans="1:32" ht="15" customHeight="1" x14ac:dyDescent="0.2">
      <c r="A73" s="383">
        <v>67</v>
      </c>
      <c r="B73" s="134" t="s">
        <v>2</v>
      </c>
      <c r="C73" s="135"/>
      <c r="D73" s="136"/>
      <c r="E73" s="137"/>
      <c r="F73" s="137"/>
      <c r="G73" s="137"/>
      <c r="H73" s="138"/>
      <c r="I73" s="136"/>
      <c r="J73" s="137"/>
      <c r="K73" s="138"/>
      <c r="L73" s="136"/>
      <c r="M73" s="137"/>
      <c r="N73" s="138"/>
      <c r="O73" s="136"/>
      <c r="P73" s="137"/>
      <c r="Q73" s="138"/>
      <c r="R73" s="136"/>
      <c r="S73" s="137"/>
      <c r="T73" s="139"/>
      <c r="U73" s="136"/>
      <c r="V73" s="136"/>
      <c r="W73" s="140"/>
      <c r="X73" s="139"/>
      <c r="Y73" s="137"/>
      <c r="Z73" s="139"/>
      <c r="AA73" s="136"/>
      <c r="AB73" s="139"/>
      <c r="AC73" s="136"/>
      <c r="AD73" s="136"/>
      <c r="AE73" s="139"/>
      <c r="AF73" s="142"/>
    </row>
    <row r="74" spans="1:32" ht="15" customHeight="1" x14ac:dyDescent="0.2">
      <c r="A74" s="383">
        <v>68</v>
      </c>
      <c r="B74" s="134" t="s">
        <v>1</v>
      </c>
      <c r="C74" s="135"/>
      <c r="D74" s="136"/>
      <c r="E74" s="137"/>
      <c r="F74" s="137"/>
      <c r="G74" s="137"/>
      <c r="H74" s="138"/>
      <c r="I74" s="136"/>
      <c r="J74" s="137"/>
      <c r="K74" s="138"/>
      <c r="L74" s="136"/>
      <c r="M74" s="137"/>
      <c r="N74" s="138"/>
      <c r="O74" s="136"/>
      <c r="P74" s="137"/>
      <c r="Q74" s="138"/>
      <c r="R74" s="136"/>
      <c r="S74" s="137"/>
      <c r="T74" s="139"/>
      <c r="U74" s="136"/>
      <c r="V74" s="136"/>
      <c r="W74" s="140"/>
      <c r="X74" s="139"/>
      <c r="Y74" s="137"/>
      <c r="Z74" s="139"/>
      <c r="AA74" s="136"/>
      <c r="AB74" s="139"/>
      <c r="AC74" s="136"/>
      <c r="AD74" s="136"/>
      <c r="AE74" s="139"/>
      <c r="AF74" s="142"/>
    </row>
    <row r="75" spans="1:32" ht="15" customHeight="1" x14ac:dyDescent="0.2">
      <c r="A75" s="383">
        <v>69</v>
      </c>
      <c r="B75" s="134" t="s">
        <v>74</v>
      </c>
      <c r="C75" s="135"/>
      <c r="D75" s="136"/>
      <c r="E75" s="137"/>
      <c r="F75" s="137"/>
      <c r="G75" s="137"/>
      <c r="H75" s="138"/>
      <c r="I75" s="136"/>
      <c r="J75" s="137"/>
      <c r="K75" s="138"/>
      <c r="L75" s="136"/>
      <c r="M75" s="137"/>
      <c r="N75" s="138"/>
      <c r="O75" s="136"/>
      <c r="P75" s="137"/>
      <c r="Q75" s="138"/>
      <c r="R75" s="136"/>
      <c r="S75" s="137"/>
      <c r="T75" s="139"/>
      <c r="U75" s="136"/>
      <c r="V75" s="136"/>
      <c r="W75" s="140"/>
      <c r="X75" s="139"/>
      <c r="Y75" s="137"/>
      <c r="Z75" s="139"/>
      <c r="AA75" s="136"/>
      <c r="AB75" s="139"/>
      <c r="AC75" s="136"/>
      <c r="AD75" s="136"/>
      <c r="AE75" s="139"/>
      <c r="AF75" s="142"/>
    </row>
    <row r="76" spans="1:32" s="16" customFormat="1" ht="15" customHeight="1" thickBot="1" x14ac:dyDescent="0.25">
      <c r="A76" s="1408" t="s">
        <v>397</v>
      </c>
      <c r="B76" s="1409"/>
      <c r="C76" s="163">
        <v>120</v>
      </c>
      <c r="D76" s="164">
        <v>8972.6118143692656</v>
      </c>
      <c r="E76" s="165">
        <v>1032073.5611021721</v>
      </c>
      <c r="F76" s="165">
        <v>659.21</v>
      </c>
      <c r="G76" s="165">
        <v>79105.2</v>
      </c>
      <c r="H76" s="163">
        <v>52</v>
      </c>
      <c r="I76" s="164">
        <v>569.60967937788098</v>
      </c>
      <c r="J76" s="165">
        <v>30185.329876890057</v>
      </c>
      <c r="K76" s="163">
        <v>0</v>
      </c>
      <c r="L76" s="164">
        <v>158.62710748085348</v>
      </c>
      <c r="M76" s="165">
        <v>0</v>
      </c>
      <c r="N76" s="163">
        <v>23</v>
      </c>
      <c r="O76" s="164">
        <v>3935.2023104669443</v>
      </c>
      <c r="P76" s="165">
        <v>92124.820657311953</v>
      </c>
      <c r="Q76" s="163">
        <v>0</v>
      </c>
      <c r="R76" s="164">
        <v>1525.492171506211</v>
      </c>
      <c r="S76" s="165">
        <v>0</v>
      </c>
      <c r="T76" s="166">
        <v>1233489</v>
      </c>
      <c r="U76" s="164">
        <v>-2375</v>
      </c>
      <c r="V76" s="164">
        <v>-13684</v>
      </c>
      <c r="W76" s="167">
        <v>-16059</v>
      </c>
      <c r="X76" s="166">
        <v>1217430</v>
      </c>
      <c r="Y76" s="165">
        <v>-3043</v>
      </c>
      <c r="Z76" s="166">
        <v>1214387</v>
      </c>
      <c r="AA76" s="165">
        <v>0</v>
      </c>
      <c r="AB76" s="166">
        <v>1214387</v>
      </c>
      <c r="AC76" s="164">
        <v>811516</v>
      </c>
      <c r="AD76" s="164">
        <v>402871</v>
      </c>
      <c r="AE76" s="166">
        <v>100718</v>
      </c>
      <c r="AF76" s="169">
        <v>1214387</v>
      </c>
    </row>
    <row r="77" spans="1:3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8"/>
      <c r="G77" s="1018"/>
      <c r="H77" s="1019"/>
      <c r="I77" s="975"/>
      <c r="J77" s="1018"/>
      <c r="K77" s="1019"/>
      <c r="L77" s="975"/>
      <c r="M77" s="1018"/>
      <c r="N77" s="1019"/>
      <c r="O77" s="975"/>
      <c r="P77" s="1018"/>
      <c r="Q77" s="1019"/>
      <c r="R77" s="975"/>
      <c r="S77" s="1018"/>
      <c r="T77" s="976">
        <v>23332</v>
      </c>
      <c r="U77" s="975"/>
      <c r="V77" s="975"/>
      <c r="W77" s="975"/>
      <c r="X77" s="976">
        <v>23332</v>
      </c>
      <c r="Y77" s="1018">
        <v>-58</v>
      </c>
      <c r="Z77" s="976">
        <v>23274</v>
      </c>
      <c r="AA77" s="975"/>
      <c r="AB77" s="976">
        <v>23274</v>
      </c>
      <c r="AC77" s="975">
        <v>15926</v>
      </c>
      <c r="AD77" s="975">
        <v>7348</v>
      </c>
      <c r="AE77" s="976">
        <v>1837</v>
      </c>
      <c r="AF77" s="1020">
        <v>23274</v>
      </c>
    </row>
    <row r="78" spans="1:32" s="16" customFormat="1" ht="15" customHeight="1" x14ac:dyDescent="0.2">
      <c r="A78" s="1429" t="s">
        <v>357</v>
      </c>
      <c r="B78" s="1430"/>
      <c r="C78" s="789"/>
      <c r="D78" s="790"/>
      <c r="E78" s="790"/>
      <c r="F78" s="790"/>
      <c r="G78" s="790"/>
      <c r="H78" s="789"/>
      <c r="I78" s="790"/>
      <c r="J78" s="790"/>
      <c r="K78" s="789"/>
      <c r="L78" s="790"/>
      <c r="M78" s="790"/>
      <c r="N78" s="789"/>
      <c r="O78" s="790"/>
      <c r="P78" s="790"/>
      <c r="Q78" s="789"/>
      <c r="R78" s="790"/>
      <c r="S78" s="790"/>
      <c r="T78" s="790"/>
      <c r="U78" s="790"/>
      <c r="V78" s="790"/>
      <c r="W78" s="790"/>
      <c r="X78" s="790"/>
      <c r="Y78" s="790"/>
      <c r="Z78" s="790"/>
      <c r="AA78" s="790"/>
      <c r="AB78" s="791"/>
      <c r="AC78" s="791"/>
      <c r="AD78" s="790"/>
      <c r="AE78" s="791"/>
      <c r="AF78" s="791"/>
    </row>
    <row r="79" spans="1:32" s="16" customFormat="1" ht="15" customHeight="1" x14ac:dyDescent="0.2">
      <c r="A79" s="1427" t="s">
        <v>358</v>
      </c>
      <c r="B79" s="1428"/>
      <c r="C79" s="789"/>
      <c r="D79" s="790"/>
      <c r="E79" s="790"/>
      <c r="F79" s="790"/>
      <c r="G79" s="790"/>
      <c r="H79" s="789"/>
      <c r="I79" s="790"/>
      <c r="J79" s="790"/>
      <c r="K79" s="789"/>
      <c r="L79" s="790"/>
      <c r="M79" s="790"/>
      <c r="N79" s="789"/>
      <c r="O79" s="790"/>
      <c r="P79" s="790"/>
      <c r="Q79" s="789"/>
      <c r="R79" s="790"/>
      <c r="S79" s="790"/>
      <c r="T79" s="790"/>
      <c r="U79" s="790"/>
      <c r="V79" s="790"/>
      <c r="W79" s="790"/>
      <c r="X79" s="790"/>
      <c r="Y79" s="790"/>
      <c r="Z79" s="790"/>
      <c r="AA79" s="790"/>
      <c r="AB79" s="142">
        <v>0</v>
      </c>
      <c r="AC79" s="791">
        <v>0</v>
      </c>
      <c r="AD79" s="790">
        <v>0</v>
      </c>
      <c r="AE79" s="142">
        <v>0</v>
      </c>
      <c r="AF79" s="142">
        <v>0</v>
      </c>
    </row>
    <row r="80" spans="1:32" s="16" customFormat="1" ht="15" customHeight="1" x14ac:dyDescent="0.2">
      <c r="A80" s="1425" t="s">
        <v>373</v>
      </c>
      <c r="B80" s="1426"/>
      <c r="C80" s="789"/>
      <c r="D80" s="790"/>
      <c r="E80" s="790"/>
      <c r="F80" s="790"/>
      <c r="G80" s="790"/>
      <c r="H80" s="789"/>
      <c r="I80" s="790"/>
      <c r="J80" s="790"/>
      <c r="K80" s="789"/>
      <c r="L80" s="790"/>
      <c r="M80" s="790"/>
      <c r="N80" s="789"/>
      <c r="O80" s="790"/>
      <c r="P80" s="790"/>
      <c r="Q80" s="789"/>
      <c r="R80" s="790"/>
      <c r="S80" s="790"/>
      <c r="T80" s="790"/>
      <c r="U80" s="790"/>
      <c r="V80" s="790"/>
      <c r="W80" s="790"/>
      <c r="X80" s="790"/>
      <c r="Y80" s="790"/>
      <c r="Z80" s="790"/>
      <c r="AA80" s="790"/>
      <c r="AB80" s="793"/>
      <c r="AC80" s="791"/>
      <c r="AD80" s="790"/>
      <c r="AE80" s="793"/>
      <c r="AF80" s="142">
        <v>0</v>
      </c>
    </row>
    <row r="81" spans="1:32" ht="15" customHeight="1" x14ac:dyDescent="0.2">
      <c r="A81" s="1437" t="s">
        <v>1368</v>
      </c>
      <c r="B81" s="1438"/>
      <c r="C81" s="789"/>
      <c r="D81" s="790"/>
      <c r="E81" s="790"/>
      <c r="F81" s="790"/>
      <c r="G81" s="790"/>
      <c r="H81" s="789"/>
      <c r="I81" s="790"/>
      <c r="J81" s="790"/>
      <c r="K81" s="789"/>
      <c r="L81" s="790"/>
      <c r="M81" s="790"/>
      <c r="N81" s="789"/>
      <c r="O81" s="790"/>
      <c r="P81" s="790"/>
      <c r="Q81" s="789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1"/>
      <c r="AC81" s="791"/>
      <c r="AD81" s="790"/>
      <c r="AE81" s="791"/>
      <c r="AF81" s="142">
        <v>3856</v>
      </c>
    </row>
    <row r="82" spans="1:32" s="16" customFormat="1" ht="15" customHeight="1" x14ac:dyDescent="0.2">
      <c r="A82" s="1437" t="s">
        <v>372</v>
      </c>
      <c r="B82" s="1438"/>
      <c r="C82" s="789"/>
      <c r="D82" s="790"/>
      <c r="E82" s="790"/>
      <c r="F82" s="790"/>
      <c r="G82" s="790"/>
      <c r="H82" s="789"/>
      <c r="I82" s="790"/>
      <c r="J82" s="790"/>
      <c r="K82" s="789"/>
      <c r="L82" s="790"/>
      <c r="M82" s="790"/>
      <c r="N82" s="789"/>
      <c r="O82" s="790"/>
      <c r="P82" s="790"/>
      <c r="Q82" s="789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3"/>
      <c r="AC82" s="791"/>
      <c r="AD82" s="790"/>
      <c r="AE82" s="793"/>
      <c r="AF82" s="142">
        <v>0</v>
      </c>
    </row>
    <row r="83" spans="1:32" s="16" customFormat="1" ht="15" customHeight="1" x14ac:dyDescent="0.2">
      <c r="A83" s="1435" t="s">
        <v>253</v>
      </c>
      <c r="B83" s="1436"/>
      <c r="C83" s="794"/>
      <c r="D83" s="795"/>
      <c r="E83" s="795"/>
      <c r="F83" s="795"/>
      <c r="G83" s="795"/>
      <c r="H83" s="794"/>
      <c r="I83" s="795"/>
      <c r="J83" s="795"/>
      <c r="K83" s="794"/>
      <c r="L83" s="795"/>
      <c r="M83" s="795"/>
      <c r="N83" s="794"/>
      <c r="O83" s="795"/>
      <c r="P83" s="795"/>
      <c r="Q83" s="794"/>
      <c r="R83" s="795"/>
      <c r="S83" s="795"/>
      <c r="T83" s="795"/>
      <c r="U83" s="795"/>
      <c r="V83" s="795"/>
      <c r="W83" s="795"/>
      <c r="X83" s="795"/>
      <c r="Y83" s="795"/>
      <c r="Z83" s="795"/>
      <c r="AA83" s="795"/>
      <c r="AB83" s="157">
        <v>2242</v>
      </c>
      <c r="AC83" s="156">
        <v>1496</v>
      </c>
      <c r="AD83" s="795">
        <v>746</v>
      </c>
      <c r="AE83" s="157">
        <v>187</v>
      </c>
      <c r="AF83" s="157">
        <v>2242</v>
      </c>
    </row>
    <row r="84" spans="1:32" s="16" customFormat="1" ht="15" customHeight="1" thickBot="1" x14ac:dyDescent="0.25">
      <c r="A84" s="1408" t="s">
        <v>398</v>
      </c>
      <c r="B84" s="1409"/>
      <c r="C84" s="163">
        <v>120</v>
      </c>
      <c r="D84" s="164">
        <v>8972.6118143692656</v>
      </c>
      <c r="E84" s="165">
        <v>1032073.5611021721</v>
      </c>
      <c r="F84" s="165">
        <v>659.21</v>
      </c>
      <c r="G84" s="165">
        <v>79105.2</v>
      </c>
      <c r="H84" s="163">
        <v>52</v>
      </c>
      <c r="I84" s="164">
        <v>569.60967937788098</v>
      </c>
      <c r="J84" s="165">
        <v>30185.329876890057</v>
      </c>
      <c r="K84" s="163">
        <v>0</v>
      </c>
      <c r="L84" s="164">
        <v>158.62710748085348</v>
      </c>
      <c r="M84" s="165">
        <v>0</v>
      </c>
      <c r="N84" s="163">
        <v>23</v>
      </c>
      <c r="O84" s="164">
        <v>3935.2023104669443</v>
      </c>
      <c r="P84" s="165">
        <v>92124.820657311953</v>
      </c>
      <c r="Q84" s="163">
        <v>0</v>
      </c>
      <c r="R84" s="164">
        <v>1525.492171506211</v>
      </c>
      <c r="S84" s="165">
        <v>0</v>
      </c>
      <c r="T84" s="166">
        <v>1256821</v>
      </c>
      <c r="U84" s="164">
        <v>-2375</v>
      </c>
      <c r="V84" s="164">
        <v>-13684</v>
      </c>
      <c r="W84" s="167">
        <v>-16059</v>
      </c>
      <c r="X84" s="166">
        <v>1240762</v>
      </c>
      <c r="Y84" s="165">
        <v>-3101</v>
      </c>
      <c r="Z84" s="166">
        <v>1237661</v>
      </c>
      <c r="AA84" s="165">
        <v>0</v>
      </c>
      <c r="AB84" s="166">
        <v>1239903</v>
      </c>
      <c r="AC84" s="164">
        <v>828938</v>
      </c>
      <c r="AD84" s="164">
        <v>410965</v>
      </c>
      <c r="AE84" s="166">
        <v>102742</v>
      </c>
      <c r="AF84" s="169">
        <v>1243759</v>
      </c>
    </row>
    <row r="85" spans="1:32" ht="8.4499999999999993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AA85" s="12"/>
      <c r="AB85" s="12"/>
      <c r="AC85" s="12"/>
      <c r="AD85" s="12"/>
      <c r="AE85" s="12"/>
      <c r="AF85" s="12"/>
    </row>
    <row r="86" spans="1:32" ht="15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AA86" s="12"/>
      <c r="AB86" s="12"/>
      <c r="AC86" s="12"/>
      <c r="AD86" s="12"/>
      <c r="AE86" s="12"/>
      <c r="AF86" s="12"/>
    </row>
    <row r="87" spans="1:32" ht="15" customHeight="1" x14ac:dyDescent="0.2"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AA87" s="12"/>
      <c r="AB87" s="12"/>
      <c r="AC87" s="12"/>
      <c r="AD87" s="12"/>
      <c r="AE87" s="12"/>
      <c r="AF87" s="12"/>
    </row>
    <row r="88" spans="1:32" ht="13.9" customHeight="1" x14ac:dyDescent="0.2">
      <c r="A88" s="9"/>
      <c r="B88" s="9"/>
      <c r="C88" s="9"/>
      <c r="D88" s="9"/>
      <c r="E88" s="9"/>
      <c r="F88" s="1441"/>
      <c r="G88" s="1441"/>
      <c r="H88" s="9"/>
      <c r="I88" s="9"/>
      <c r="J88" s="9"/>
      <c r="K88" s="9"/>
      <c r="L88" s="865"/>
      <c r="M88" s="865"/>
      <c r="N88" s="865"/>
      <c r="O88" s="865"/>
      <c r="P88" s="865"/>
      <c r="Q88" s="865"/>
      <c r="R88" s="865"/>
      <c r="S88" s="865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spans="1:32" x14ac:dyDescent="0.2">
      <c r="A89" s="9" t="s">
        <v>1171</v>
      </c>
      <c r="B89" s="9" t="s">
        <v>1171</v>
      </c>
      <c r="C89" s="9" t="s">
        <v>1171</v>
      </c>
      <c r="D89" s="9" t="s">
        <v>1171</v>
      </c>
      <c r="E89" s="9" t="s">
        <v>1171</v>
      </c>
      <c r="F89" s="1441"/>
      <c r="G89" s="1441"/>
      <c r="H89" s="9"/>
      <c r="I89" s="9"/>
      <c r="J89" s="9"/>
      <c r="K89" s="9"/>
      <c r="L89" s="865"/>
      <c r="M89" s="865"/>
      <c r="N89" s="865"/>
      <c r="O89" s="865"/>
      <c r="P89" s="865"/>
      <c r="Q89" s="865"/>
      <c r="R89" s="865"/>
      <c r="S89" s="865"/>
      <c r="T89" s="9"/>
      <c r="U89" s="9"/>
      <c r="V89" s="9"/>
      <c r="W89" s="9"/>
      <c r="X89" s="9"/>
      <c r="Y89" s="517"/>
      <c r="Z89" s="866"/>
      <c r="AA89" s="9"/>
      <c r="AB89" s="9"/>
      <c r="AC89" s="9"/>
      <c r="AD89" s="9"/>
      <c r="AE89" s="9"/>
      <c r="AF89" s="9"/>
    </row>
    <row r="90" spans="1:32" x14ac:dyDescent="0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517"/>
      <c r="Z90" s="866"/>
      <c r="AA90" s="9"/>
      <c r="AB90" s="9"/>
      <c r="AC90" s="9"/>
      <c r="AD90" s="9"/>
      <c r="AE90" s="9"/>
      <c r="AF90" s="9"/>
    </row>
    <row r="91" spans="1:32" x14ac:dyDescent="0.2">
      <c r="A91" s="9"/>
      <c r="B91" s="868">
        <v>340001</v>
      </c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>
        <v>4</v>
      </c>
      <c r="AF91" s="9"/>
    </row>
    <row r="92" spans="1:32" x14ac:dyDescent="0.2">
      <c r="A92" s="9"/>
      <c r="B92" s="868" t="s">
        <v>1462</v>
      </c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spans="1:32" x14ac:dyDescent="0.2">
      <c r="A93" s="9"/>
      <c r="B93" s="868" t="s">
        <v>1136</v>
      </c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spans="1:32" x14ac:dyDescent="0.2">
      <c r="A94" s="9"/>
      <c r="B94" s="868" t="s">
        <v>1464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  <mergeCell ref="A80:B80"/>
    <mergeCell ref="A81:B81"/>
    <mergeCell ref="A82:B82"/>
    <mergeCell ref="A83:B83"/>
    <mergeCell ref="A84:B84"/>
    <mergeCell ref="AB1:AF1"/>
    <mergeCell ref="F88:F89"/>
    <mergeCell ref="G88:G89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3.85546875" style="99" customWidth="1"/>
    <col min="2" max="2" width="27" style="99" customWidth="1"/>
    <col min="3" max="3" width="12.140625" style="1281" customWidth="1"/>
    <col min="4" max="4" width="12" style="1281" customWidth="1"/>
    <col min="5" max="5" width="11.7109375" style="1281" bestFit="1" customWidth="1"/>
    <col min="6" max="6" width="12.85546875" style="1281" bestFit="1" customWidth="1"/>
    <col min="7" max="7" width="13.42578125" style="1283" customWidth="1"/>
    <col min="8" max="9" width="11.42578125" style="1283" customWidth="1"/>
    <col min="10" max="10" width="11.28515625" style="1281" customWidth="1"/>
    <col min="11" max="11" width="12.7109375" style="1283" customWidth="1"/>
    <col min="12" max="12" width="15.7109375" style="1283" customWidth="1"/>
    <col min="13" max="14" width="12.7109375" style="1281" customWidth="1"/>
    <col min="15" max="16" width="15.7109375" style="1281" customWidth="1"/>
    <col min="17" max="18" width="14" style="1281" customWidth="1"/>
    <col min="19" max="19" width="15.7109375" style="1281" customWidth="1"/>
    <col min="20" max="16384" width="12.5703125" style="99"/>
  </cols>
  <sheetData>
    <row r="1" spans="1:19" s="1276" customFormat="1" ht="30" customHeight="1" x14ac:dyDescent="0.2">
      <c r="A1" s="1418" t="s">
        <v>492</v>
      </c>
      <c r="B1" s="1419"/>
      <c r="C1" s="1457" t="s">
        <v>1451</v>
      </c>
      <c r="D1" s="1457"/>
      <c r="E1" s="1457"/>
      <c r="F1" s="1457"/>
      <c r="G1" s="1457"/>
      <c r="H1" s="1457"/>
      <c r="I1" s="1457"/>
      <c r="J1" s="1457"/>
      <c r="K1" s="1457"/>
      <c r="L1" s="1456" t="s">
        <v>317</v>
      </c>
      <c r="M1" s="1456"/>
      <c r="N1" s="1456"/>
      <c r="O1" s="1456"/>
      <c r="P1" s="1456"/>
      <c r="Q1" s="1456"/>
      <c r="R1" s="1456"/>
      <c r="S1" s="1456"/>
    </row>
    <row r="2" spans="1:19" ht="99" customHeight="1" x14ac:dyDescent="0.2">
      <c r="A2" s="1420"/>
      <c r="B2" s="1421"/>
      <c r="C2" s="1453" t="s">
        <v>1452</v>
      </c>
      <c r="D2" s="1453" t="s">
        <v>1168</v>
      </c>
      <c r="E2" s="1258" t="s">
        <v>513</v>
      </c>
      <c r="F2" s="1258" t="s">
        <v>512</v>
      </c>
      <c r="G2" s="1453" t="s">
        <v>977</v>
      </c>
      <c r="H2" s="1453" t="s">
        <v>268</v>
      </c>
      <c r="I2" s="1453" t="s">
        <v>269</v>
      </c>
      <c r="J2" s="1453" t="s">
        <v>363</v>
      </c>
      <c r="K2" s="1453" t="s">
        <v>511</v>
      </c>
      <c r="L2" s="1452" t="s">
        <v>1322</v>
      </c>
      <c r="M2" s="1452" t="s">
        <v>1200</v>
      </c>
      <c r="N2" s="1452" t="s">
        <v>1201</v>
      </c>
      <c r="O2" s="1452" t="s">
        <v>318</v>
      </c>
      <c r="P2" s="1452" t="s">
        <v>514</v>
      </c>
      <c r="Q2" s="1452" t="s">
        <v>290</v>
      </c>
      <c r="R2" s="1452" t="s">
        <v>269</v>
      </c>
      <c r="S2" s="1452" t="s">
        <v>319</v>
      </c>
    </row>
    <row r="3" spans="1:19" ht="13.15" customHeight="1" x14ac:dyDescent="0.2">
      <c r="A3" s="1422"/>
      <c r="B3" s="1423"/>
      <c r="C3" s="1453"/>
      <c r="D3" s="1453"/>
      <c r="E3" s="28">
        <v>0.31638418079096048</v>
      </c>
      <c r="F3" s="29">
        <v>1470.3473918621949</v>
      </c>
      <c r="G3" s="1453"/>
      <c r="H3" s="1453"/>
      <c r="I3" s="1453"/>
      <c r="J3" s="1453"/>
      <c r="K3" s="1453"/>
      <c r="L3" s="1452"/>
      <c r="M3" s="1452"/>
      <c r="N3" s="1452"/>
      <c r="O3" s="1452"/>
      <c r="P3" s="1452"/>
      <c r="Q3" s="1452"/>
      <c r="R3" s="1452"/>
      <c r="S3" s="1452"/>
    </row>
    <row r="4" spans="1:19" s="1277" customFormat="1" ht="14.25" customHeight="1" x14ac:dyDescent="0.2">
      <c r="A4" s="2"/>
      <c r="B4" s="3"/>
      <c r="C4" s="977">
        <v>1</v>
      </c>
      <c r="D4" s="977">
        <f t="shared" ref="D4:S4" si="0">C4+1</f>
        <v>2</v>
      </c>
      <c r="E4" s="977">
        <f t="shared" si="0"/>
        <v>3</v>
      </c>
      <c r="F4" s="977">
        <f t="shared" si="0"/>
        <v>4</v>
      </c>
      <c r="G4" s="977">
        <f t="shared" si="0"/>
        <v>5</v>
      </c>
      <c r="H4" s="977">
        <f t="shared" si="0"/>
        <v>6</v>
      </c>
      <c r="I4" s="977">
        <f t="shared" si="0"/>
        <v>7</v>
      </c>
      <c r="J4" s="977">
        <f t="shared" si="0"/>
        <v>8</v>
      </c>
      <c r="K4" s="977">
        <f t="shared" si="0"/>
        <v>9</v>
      </c>
      <c r="L4" s="977">
        <f t="shared" si="0"/>
        <v>10</v>
      </c>
      <c r="M4" s="977">
        <f t="shared" si="0"/>
        <v>11</v>
      </c>
      <c r="N4" s="977">
        <f t="shared" si="0"/>
        <v>12</v>
      </c>
      <c r="O4" s="977">
        <f t="shared" si="0"/>
        <v>13</v>
      </c>
      <c r="P4" s="977">
        <f t="shared" si="0"/>
        <v>14</v>
      </c>
      <c r="Q4" s="977">
        <f t="shared" si="0"/>
        <v>15</v>
      </c>
      <c r="R4" s="977">
        <f t="shared" si="0"/>
        <v>16</v>
      </c>
      <c r="S4" s="977">
        <f t="shared" si="0"/>
        <v>17</v>
      </c>
    </row>
    <row r="5" spans="1:19" s="1278" customFormat="1" ht="33" customHeight="1" x14ac:dyDescent="0.2">
      <c r="A5" s="978"/>
      <c r="B5" s="978"/>
      <c r="C5" s="598" t="s">
        <v>973</v>
      </c>
      <c r="D5" s="598" t="s">
        <v>406</v>
      </c>
      <c r="E5" s="598" t="s">
        <v>974</v>
      </c>
      <c r="F5" s="598" t="s">
        <v>975</v>
      </c>
      <c r="G5" s="598" t="s">
        <v>1403</v>
      </c>
      <c r="H5" s="598" t="s">
        <v>976</v>
      </c>
      <c r="I5" s="598" t="s">
        <v>838</v>
      </c>
      <c r="J5" s="598" t="s">
        <v>980</v>
      </c>
      <c r="K5" s="598" t="s">
        <v>1402</v>
      </c>
      <c r="L5" s="598" t="s">
        <v>1321</v>
      </c>
      <c r="M5" s="598" t="s">
        <v>234</v>
      </c>
      <c r="N5" s="598" t="s">
        <v>839</v>
      </c>
      <c r="O5" s="598" t="s">
        <v>972</v>
      </c>
      <c r="P5" s="598" t="s">
        <v>715</v>
      </c>
      <c r="Q5" s="598" t="s">
        <v>978</v>
      </c>
      <c r="R5" s="598" t="s">
        <v>840</v>
      </c>
      <c r="S5" s="598" t="s">
        <v>979</v>
      </c>
    </row>
    <row r="6" spans="1:19" s="1279" customFormat="1" ht="22.5" hidden="1" customHeight="1" x14ac:dyDescent="0.2">
      <c r="A6" s="978"/>
      <c r="B6" s="978"/>
      <c r="C6" s="598" t="s">
        <v>841</v>
      </c>
      <c r="D6" s="598" t="s">
        <v>603</v>
      </c>
      <c r="E6" s="598" t="s">
        <v>604</v>
      </c>
      <c r="F6" s="598" t="s">
        <v>604</v>
      </c>
      <c r="G6" s="708" t="s">
        <v>836</v>
      </c>
      <c r="H6" s="598" t="s">
        <v>819</v>
      </c>
      <c r="I6" s="598" t="s">
        <v>604</v>
      </c>
      <c r="J6" s="598" t="s">
        <v>604</v>
      </c>
      <c r="K6" s="708" t="s">
        <v>837</v>
      </c>
      <c r="L6" s="598" t="s">
        <v>603</v>
      </c>
      <c r="M6" s="598" t="s">
        <v>603</v>
      </c>
      <c r="N6" s="598" t="s">
        <v>604</v>
      </c>
      <c r="O6" s="598" t="s">
        <v>604</v>
      </c>
      <c r="P6" s="598" t="s">
        <v>604</v>
      </c>
      <c r="Q6" s="598" t="s">
        <v>819</v>
      </c>
      <c r="R6" s="598" t="s">
        <v>604</v>
      </c>
      <c r="S6" s="598" t="s">
        <v>604</v>
      </c>
    </row>
    <row r="7" spans="1:19" ht="16.149999999999999" customHeight="1" x14ac:dyDescent="0.2">
      <c r="A7" s="979">
        <v>1</v>
      </c>
      <c r="B7" s="980" t="s">
        <v>5</v>
      </c>
      <c r="C7" s="981">
        <f>IFERROR(VLOOKUP(A7,'[16]OJJ_Final ADM'!$A$5:$C$54,3,FALSE),0)</f>
        <v>1.3593759999999999</v>
      </c>
      <c r="D7" s="1242">
        <f>'3_Levels 1&amp;2'!AQ7</f>
        <v>5772.734116899619</v>
      </c>
      <c r="E7" s="1242">
        <f>D7*(1+$E$3)</f>
        <v>7599.135871398933</v>
      </c>
      <c r="F7" s="1242">
        <f>E7+$F$3</f>
        <v>9069.4832632611287</v>
      </c>
      <c r="G7" s="1243">
        <f t="shared" ref="G7:G38" si="1">ROUND(C7*F7,0)</f>
        <v>12329</v>
      </c>
      <c r="H7" s="1244">
        <f>('[4]5A3_OJJ'!J7*6)+('[7]5A3_OJJ'!J7*2)</f>
        <v>8218</v>
      </c>
      <c r="I7" s="1244">
        <f t="shared" ref="I7:I70" si="2">G7-H7</f>
        <v>4111</v>
      </c>
      <c r="J7" s="1245">
        <f t="shared" ref="J7:J38" si="3">ROUND(I7/$J$86,0)</f>
        <v>1028</v>
      </c>
      <c r="K7" s="1243">
        <f>G7</f>
        <v>12329</v>
      </c>
      <c r="L7" s="982">
        <f>'3_Levels 1&amp;2'!AW7</f>
        <v>24481527</v>
      </c>
      <c r="M7" s="983">
        <f>'3_Levels 1&amp;2'!C7</f>
        <v>9444</v>
      </c>
      <c r="N7" s="983">
        <f t="shared" ref="N7:N38" si="4">C7+M7</f>
        <v>9445.3593760000003</v>
      </c>
      <c r="O7" s="1235">
        <f>L7/N7</f>
        <v>2591.9105907400253</v>
      </c>
      <c r="P7" s="1236">
        <f>ROUND(C7*O7,0)</f>
        <v>3523</v>
      </c>
      <c r="Q7" s="1235">
        <f>('[4]5A3_OJJ'!S7*6)+('[7]5A3_OJJ'!S7*2)</f>
        <v>2350</v>
      </c>
      <c r="R7" s="1235">
        <f>P7-Q7</f>
        <v>1173</v>
      </c>
      <c r="S7" s="1236">
        <f t="shared" ref="S7:S38" si="5">ROUND(R7/$S$86,0)</f>
        <v>293</v>
      </c>
    </row>
    <row r="8" spans="1:19" ht="16.149999999999999" customHeight="1" x14ac:dyDescent="0.2">
      <c r="A8" s="984">
        <v>2</v>
      </c>
      <c r="B8" s="985" t="s">
        <v>6</v>
      </c>
      <c r="C8" s="986">
        <f>IFERROR(VLOOKUP(A8,'[16]OJJ_Final ADM'!$A$5:$C$54,3,FALSE),0)</f>
        <v>0</v>
      </c>
      <c r="D8" s="1246">
        <f>'3_Levels 1&amp;2'!AQ8</f>
        <v>7474.2239440139965</v>
      </c>
      <c r="E8" s="1246">
        <f t="shared" ref="E8:E71" si="6">D8*(1+$E$3)</f>
        <v>9838.9501635890465</v>
      </c>
      <c r="F8" s="1246">
        <f t="shared" ref="F8:F71" si="7">E8+$F$3</f>
        <v>11309.297555451241</v>
      </c>
      <c r="G8" s="1247">
        <f t="shared" si="1"/>
        <v>0</v>
      </c>
      <c r="H8" s="1246">
        <f>('[4]5A3_OJJ'!J8*6)+('[7]5A3_OJJ'!J8*2)</f>
        <v>0</v>
      </c>
      <c r="I8" s="1246">
        <f t="shared" si="2"/>
        <v>0</v>
      </c>
      <c r="J8" s="1247">
        <f t="shared" si="3"/>
        <v>0</v>
      </c>
      <c r="K8" s="1247">
        <f t="shared" ref="K8:K71" si="8">G8</f>
        <v>0</v>
      </c>
      <c r="L8" s="987">
        <f>'3_Levels 1&amp;2'!AW8</f>
        <v>11409785.359999999</v>
      </c>
      <c r="M8" s="988">
        <f>'3_Levels 1&amp;2'!C8</f>
        <v>4001</v>
      </c>
      <c r="N8" s="988">
        <f t="shared" si="4"/>
        <v>4001</v>
      </c>
      <c r="O8" s="1237">
        <f t="shared" ref="O8:O71" si="9">L8/N8</f>
        <v>2851.7334066483377</v>
      </c>
      <c r="P8" s="1238">
        <f t="shared" ref="P8:P71" si="10">ROUND(C8*O8,0)</f>
        <v>0</v>
      </c>
      <c r="Q8" s="1237">
        <f>('[4]5A3_OJJ'!S8*6)+('[7]5A3_OJJ'!S8*2)</f>
        <v>0</v>
      </c>
      <c r="R8" s="1237">
        <f t="shared" ref="R8:R71" si="11">P8-Q8</f>
        <v>0</v>
      </c>
      <c r="S8" s="1238">
        <f t="shared" si="5"/>
        <v>0</v>
      </c>
    </row>
    <row r="9" spans="1:19" ht="16.149999999999999" customHeight="1" x14ac:dyDescent="0.2">
      <c r="A9" s="984">
        <v>3</v>
      </c>
      <c r="B9" s="985" t="s">
        <v>7</v>
      </c>
      <c r="C9" s="986">
        <f>IFERROR(VLOOKUP(A9,'[16]OJJ_Final ADM'!$A$5:$C$54,3,FALSE),0)</f>
        <v>1.5052080000000001</v>
      </c>
      <c r="D9" s="1246">
        <f>'3_Levels 1&amp;2'!AQ9</f>
        <v>4792.0384134357691</v>
      </c>
      <c r="E9" s="1246">
        <f t="shared" si="6"/>
        <v>6308.163561189459</v>
      </c>
      <c r="F9" s="1246">
        <f t="shared" si="7"/>
        <v>7778.5109530516538</v>
      </c>
      <c r="G9" s="1247">
        <f t="shared" si="1"/>
        <v>11708</v>
      </c>
      <c r="H9" s="1246">
        <f>('[4]5A3_OJJ'!J9*6)+('[7]5A3_OJJ'!J9*2)</f>
        <v>7806</v>
      </c>
      <c r="I9" s="1246">
        <f t="shared" si="2"/>
        <v>3902</v>
      </c>
      <c r="J9" s="1247">
        <f t="shared" si="3"/>
        <v>976</v>
      </c>
      <c r="K9" s="1247">
        <f t="shared" si="8"/>
        <v>11708</v>
      </c>
      <c r="L9" s="987">
        <f>'3_Levels 1&amp;2'!AW9</f>
        <v>82687496.739999995</v>
      </c>
      <c r="M9" s="988">
        <f>'3_Levels 1&amp;2'!C9</f>
        <v>22388</v>
      </c>
      <c r="N9" s="988">
        <f t="shared" si="4"/>
        <v>22389.505207999999</v>
      </c>
      <c r="O9" s="1237">
        <f t="shared" si="9"/>
        <v>3693.1364034992121</v>
      </c>
      <c r="P9" s="1238">
        <f t="shared" si="10"/>
        <v>5559</v>
      </c>
      <c r="Q9" s="1237">
        <f>('[4]5A3_OJJ'!S9*6)+('[7]5A3_OJJ'!S9*2)</f>
        <v>3706</v>
      </c>
      <c r="R9" s="1237">
        <f t="shared" si="11"/>
        <v>1853</v>
      </c>
      <c r="S9" s="1238">
        <f t="shared" si="5"/>
        <v>463</v>
      </c>
    </row>
    <row r="10" spans="1:19" ht="16.149999999999999" customHeight="1" x14ac:dyDescent="0.2">
      <c r="A10" s="984">
        <v>4</v>
      </c>
      <c r="B10" s="985" t="s">
        <v>8</v>
      </c>
      <c r="C10" s="986">
        <f>IFERROR(VLOOKUP(A10,'[16]OJJ_Final ADM'!$A$5:$C$54,3,FALSE),0)</f>
        <v>0</v>
      </c>
      <c r="D10" s="1246">
        <f>'3_Levels 1&amp;2'!AQ10</f>
        <v>6784.5503334391869</v>
      </c>
      <c r="E10" s="1246">
        <f t="shared" si="6"/>
        <v>8931.0747327193822</v>
      </c>
      <c r="F10" s="1246">
        <f t="shared" si="7"/>
        <v>10401.422124581577</v>
      </c>
      <c r="G10" s="1247">
        <f t="shared" si="1"/>
        <v>0</v>
      </c>
      <c r="H10" s="1246">
        <f>('[4]5A3_OJJ'!J10*6)+('[7]5A3_OJJ'!J10*2)</f>
        <v>0</v>
      </c>
      <c r="I10" s="1246">
        <f t="shared" si="2"/>
        <v>0</v>
      </c>
      <c r="J10" s="1247">
        <f t="shared" si="3"/>
        <v>0</v>
      </c>
      <c r="K10" s="1247">
        <f t="shared" si="8"/>
        <v>0</v>
      </c>
      <c r="L10" s="987">
        <f>'3_Levels 1&amp;2'!AW10</f>
        <v>11004158.84</v>
      </c>
      <c r="M10" s="988">
        <f>'3_Levels 1&amp;2'!C10</f>
        <v>3149</v>
      </c>
      <c r="N10" s="988">
        <f t="shared" si="4"/>
        <v>3149</v>
      </c>
      <c r="O10" s="1237">
        <f t="shared" si="9"/>
        <v>3494.4931216259129</v>
      </c>
      <c r="P10" s="1238">
        <f t="shared" si="10"/>
        <v>0</v>
      </c>
      <c r="Q10" s="1237">
        <f>('[4]5A3_OJJ'!S10*6)+('[7]5A3_OJJ'!S10*2)</f>
        <v>0</v>
      </c>
      <c r="R10" s="1237">
        <f t="shared" si="11"/>
        <v>0</v>
      </c>
      <c r="S10" s="1238">
        <f t="shared" si="5"/>
        <v>0</v>
      </c>
    </row>
    <row r="11" spans="1:19" ht="16.149999999999999" customHeight="1" x14ac:dyDescent="0.2">
      <c r="A11" s="989">
        <v>5</v>
      </c>
      <c r="B11" s="990" t="s">
        <v>9</v>
      </c>
      <c r="C11" s="991">
        <f>IFERROR(VLOOKUP(A11,'[16]OJJ_Final ADM'!$A$5:$C$54,3,FALSE),0)</f>
        <v>1.677084</v>
      </c>
      <c r="D11" s="1248">
        <f>'3_Levels 1&amp;2'!AQ11</f>
        <v>6147.2831806665372</v>
      </c>
      <c r="E11" s="1248">
        <f t="shared" si="6"/>
        <v>8092.1863338717694</v>
      </c>
      <c r="F11" s="1248">
        <f t="shared" si="7"/>
        <v>9562.5337257339634</v>
      </c>
      <c r="G11" s="1249">
        <f t="shared" si="1"/>
        <v>16037</v>
      </c>
      <c r="H11" s="1248">
        <f>('[4]5A3_OJJ'!J11*6)+('[7]5A3_OJJ'!J11*2)</f>
        <v>10690</v>
      </c>
      <c r="I11" s="1248">
        <f t="shared" si="2"/>
        <v>5347</v>
      </c>
      <c r="J11" s="1249">
        <f t="shared" si="3"/>
        <v>1337</v>
      </c>
      <c r="K11" s="1249">
        <f t="shared" si="8"/>
        <v>16037</v>
      </c>
      <c r="L11" s="992">
        <f>'3_Levels 1&amp;2'!AW11</f>
        <v>11815443</v>
      </c>
      <c r="M11" s="993">
        <f>'3_Levels 1&amp;2'!C11</f>
        <v>5131</v>
      </c>
      <c r="N11" s="993">
        <f t="shared" si="4"/>
        <v>5132.6770839999999</v>
      </c>
      <c r="O11" s="1239">
        <f t="shared" si="9"/>
        <v>2302.0039653053695</v>
      </c>
      <c r="P11" s="1240">
        <f t="shared" si="10"/>
        <v>3861</v>
      </c>
      <c r="Q11" s="1239">
        <f>('[4]5A3_OJJ'!S11*6)+('[7]5A3_OJJ'!S11*2)</f>
        <v>2576</v>
      </c>
      <c r="R11" s="1239">
        <f t="shared" si="11"/>
        <v>1285</v>
      </c>
      <c r="S11" s="1240">
        <f t="shared" si="5"/>
        <v>321</v>
      </c>
    </row>
    <row r="12" spans="1:19" ht="16.149999999999999" customHeight="1" x14ac:dyDescent="0.2">
      <c r="A12" s="979">
        <v>6</v>
      </c>
      <c r="B12" s="980" t="s">
        <v>10</v>
      </c>
      <c r="C12" s="981">
        <f>IFERROR(VLOOKUP(A12,'[16]OJJ_Final ADM'!$A$5:$C$54,3,FALSE),0)</f>
        <v>0.5625</v>
      </c>
      <c r="D12" s="1242">
        <f>'3_Levels 1&amp;2'!AQ12</f>
        <v>6333.6338344565402</v>
      </c>
      <c r="E12" s="1242">
        <f t="shared" si="6"/>
        <v>8337.4953866009819</v>
      </c>
      <c r="F12" s="1242">
        <f t="shared" si="7"/>
        <v>9807.8427784631767</v>
      </c>
      <c r="G12" s="1243">
        <f t="shared" si="1"/>
        <v>5517</v>
      </c>
      <c r="H12" s="1244">
        <f>('[4]5A3_OJJ'!J12*6)+('[7]5A3_OJJ'!J12*2)</f>
        <v>3680</v>
      </c>
      <c r="I12" s="1244">
        <f t="shared" si="2"/>
        <v>1837</v>
      </c>
      <c r="J12" s="1245">
        <f t="shared" si="3"/>
        <v>459</v>
      </c>
      <c r="K12" s="1243">
        <f t="shared" si="8"/>
        <v>5517</v>
      </c>
      <c r="L12" s="982">
        <f>'3_Levels 1&amp;2'!AW12</f>
        <v>19263805.760000002</v>
      </c>
      <c r="M12" s="983">
        <f>'3_Levels 1&amp;2'!C12</f>
        <v>5787</v>
      </c>
      <c r="N12" s="983">
        <f t="shared" si="4"/>
        <v>5787.5625</v>
      </c>
      <c r="O12" s="1235">
        <f t="shared" si="9"/>
        <v>3328.4834090344598</v>
      </c>
      <c r="P12" s="1236">
        <f t="shared" si="10"/>
        <v>1872</v>
      </c>
      <c r="Q12" s="1235">
        <f>('[4]5A3_OJJ'!S12*6)+('[7]5A3_OJJ'!S12*2)</f>
        <v>1248</v>
      </c>
      <c r="R12" s="1235">
        <f t="shared" si="11"/>
        <v>624</v>
      </c>
      <c r="S12" s="1236">
        <f t="shared" si="5"/>
        <v>156</v>
      </c>
    </row>
    <row r="13" spans="1:19" ht="16.149999999999999" customHeight="1" x14ac:dyDescent="0.2">
      <c r="A13" s="984">
        <v>7</v>
      </c>
      <c r="B13" s="985" t="s">
        <v>11</v>
      </c>
      <c r="C13" s="986">
        <f>IFERROR(VLOOKUP(A13,'[16]OJJ_Final ADM'!$A$5:$C$54,3,FALSE),0)</f>
        <v>1</v>
      </c>
      <c r="D13" s="1246">
        <f>'3_Levels 1&amp;2'!AQ13</f>
        <v>3837.5220517737298</v>
      </c>
      <c r="E13" s="1246">
        <f t="shared" si="6"/>
        <v>5051.6533223914066</v>
      </c>
      <c r="F13" s="1246">
        <f t="shared" si="7"/>
        <v>6522.0007142536015</v>
      </c>
      <c r="G13" s="1247">
        <f t="shared" si="1"/>
        <v>6522</v>
      </c>
      <c r="H13" s="1246">
        <f>('[4]5A3_OJJ'!J13*6)+('[7]5A3_OJJ'!J13*2)</f>
        <v>4350</v>
      </c>
      <c r="I13" s="1246">
        <f t="shared" si="2"/>
        <v>2172</v>
      </c>
      <c r="J13" s="1247">
        <f t="shared" si="3"/>
        <v>543</v>
      </c>
      <c r="K13" s="1247">
        <f t="shared" si="8"/>
        <v>6522</v>
      </c>
      <c r="L13" s="987">
        <f>'3_Levels 1&amp;2'!AW13</f>
        <v>11576543.800000001</v>
      </c>
      <c r="M13" s="988">
        <f>'3_Levels 1&amp;2'!C13</f>
        <v>2086</v>
      </c>
      <c r="N13" s="988">
        <f t="shared" si="4"/>
        <v>2087</v>
      </c>
      <c r="O13" s="1237">
        <f t="shared" si="9"/>
        <v>5546.9783421178727</v>
      </c>
      <c r="P13" s="1238">
        <f t="shared" si="10"/>
        <v>5547</v>
      </c>
      <c r="Q13" s="1237">
        <f>('[4]5A3_OJJ'!S13*6)+('[7]5A3_OJJ'!S13*2)</f>
        <v>3698</v>
      </c>
      <c r="R13" s="1237">
        <f t="shared" si="11"/>
        <v>1849</v>
      </c>
      <c r="S13" s="1238">
        <f t="shared" si="5"/>
        <v>462</v>
      </c>
    </row>
    <row r="14" spans="1:19" ht="16.149999999999999" customHeight="1" x14ac:dyDescent="0.2">
      <c r="A14" s="984">
        <v>8</v>
      </c>
      <c r="B14" s="985" t="s">
        <v>12</v>
      </c>
      <c r="C14" s="986">
        <f>IFERROR(VLOOKUP(A14,'[16]OJJ_Final ADM'!$A$5:$C$54,3,FALSE),0)</f>
        <v>2.7656260000000001</v>
      </c>
      <c r="D14" s="1246">
        <f>'3_Levels 1&amp;2'!AQ14</f>
        <v>5904.0357206484941</v>
      </c>
      <c r="E14" s="1246">
        <f t="shared" si="6"/>
        <v>7771.979225486436</v>
      </c>
      <c r="F14" s="1246">
        <f t="shared" si="7"/>
        <v>9242.32661734863</v>
      </c>
      <c r="G14" s="1247">
        <f t="shared" si="1"/>
        <v>25561</v>
      </c>
      <c r="H14" s="1246">
        <f>('[4]5A3_OJJ'!J14*6)+('[7]5A3_OJJ'!J14*2)</f>
        <v>17040</v>
      </c>
      <c r="I14" s="1246">
        <f t="shared" si="2"/>
        <v>8521</v>
      </c>
      <c r="J14" s="1247">
        <f t="shared" si="3"/>
        <v>2130</v>
      </c>
      <c r="K14" s="1247">
        <f t="shared" si="8"/>
        <v>25561</v>
      </c>
      <c r="L14" s="987">
        <f>'3_Levels 1&amp;2'!AW14</f>
        <v>77333144.439999998</v>
      </c>
      <c r="M14" s="988">
        <f>'3_Levels 1&amp;2'!C14</f>
        <v>22452</v>
      </c>
      <c r="N14" s="988">
        <f t="shared" si="4"/>
        <v>22454.765626</v>
      </c>
      <c r="O14" s="1237">
        <f t="shared" si="9"/>
        <v>3443.9524209710403</v>
      </c>
      <c r="P14" s="1238">
        <f t="shared" si="10"/>
        <v>9525</v>
      </c>
      <c r="Q14" s="1237">
        <f>('[4]5A3_OJJ'!S14*6)+('[7]5A3_OJJ'!S14*2)</f>
        <v>6352</v>
      </c>
      <c r="R14" s="1237">
        <f t="shared" si="11"/>
        <v>3173</v>
      </c>
      <c r="S14" s="1238">
        <f t="shared" si="5"/>
        <v>793</v>
      </c>
    </row>
    <row r="15" spans="1:19" ht="16.149999999999999" customHeight="1" x14ac:dyDescent="0.2">
      <c r="A15" s="984">
        <v>9</v>
      </c>
      <c r="B15" s="985" t="s">
        <v>13</v>
      </c>
      <c r="C15" s="986">
        <f>IFERROR(VLOOKUP(A15,'[16]OJJ_Final ADM'!$A$5:$C$54,3,FALSE),0)</f>
        <v>25.302083</v>
      </c>
      <c r="D15" s="1246">
        <f>'3_Levels 1&amp;2'!AQ15</f>
        <v>5537.1593792978174</v>
      </c>
      <c r="E15" s="1246">
        <f t="shared" si="6"/>
        <v>7289.0290134259403</v>
      </c>
      <c r="F15" s="1246">
        <f t="shared" si="7"/>
        <v>8759.3764052881343</v>
      </c>
      <c r="G15" s="1247">
        <f t="shared" si="1"/>
        <v>221630</v>
      </c>
      <c r="H15" s="1246">
        <f>('[4]5A3_OJJ'!J15*6)+('[7]5A3_OJJ'!J15*2)</f>
        <v>147752</v>
      </c>
      <c r="I15" s="1246">
        <f t="shared" si="2"/>
        <v>73878</v>
      </c>
      <c r="J15" s="1247">
        <f t="shared" si="3"/>
        <v>18470</v>
      </c>
      <c r="K15" s="1247">
        <f t="shared" si="8"/>
        <v>221630</v>
      </c>
      <c r="L15" s="987">
        <f>'3_Levels 1&amp;2'!AW15</f>
        <v>139636376.28</v>
      </c>
      <c r="M15" s="988">
        <f>'3_Levels 1&amp;2'!C15</f>
        <v>38537</v>
      </c>
      <c r="N15" s="988">
        <f t="shared" si="4"/>
        <v>38562.302083000002</v>
      </c>
      <c r="O15" s="1237">
        <f t="shared" si="9"/>
        <v>3621.0591364450206</v>
      </c>
      <c r="P15" s="1238">
        <f t="shared" si="10"/>
        <v>91620</v>
      </c>
      <c r="Q15" s="1237">
        <f>('[4]5A3_OJJ'!S15*6)+('[7]5A3_OJJ'!S15*2)</f>
        <v>61080</v>
      </c>
      <c r="R15" s="1237">
        <f t="shared" si="11"/>
        <v>30540</v>
      </c>
      <c r="S15" s="1238">
        <f t="shared" si="5"/>
        <v>7635</v>
      </c>
    </row>
    <row r="16" spans="1:19" ht="16.149999999999999" customHeight="1" x14ac:dyDescent="0.2">
      <c r="A16" s="989">
        <v>10</v>
      </c>
      <c r="B16" s="990" t="s">
        <v>14</v>
      </c>
      <c r="C16" s="991">
        <f>IFERROR(VLOOKUP(A16,'[16]OJJ_Final ADM'!$A$5:$C$54,3,FALSE),0)</f>
        <v>12.838540999999999</v>
      </c>
      <c r="D16" s="1248">
        <f>'3_Levels 1&amp;2'!AQ16</f>
        <v>4080.01042137285</v>
      </c>
      <c r="E16" s="1248">
        <f t="shared" si="6"/>
        <v>5370.8611761574803</v>
      </c>
      <c r="F16" s="1248">
        <f t="shared" si="7"/>
        <v>6841.2085680196751</v>
      </c>
      <c r="G16" s="1249">
        <f t="shared" si="1"/>
        <v>87831</v>
      </c>
      <c r="H16" s="1248">
        <f>('[4]5A3_OJJ'!J16*6)+('[7]5A3_OJJ'!J16*2)</f>
        <v>58554</v>
      </c>
      <c r="I16" s="1248">
        <f t="shared" si="2"/>
        <v>29277</v>
      </c>
      <c r="J16" s="1249">
        <f t="shared" si="3"/>
        <v>7319</v>
      </c>
      <c r="K16" s="1249">
        <f t="shared" si="8"/>
        <v>87831</v>
      </c>
      <c r="L16" s="992">
        <f>'3_Levels 1&amp;2'!AW16</f>
        <v>155466893.28</v>
      </c>
      <c r="M16" s="993">
        <f>'3_Levels 1&amp;2'!C16</f>
        <v>33201</v>
      </c>
      <c r="N16" s="993">
        <f t="shared" si="4"/>
        <v>33213.838540999997</v>
      </c>
      <c r="O16" s="1239">
        <f t="shared" si="9"/>
        <v>4680.786687395007</v>
      </c>
      <c r="P16" s="1240">
        <f t="shared" si="10"/>
        <v>60094</v>
      </c>
      <c r="Q16" s="1239">
        <f>('[4]5A3_OJJ'!S16*6)+('[7]5A3_OJJ'!S16*2)</f>
        <v>40064</v>
      </c>
      <c r="R16" s="1239">
        <f t="shared" si="11"/>
        <v>20030</v>
      </c>
      <c r="S16" s="1240">
        <f t="shared" si="5"/>
        <v>5008</v>
      </c>
    </row>
    <row r="17" spans="1:19" ht="16.149999999999999" customHeight="1" x14ac:dyDescent="0.2">
      <c r="A17" s="979">
        <v>11</v>
      </c>
      <c r="B17" s="980" t="s">
        <v>15</v>
      </c>
      <c r="C17" s="981">
        <f>IFERROR(VLOOKUP(A17,'[16]OJJ_Final ADM'!$A$5:$C$54,3,FALSE),0)</f>
        <v>0</v>
      </c>
      <c r="D17" s="1242">
        <f>'3_Levels 1&amp;2'!AQ17</f>
        <v>7906.5685640362226</v>
      </c>
      <c r="E17" s="1242">
        <f t="shared" si="6"/>
        <v>10408.081782036383</v>
      </c>
      <c r="F17" s="1242">
        <f t="shared" si="7"/>
        <v>11878.429173898578</v>
      </c>
      <c r="G17" s="1243">
        <f t="shared" si="1"/>
        <v>0</v>
      </c>
      <c r="H17" s="1244">
        <f>('[4]5A3_OJJ'!J17*6)+('[7]5A3_OJJ'!J17*2)</f>
        <v>0</v>
      </c>
      <c r="I17" s="1244">
        <f t="shared" si="2"/>
        <v>0</v>
      </c>
      <c r="J17" s="1245">
        <f t="shared" si="3"/>
        <v>0</v>
      </c>
      <c r="K17" s="1243">
        <f t="shared" si="8"/>
        <v>0</v>
      </c>
      <c r="L17" s="982">
        <f>'3_Levels 1&amp;2'!AW17</f>
        <v>5283946.5199999996</v>
      </c>
      <c r="M17" s="983">
        <f>'3_Levels 1&amp;2'!C17</f>
        <v>1546</v>
      </c>
      <c r="N17" s="983">
        <f t="shared" si="4"/>
        <v>1546</v>
      </c>
      <c r="O17" s="1235">
        <f t="shared" si="9"/>
        <v>3417.8179301423024</v>
      </c>
      <c r="P17" s="1236">
        <f t="shared" si="10"/>
        <v>0</v>
      </c>
      <c r="Q17" s="1235">
        <f>('[4]5A3_OJJ'!S17*6)+('[7]5A3_OJJ'!S17*2)</f>
        <v>0</v>
      </c>
      <c r="R17" s="1235">
        <f t="shared" si="11"/>
        <v>0</v>
      </c>
      <c r="S17" s="1236">
        <f t="shared" si="5"/>
        <v>0</v>
      </c>
    </row>
    <row r="18" spans="1:19" ht="16.149999999999999" customHeight="1" x14ac:dyDescent="0.2">
      <c r="A18" s="984">
        <v>12</v>
      </c>
      <c r="B18" s="985" t="s">
        <v>16</v>
      </c>
      <c r="C18" s="986">
        <f>IFERROR(VLOOKUP(A18,'[16]OJJ_Final ADM'!$A$5:$C$54,3,FALSE),0)</f>
        <v>0</v>
      </c>
      <c r="D18" s="1246">
        <f>'3_Levels 1&amp;2'!AQ18</f>
        <v>2784.1209125475284</v>
      </c>
      <c r="E18" s="1246">
        <f t="shared" si="6"/>
        <v>3664.9727266868595</v>
      </c>
      <c r="F18" s="1246">
        <f t="shared" si="7"/>
        <v>5135.3201185490543</v>
      </c>
      <c r="G18" s="1247">
        <f t="shared" si="1"/>
        <v>0</v>
      </c>
      <c r="H18" s="1246">
        <f>('[4]5A3_OJJ'!J18*6)+('[7]5A3_OJJ'!J18*2)</f>
        <v>0</v>
      </c>
      <c r="I18" s="1246">
        <f t="shared" si="2"/>
        <v>0</v>
      </c>
      <c r="J18" s="1247">
        <f t="shared" si="3"/>
        <v>0</v>
      </c>
      <c r="K18" s="1247">
        <f t="shared" si="8"/>
        <v>0</v>
      </c>
      <c r="L18" s="987">
        <f>'3_Levels 1&amp;2'!AW18</f>
        <v>8627980</v>
      </c>
      <c r="M18" s="988">
        <f>'3_Levels 1&amp;2'!C18</f>
        <v>1315</v>
      </c>
      <c r="N18" s="988">
        <f t="shared" si="4"/>
        <v>1315</v>
      </c>
      <c r="O18" s="1237">
        <f t="shared" si="9"/>
        <v>6561.2015209125475</v>
      </c>
      <c r="P18" s="1238">
        <f t="shared" si="10"/>
        <v>0</v>
      </c>
      <c r="Q18" s="1237">
        <f>('[4]5A3_OJJ'!S18*6)+('[7]5A3_OJJ'!S18*2)</f>
        <v>0</v>
      </c>
      <c r="R18" s="1237">
        <f t="shared" si="11"/>
        <v>0</v>
      </c>
      <c r="S18" s="1238">
        <f t="shared" si="5"/>
        <v>0</v>
      </c>
    </row>
    <row r="19" spans="1:19" ht="16.149999999999999" customHeight="1" x14ac:dyDescent="0.2">
      <c r="A19" s="984">
        <v>13</v>
      </c>
      <c r="B19" s="985" t="s">
        <v>17</v>
      </c>
      <c r="C19" s="986">
        <f>IFERROR(VLOOKUP(A19,'[16]OJJ_Final ADM'!$A$5:$C$54,3,FALSE),0)</f>
        <v>0</v>
      </c>
      <c r="D19" s="1246">
        <f>'3_Levels 1&amp;2'!AQ19</f>
        <v>7426.2071146245062</v>
      </c>
      <c r="E19" s="1246">
        <f t="shared" si="6"/>
        <v>9775.7415689689824</v>
      </c>
      <c r="F19" s="1246">
        <f t="shared" si="7"/>
        <v>11246.088960831177</v>
      </c>
      <c r="G19" s="1247">
        <f t="shared" si="1"/>
        <v>0</v>
      </c>
      <c r="H19" s="1246">
        <f>('[4]5A3_OJJ'!J19*6)+('[7]5A3_OJJ'!J19*2)</f>
        <v>0</v>
      </c>
      <c r="I19" s="1246">
        <f t="shared" si="2"/>
        <v>0</v>
      </c>
      <c r="J19" s="1247">
        <f t="shared" si="3"/>
        <v>0</v>
      </c>
      <c r="K19" s="1247">
        <f t="shared" si="8"/>
        <v>0</v>
      </c>
      <c r="L19" s="987">
        <f>'3_Levels 1&amp;2'!AW19</f>
        <v>3674926</v>
      </c>
      <c r="M19" s="988">
        <f>'3_Levels 1&amp;2'!C19</f>
        <v>1265</v>
      </c>
      <c r="N19" s="988">
        <f t="shared" si="4"/>
        <v>1265</v>
      </c>
      <c r="O19" s="1237">
        <f t="shared" si="9"/>
        <v>2905.0798418972331</v>
      </c>
      <c r="P19" s="1238">
        <f t="shared" si="10"/>
        <v>0</v>
      </c>
      <c r="Q19" s="1237">
        <f>('[4]5A3_OJJ'!S19*6)+('[7]5A3_OJJ'!S19*2)</f>
        <v>0</v>
      </c>
      <c r="R19" s="1237">
        <f t="shared" si="11"/>
        <v>0</v>
      </c>
      <c r="S19" s="1238">
        <f t="shared" si="5"/>
        <v>0</v>
      </c>
    </row>
    <row r="20" spans="1:19" ht="16.149999999999999" customHeight="1" x14ac:dyDescent="0.2">
      <c r="A20" s="984">
        <v>14</v>
      </c>
      <c r="B20" s="985" t="s">
        <v>18</v>
      </c>
      <c r="C20" s="986">
        <f>IFERROR(VLOOKUP(A20,'[16]OJJ_Final ADM'!$A$5:$C$54,3,FALSE),0)</f>
        <v>0.71354200000000001</v>
      </c>
      <c r="D20" s="1246">
        <f>'3_Levels 1&amp;2'!AQ20</f>
        <v>7175.4870763928775</v>
      </c>
      <c r="E20" s="1246">
        <f t="shared" si="6"/>
        <v>9445.6976768335626</v>
      </c>
      <c r="F20" s="1246">
        <f t="shared" si="7"/>
        <v>10916.045068695757</v>
      </c>
      <c r="G20" s="1247">
        <f t="shared" si="1"/>
        <v>7789</v>
      </c>
      <c r="H20" s="1246">
        <f>('[4]5A3_OJJ'!J20*6)+('[7]5A3_OJJ'!J20*2)</f>
        <v>5192</v>
      </c>
      <c r="I20" s="1246">
        <f t="shared" si="2"/>
        <v>2597</v>
      </c>
      <c r="J20" s="1247">
        <f t="shared" si="3"/>
        <v>649</v>
      </c>
      <c r="K20" s="1247">
        <f t="shared" si="8"/>
        <v>7789</v>
      </c>
      <c r="L20" s="987">
        <f>'3_Levels 1&amp;2'!AW20</f>
        <v>6014773</v>
      </c>
      <c r="M20" s="988">
        <f>'3_Levels 1&amp;2'!C20</f>
        <v>1741</v>
      </c>
      <c r="N20" s="988">
        <f t="shared" si="4"/>
        <v>1741.713542</v>
      </c>
      <c r="O20" s="1237">
        <f t="shared" si="9"/>
        <v>3453.3652377148483</v>
      </c>
      <c r="P20" s="1238">
        <f t="shared" si="10"/>
        <v>2464</v>
      </c>
      <c r="Q20" s="1237">
        <f>('[4]5A3_OJJ'!S20*6)+('[7]5A3_OJJ'!S20*2)</f>
        <v>1642</v>
      </c>
      <c r="R20" s="1237">
        <f t="shared" si="11"/>
        <v>822</v>
      </c>
      <c r="S20" s="1238">
        <f t="shared" si="5"/>
        <v>206</v>
      </c>
    </row>
    <row r="21" spans="1:19" ht="16.149999999999999" customHeight="1" x14ac:dyDescent="0.2">
      <c r="A21" s="989">
        <v>15</v>
      </c>
      <c r="B21" s="990" t="s">
        <v>19</v>
      </c>
      <c r="C21" s="991">
        <f>IFERROR(VLOOKUP(A21,'[16]OJJ_Final ADM'!$A$5:$C$54,3,FALSE),0)</f>
        <v>1</v>
      </c>
      <c r="D21" s="1248">
        <f>'3_Levels 1&amp;2'!AQ21</f>
        <v>6892.7057174887896</v>
      </c>
      <c r="E21" s="1248">
        <f t="shared" si="6"/>
        <v>9073.4487693496485</v>
      </c>
      <c r="F21" s="1248">
        <f t="shared" si="7"/>
        <v>10543.796161211843</v>
      </c>
      <c r="G21" s="1249">
        <f t="shared" si="1"/>
        <v>10544</v>
      </c>
      <c r="H21" s="1248">
        <f>('[4]5A3_OJJ'!J21*6)+('[7]5A3_OJJ'!J21*2)</f>
        <v>7030</v>
      </c>
      <c r="I21" s="1248">
        <f t="shared" si="2"/>
        <v>3514</v>
      </c>
      <c r="J21" s="1249">
        <f t="shared" si="3"/>
        <v>879</v>
      </c>
      <c r="K21" s="1249">
        <f t="shared" si="8"/>
        <v>10544</v>
      </c>
      <c r="L21" s="992">
        <f>'3_Levels 1&amp;2'!AW21</f>
        <v>10648373</v>
      </c>
      <c r="M21" s="993">
        <f>'3_Levels 1&amp;2'!C21</f>
        <v>3568</v>
      </c>
      <c r="N21" s="993">
        <f t="shared" si="4"/>
        <v>3569</v>
      </c>
      <c r="O21" s="1239">
        <f t="shared" si="9"/>
        <v>2983.5732698234801</v>
      </c>
      <c r="P21" s="1240">
        <f t="shared" si="10"/>
        <v>2984</v>
      </c>
      <c r="Q21" s="1239">
        <f>('[4]5A3_OJJ'!S21*6)+('[7]5A3_OJJ'!S21*2)</f>
        <v>1990</v>
      </c>
      <c r="R21" s="1239">
        <f t="shared" si="11"/>
        <v>994</v>
      </c>
      <c r="S21" s="1240">
        <f t="shared" si="5"/>
        <v>249</v>
      </c>
    </row>
    <row r="22" spans="1:19" ht="16.149999999999999" customHeight="1" x14ac:dyDescent="0.2">
      <c r="A22" s="979">
        <v>16</v>
      </c>
      <c r="B22" s="980" t="s">
        <v>20</v>
      </c>
      <c r="C22" s="981">
        <f>IFERROR(VLOOKUP(A22,'[16]OJJ_Final ADM'!$A$5:$C$54,3,FALSE),0)</f>
        <v>1.171875</v>
      </c>
      <c r="D22" s="1242">
        <f>'3_Levels 1&amp;2'!AQ22</f>
        <v>2867.6308808290155</v>
      </c>
      <c r="E22" s="1242">
        <f t="shared" si="6"/>
        <v>3774.9039278709638</v>
      </c>
      <c r="F22" s="1242">
        <f t="shared" si="7"/>
        <v>5245.2513197331591</v>
      </c>
      <c r="G22" s="1243">
        <f t="shared" si="1"/>
        <v>6147</v>
      </c>
      <c r="H22" s="1244">
        <f>('[4]5A3_OJJ'!J22*6)+('[7]5A3_OJJ'!J22*2)</f>
        <v>4098</v>
      </c>
      <c r="I22" s="1244">
        <f t="shared" si="2"/>
        <v>2049</v>
      </c>
      <c r="J22" s="1245">
        <f t="shared" si="3"/>
        <v>512</v>
      </c>
      <c r="K22" s="1243">
        <f t="shared" si="8"/>
        <v>6147</v>
      </c>
      <c r="L22" s="982">
        <f>'3_Levels 1&amp;2'!AW22</f>
        <v>27363435.859999999</v>
      </c>
      <c r="M22" s="983">
        <f>'3_Levels 1&amp;2'!C22</f>
        <v>4825</v>
      </c>
      <c r="N22" s="983">
        <f t="shared" si="4"/>
        <v>4826.171875</v>
      </c>
      <c r="O22" s="1235">
        <f t="shared" si="9"/>
        <v>5669.8013599028736</v>
      </c>
      <c r="P22" s="1236">
        <f t="shared" si="10"/>
        <v>6644</v>
      </c>
      <c r="Q22" s="1235">
        <f>('[4]5A3_OJJ'!S22*6)+('[7]5A3_OJJ'!S22*2)</f>
        <v>4430</v>
      </c>
      <c r="R22" s="1235">
        <f t="shared" si="11"/>
        <v>2214</v>
      </c>
      <c r="S22" s="1236">
        <f t="shared" si="5"/>
        <v>554</v>
      </c>
    </row>
    <row r="23" spans="1:19" ht="16.149999999999999" customHeight="1" x14ac:dyDescent="0.2">
      <c r="A23" s="984">
        <v>17</v>
      </c>
      <c r="B23" s="985" t="s">
        <v>21</v>
      </c>
      <c r="C23" s="986">
        <f>IFERROR(VLOOKUP(A23,'[16]OJJ_Final ADM'!$A$5:$C$54,3,FALSE),0)</f>
        <v>27.812498999999999</v>
      </c>
      <c r="D23" s="1246">
        <f>'3_Levels 1&amp;2'!AQ23</f>
        <v>4216.7009051290643</v>
      </c>
      <c r="E23" s="1246">
        <f t="shared" si="6"/>
        <v>5550.7983666388245</v>
      </c>
      <c r="F23" s="1246">
        <f t="shared" si="7"/>
        <v>7021.1457585010194</v>
      </c>
      <c r="G23" s="1247">
        <f t="shared" si="1"/>
        <v>195276</v>
      </c>
      <c r="H23" s="1246">
        <f>('[4]5A3_OJJ'!J23*6)+('[7]5A3_OJJ'!J23*2)</f>
        <v>121066</v>
      </c>
      <c r="I23" s="1246">
        <f t="shared" si="2"/>
        <v>74210</v>
      </c>
      <c r="J23" s="1247">
        <f t="shared" si="3"/>
        <v>18553</v>
      </c>
      <c r="K23" s="1247">
        <f t="shared" si="8"/>
        <v>195276</v>
      </c>
      <c r="L23" s="987">
        <f>'3_Levels 1&amp;2'!AW23</f>
        <v>211889272.69999999</v>
      </c>
      <c r="M23" s="988">
        <f>'3_Levels 1&amp;2'!C23</f>
        <v>44745</v>
      </c>
      <c r="N23" s="988">
        <f t="shared" si="4"/>
        <v>44772.812499</v>
      </c>
      <c r="O23" s="1237">
        <f t="shared" si="9"/>
        <v>4732.5432751121571</v>
      </c>
      <c r="P23" s="1238">
        <f t="shared" si="10"/>
        <v>131624</v>
      </c>
      <c r="Q23" s="1237">
        <f>('[4]5A3_OJJ'!S23*6)+('[7]5A3_OJJ'!S23*2)</f>
        <v>81608</v>
      </c>
      <c r="R23" s="1237">
        <f t="shared" si="11"/>
        <v>50016</v>
      </c>
      <c r="S23" s="1238">
        <f t="shared" si="5"/>
        <v>12504</v>
      </c>
    </row>
    <row r="24" spans="1:19" ht="16.149999999999999" customHeight="1" x14ac:dyDescent="0.2">
      <c r="A24" s="984">
        <v>18</v>
      </c>
      <c r="B24" s="985" t="s">
        <v>22</v>
      </c>
      <c r="C24" s="986">
        <f>IFERROR(VLOOKUP(A24,'[16]OJJ_Final ADM'!$A$5:$C$54,3,FALSE),0)</f>
        <v>1.109375</v>
      </c>
      <c r="D24" s="1246">
        <f>'3_Levels 1&amp;2'!AQ24</f>
        <v>7205.4977728285076</v>
      </c>
      <c r="E24" s="1246">
        <f t="shared" si="6"/>
        <v>9485.2032828759457</v>
      </c>
      <c r="F24" s="1246">
        <f t="shared" si="7"/>
        <v>10955.550674738141</v>
      </c>
      <c r="G24" s="1247">
        <f t="shared" si="1"/>
        <v>12154</v>
      </c>
      <c r="H24" s="1246">
        <f>('[4]5A3_OJJ'!J24*6)+('[7]5A3_OJJ'!J24*2)</f>
        <v>8104</v>
      </c>
      <c r="I24" s="1246">
        <f t="shared" si="2"/>
        <v>4050</v>
      </c>
      <c r="J24" s="1247">
        <f t="shared" si="3"/>
        <v>1013</v>
      </c>
      <c r="K24" s="1247">
        <f t="shared" si="8"/>
        <v>12154</v>
      </c>
      <c r="L24" s="987">
        <f>'3_Levels 1&amp;2'!AW24</f>
        <v>3285575.46</v>
      </c>
      <c r="M24" s="988">
        <f>'3_Levels 1&amp;2'!C24</f>
        <v>898</v>
      </c>
      <c r="N24" s="988">
        <f t="shared" si="4"/>
        <v>899.109375</v>
      </c>
      <c r="O24" s="1237">
        <f t="shared" si="9"/>
        <v>3654.2555904280275</v>
      </c>
      <c r="P24" s="1238">
        <f t="shared" si="10"/>
        <v>4054</v>
      </c>
      <c r="Q24" s="1237">
        <f>('[4]5A3_OJJ'!S24*6)+('[7]5A3_OJJ'!S24*2)</f>
        <v>2704</v>
      </c>
      <c r="R24" s="1237">
        <f t="shared" si="11"/>
        <v>1350</v>
      </c>
      <c r="S24" s="1238">
        <f t="shared" si="5"/>
        <v>338</v>
      </c>
    </row>
    <row r="25" spans="1:19" ht="16.149999999999999" customHeight="1" x14ac:dyDescent="0.2">
      <c r="A25" s="984">
        <v>19</v>
      </c>
      <c r="B25" s="985" t="s">
        <v>23</v>
      </c>
      <c r="C25" s="986">
        <f>IFERROR(VLOOKUP(A25,'[16]OJJ_Final ADM'!$A$5:$C$54,3,FALSE),0)</f>
        <v>0</v>
      </c>
      <c r="D25" s="1246">
        <f>'3_Levels 1&amp;2'!AQ25</f>
        <v>5907.0607200429877</v>
      </c>
      <c r="E25" s="1246">
        <f t="shared" si="6"/>
        <v>7775.9612868362492</v>
      </c>
      <c r="F25" s="1246">
        <f t="shared" si="7"/>
        <v>9246.3086786984441</v>
      </c>
      <c r="G25" s="1247">
        <f t="shared" si="1"/>
        <v>0</v>
      </c>
      <c r="H25" s="1246">
        <f>('[4]5A3_OJJ'!J25*6)+('[7]5A3_OJJ'!J25*2)</f>
        <v>0</v>
      </c>
      <c r="I25" s="1246">
        <f t="shared" si="2"/>
        <v>0</v>
      </c>
      <c r="J25" s="1247">
        <f t="shared" si="3"/>
        <v>0</v>
      </c>
      <c r="K25" s="1247">
        <f t="shared" si="8"/>
        <v>0</v>
      </c>
      <c r="L25" s="987">
        <f>'3_Levels 1&amp;2'!AW25</f>
        <v>6779352</v>
      </c>
      <c r="M25" s="988">
        <f>'3_Levels 1&amp;2'!C25</f>
        <v>1861</v>
      </c>
      <c r="N25" s="988">
        <f t="shared" si="4"/>
        <v>1861</v>
      </c>
      <c r="O25" s="1237">
        <f t="shared" si="9"/>
        <v>3642.8543793659323</v>
      </c>
      <c r="P25" s="1238">
        <f t="shared" si="10"/>
        <v>0</v>
      </c>
      <c r="Q25" s="1237">
        <f>('[4]5A3_OJJ'!S25*6)+('[7]5A3_OJJ'!S25*2)</f>
        <v>0</v>
      </c>
      <c r="R25" s="1237">
        <f t="shared" si="11"/>
        <v>0</v>
      </c>
      <c r="S25" s="1238">
        <f t="shared" si="5"/>
        <v>0</v>
      </c>
    </row>
    <row r="26" spans="1:19" ht="16.149999999999999" customHeight="1" x14ac:dyDescent="0.2">
      <c r="A26" s="989">
        <v>20</v>
      </c>
      <c r="B26" s="990" t="s">
        <v>24</v>
      </c>
      <c r="C26" s="991">
        <f>IFERROR(VLOOKUP(A26,'[16]OJJ_Final ADM'!$A$5:$C$54,3,FALSE),0)</f>
        <v>3.0416660000000002</v>
      </c>
      <c r="D26" s="1248">
        <f>'3_Levels 1&amp;2'!AQ26</f>
        <v>6301.3198431092887</v>
      </c>
      <c r="E26" s="1248">
        <f t="shared" si="6"/>
        <v>8294.9577595732444</v>
      </c>
      <c r="F26" s="1248">
        <f t="shared" si="7"/>
        <v>9765.3051514354393</v>
      </c>
      <c r="G26" s="1249">
        <f t="shared" si="1"/>
        <v>29703</v>
      </c>
      <c r="H26" s="1248">
        <f>('[4]5A3_OJJ'!J26*6)+('[7]5A3_OJJ'!J26*2)</f>
        <v>19802</v>
      </c>
      <c r="I26" s="1248">
        <f t="shared" si="2"/>
        <v>9901</v>
      </c>
      <c r="J26" s="1249">
        <f t="shared" si="3"/>
        <v>2475</v>
      </c>
      <c r="K26" s="1249">
        <f t="shared" si="8"/>
        <v>29703</v>
      </c>
      <c r="L26" s="992">
        <f>'3_Levels 1&amp;2'!AW26</f>
        <v>15083005</v>
      </c>
      <c r="M26" s="993">
        <f>'3_Levels 1&amp;2'!C26</f>
        <v>5609</v>
      </c>
      <c r="N26" s="993">
        <f t="shared" si="4"/>
        <v>5612.0416660000001</v>
      </c>
      <c r="O26" s="1239">
        <f t="shared" si="9"/>
        <v>2687.6145790896198</v>
      </c>
      <c r="P26" s="1240">
        <f t="shared" si="10"/>
        <v>8175</v>
      </c>
      <c r="Q26" s="1239">
        <f>('[4]5A3_OJJ'!S26*6)+('[7]5A3_OJJ'!S26*2)</f>
        <v>5450</v>
      </c>
      <c r="R26" s="1239">
        <f t="shared" si="11"/>
        <v>2725</v>
      </c>
      <c r="S26" s="1240">
        <f t="shared" si="5"/>
        <v>681</v>
      </c>
    </row>
    <row r="27" spans="1:19" ht="16.149999999999999" customHeight="1" x14ac:dyDescent="0.2">
      <c r="A27" s="979">
        <v>21</v>
      </c>
      <c r="B27" s="980" t="s">
        <v>25</v>
      </c>
      <c r="C27" s="981">
        <f>IFERROR(VLOOKUP(A27,'[16]OJJ_Final ADM'!$A$5:$C$54,3,FALSE),0)</f>
        <v>4.4427089999999998</v>
      </c>
      <c r="D27" s="1242">
        <f>'3_Levels 1&amp;2'!AQ27</f>
        <v>7007.5869418132615</v>
      </c>
      <c r="E27" s="1242">
        <f t="shared" si="6"/>
        <v>9224.6765957202824</v>
      </c>
      <c r="F27" s="1242">
        <f t="shared" si="7"/>
        <v>10695.023987582477</v>
      </c>
      <c r="G27" s="1243">
        <f t="shared" si="1"/>
        <v>47515</v>
      </c>
      <c r="H27" s="1244">
        <f>('[4]5A3_OJJ'!J27*6)+('[7]5A3_OJJ'!J27*2)</f>
        <v>31678</v>
      </c>
      <c r="I27" s="1244">
        <f t="shared" si="2"/>
        <v>15837</v>
      </c>
      <c r="J27" s="1245">
        <f t="shared" si="3"/>
        <v>3959</v>
      </c>
      <c r="K27" s="1243">
        <f t="shared" si="8"/>
        <v>47515</v>
      </c>
      <c r="L27" s="982">
        <f>'3_Levels 1&amp;2'!AW27</f>
        <v>7734428</v>
      </c>
      <c r="M27" s="983">
        <f>'3_Levels 1&amp;2'!C27</f>
        <v>2956</v>
      </c>
      <c r="N27" s="983">
        <f t="shared" si="4"/>
        <v>2960.4427089999999</v>
      </c>
      <c r="O27" s="1235">
        <f t="shared" si="9"/>
        <v>2612.5916831582908</v>
      </c>
      <c r="P27" s="1236">
        <f t="shared" si="10"/>
        <v>11607</v>
      </c>
      <c r="Q27" s="1235">
        <f>('[4]5A3_OJJ'!S27*6)+('[7]5A3_OJJ'!S27*2)</f>
        <v>7738</v>
      </c>
      <c r="R27" s="1235">
        <f t="shared" si="11"/>
        <v>3869</v>
      </c>
      <c r="S27" s="1236">
        <f t="shared" si="5"/>
        <v>967</v>
      </c>
    </row>
    <row r="28" spans="1:19" ht="16.149999999999999" customHeight="1" x14ac:dyDescent="0.2">
      <c r="A28" s="984">
        <v>22</v>
      </c>
      <c r="B28" s="985" t="s">
        <v>26</v>
      </c>
      <c r="C28" s="986">
        <f>IFERROR(VLOOKUP(A28,'[16]OJJ_Final ADM'!$A$5:$C$54,3,FALSE),0)</f>
        <v>0.61979200000000001</v>
      </c>
      <c r="D28" s="1246">
        <f>'3_Levels 1&amp;2'!AQ28</f>
        <v>7498.1783876500858</v>
      </c>
      <c r="E28" s="1246">
        <f t="shared" si="6"/>
        <v>9870.4834142512427</v>
      </c>
      <c r="F28" s="1246">
        <f t="shared" si="7"/>
        <v>11340.830806113438</v>
      </c>
      <c r="G28" s="1247">
        <f t="shared" si="1"/>
        <v>7029</v>
      </c>
      <c r="H28" s="1246">
        <f>('[4]5A3_OJJ'!J28*6)+('[7]5A3_OJJ'!J28*2)</f>
        <v>4688</v>
      </c>
      <c r="I28" s="1246">
        <f t="shared" si="2"/>
        <v>2341</v>
      </c>
      <c r="J28" s="1247">
        <f t="shared" si="3"/>
        <v>585</v>
      </c>
      <c r="K28" s="1247">
        <f t="shared" si="8"/>
        <v>7029</v>
      </c>
      <c r="L28" s="987">
        <f>'3_Levels 1&amp;2'!AW28</f>
        <v>5727555</v>
      </c>
      <c r="M28" s="988">
        <f>'3_Levels 1&amp;2'!C28</f>
        <v>2915</v>
      </c>
      <c r="N28" s="988">
        <f t="shared" si="4"/>
        <v>2915.619792</v>
      </c>
      <c r="O28" s="1237">
        <f t="shared" si="9"/>
        <v>1964.4382356422143</v>
      </c>
      <c r="P28" s="1238">
        <f t="shared" si="10"/>
        <v>1218</v>
      </c>
      <c r="Q28" s="1237">
        <f>('[4]5A3_OJJ'!S28*6)+('[7]5A3_OJJ'!S28*2)</f>
        <v>814</v>
      </c>
      <c r="R28" s="1237">
        <f t="shared" si="11"/>
        <v>404</v>
      </c>
      <c r="S28" s="1238">
        <f t="shared" si="5"/>
        <v>101</v>
      </c>
    </row>
    <row r="29" spans="1:19" ht="16.149999999999999" customHeight="1" x14ac:dyDescent="0.2">
      <c r="A29" s="984">
        <v>23</v>
      </c>
      <c r="B29" s="985" t="s">
        <v>27</v>
      </c>
      <c r="C29" s="986">
        <f>IFERROR(VLOOKUP(A29,'[16]OJJ_Final ADM'!$A$5:$C$54,3,FALSE),0)</f>
        <v>1.114584</v>
      </c>
      <c r="D29" s="1246">
        <f>'3_Levels 1&amp;2'!AQ29</f>
        <v>6122.9598072052941</v>
      </c>
      <c r="E29" s="1246">
        <f t="shared" si="6"/>
        <v>8060.1674298239177</v>
      </c>
      <c r="F29" s="1246">
        <f t="shared" si="7"/>
        <v>9530.5148216861126</v>
      </c>
      <c r="G29" s="1247">
        <f t="shared" si="1"/>
        <v>10623</v>
      </c>
      <c r="H29" s="1246">
        <f>('[4]5A3_OJJ'!J29*6)+('[7]5A3_OJJ'!J29*2)</f>
        <v>7082</v>
      </c>
      <c r="I29" s="1246">
        <f t="shared" si="2"/>
        <v>3541</v>
      </c>
      <c r="J29" s="1247">
        <f t="shared" si="3"/>
        <v>885</v>
      </c>
      <c r="K29" s="1247">
        <f t="shared" si="8"/>
        <v>10623</v>
      </c>
      <c r="L29" s="987">
        <f>'3_Levels 1&amp;2'!AW29</f>
        <v>42500928.560000002</v>
      </c>
      <c r="M29" s="988">
        <f>'3_Levels 1&amp;2'!C29</f>
        <v>12241</v>
      </c>
      <c r="N29" s="988">
        <f t="shared" si="4"/>
        <v>12242.114584000001</v>
      </c>
      <c r="O29" s="1237">
        <f t="shared" si="9"/>
        <v>3471.6983139127919</v>
      </c>
      <c r="P29" s="1238">
        <f t="shared" si="10"/>
        <v>3869</v>
      </c>
      <c r="Q29" s="1237">
        <f>('[4]5A3_OJJ'!S29*6)+('[7]5A3_OJJ'!S29*2)</f>
        <v>2578</v>
      </c>
      <c r="R29" s="1237">
        <f t="shared" si="11"/>
        <v>1291</v>
      </c>
      <c r="S29" s="1238">
        <f t="shared" si="5"/>
        <v>323</v>
      </c>
    </row>
    <row r="30" spans="1:19" ht="16.149999999999999" customHeight="1" x14ac:dyDescent="0.2">
      <c r="A30" s="984">
        <v>24</v>
      </c>
      <c r="B30" s="985" t="s">
        <v>28</v>
      </c>
      <c r="C30" s="986">
        <f>IFERROR(VLOOKUP(A30,'[16]OJJ_Final ADM'!$A$5:$C$54,3,FALSE),0)</f>
        <v>1.046875</v>
      </c>
      <c r="D30" s="1246">
        <f>'3_Levels 1&amp;2'!AQ30</f>
        <v>3333.5236004390781</v>
      </c>
      <c r="E30" s="1246">
        <f t="shared" si="6"/>
        <v>4388.1977339113291</v>
      </c>
      <c r="F30" s="1246">
        <f t="shared" si="7"/>
        <v>5858.545125773524</v>
      </c>
      <c r="G30" s="1247">
        <f t="shared" si="1"/>
        <v>6133</v>
      </c>
      <c r="H30" s="1246">
        <f>('[4]5A3_OJJ'!J30*6)+('[7]5A3_OJJ'!J30*2)</f>
        <v>4088</v>
      </c>
      <c r="I30" s="1246">
        <f t="shared" si="2"/>
        <v>2045</v>
      </c>
      <c r="J30" s="1247">
        <f t="shared" si="3"/>
        <v>511</v>
      </c>
      <c r="K30" s="1247">
        <f t="shared" si="8"/>
        <v>6133</v>
      </c>
      <c r="L30" s="987">
        <f>'3_Levels 1&amp;2'!AW30</f>
        <v>26509340.120000001</v>
      </c>
      <c r="M30" s="988">
        <f>'3_Levels 1&amp;2'!C30</f>
        <v>4555</v>
      </c>
      <c r="N30" s="988">
        <f t="shared" si="4"/>
        <v>4556.046875</v>
      </c>
      <c r="O30" s="1237">
        <f t="shared" si="9"/>
        <v>5818.4959126435679</v>
      </c>
      <c r="P30" s="1238">
        <f t="shared" si="10"/>
        <v>6091</v>
      </c>
      <c r="Q30" s="1237">
        <f>('[4]5A3_OJJ'!S30*6)+('[7]5A3_OJJ'!S30*2)</f>
        <v>4062</v>
      </c>
      <c r="R30" s="1237">
        <f t="shared" si="11"/>
        <v>2029</v>
      </c>
      <c r="S30" s="1238">
        <f t="shared" si="5"/>
        <v>507</v>
      </c>
    </row>
    <row r="31" spans="1:19" ht="16.149999999999999" customHeight="1" x14ac:dyDescent="0.2">
      <c r="A31" s="989">
        <v>25</v>
      </c>
      <c r="B31" s="990" t="s">
        <v>29</v>
      </c>
      <c r="C31" s="991">
        <f>IFERROR(VLOOKUP(A31,'[16]OJJ_Final ADM'!$A$5:$C$54,3,FALSE),0)</f>
        <v>1</v>
      </c>
      <c r="D31" s="1248">
        <f>'3_Levels 1&amp;2'!AQ31</f>
        <v>5493.1310744538569</v>
      </c>
      <c r="E31" s="1248">
        <f t="shared" si="6"/>
        <v>7231.0708494223081</v>
      </c>
      <c r="F31" s="1248">
        <f t="shared" si="7"/>
        <v>8701.4182412845039</v>
      </c>
      <c r="G31" s="1249">
        <f t="shared" si="1"/>
        <v>8701</v>
      </c>
      <c r="H31" s="1248">
        <f>('[4]5A3_OJJ'!J31*6)+('[7]5A3_OJJ'!J31*2)</f>
        <v>5800</v>
      </c>
      <c r="I31" s="1248">
        <f t="shared" si="2"/>
        <v>2901</v>
      </c>
      <c r="J31" s="1249">
        <f t="shared" si="3"/>
        <v>725</v>
      </c>
      <c r="K31" s="1249">
        <f t="shared" si="8"/>
        <v>8701</v>
      </c>
      <c r="L31" s="992">
        <f>'3_Levels 1&amp;2'!AW31</f>
        <v>9499214.2599999998</v>
      </c>
      <c r="M31" s="993">
        <f>'3_Levels 1&amp;2'!C31</f>
        <v>2243</v>
      </c>
      <c r="N31" s="993">
        <f t="shared" si="4"/>
        <v>2244</v>
      </c>
      <c r="O31" s="1239">
        <f t="shared" si="9"/>
        <v>4233.1614349376114</v>
      </c>
      <c r="P31" s="1240">
        <f t="shared" si="10"/>
        <v>4233</v>
      </c>
      <c r="Q31" s="1239">
        <f>('[4]5A3_OJJ'!S31*6)+('[7]5A3_OJJ'!S31*2)</f>
        <v>2824</v>
      </c>
      <c r="R31" s="1239">
        <f t="shared" si="11"/>
        <v>1409</v>
      </c>
      <c r="S31" s="1240">
        <f t="shared" si="5"/>
        <v>352</v>
      </c>
    </row>
    <row r="32" spans="1:19" ht="16.149999999999999" customHeight="1" x14ac:dyDescent="0.2">
      <c r="A32" s="979">
        <v>26</v>
      </c>
      <c r="B32" s="980" t="s">
        <v>30</v>
      </c>
      <c r="C32" s="981">
        <f>IFERROR(VLOOKUP(A32,'[16]OJJ_Final ADM'!$A$5:$C$54,3,FALSE),0)</f>
        <v>8.2291650000000001</v>
      </c>
      <c r="D32" s="1242">
        <f>'3_Levels 1&amp;2'!AQ32</f>
        <v>4817.4964589092233</v>
      </c>
      <c r="E32" s="1242">
        <f t="shared" si="6"/>
        <v>6341.6761295245706</v>
      </c>
      <c r="F32" s="1242">
        <f t="shared" si="7"/>
        <v>7812.0235213867654</v>
      </c>
      <c r="G32" s="1243">
        <f t="shared" si="1"/>
        <v>64286</v>
      </c>
      <c r="H32" s="1244">
        <f>('[4]5A3_OJJ'!J32*6)+('[7]5A3_OJJ'!J32*2)</f>
        <v>42856</v>
      </c>
      <c r="I32" s="1244">
        <f t="shared" si="2"/>
        <v>21430</v>
      </c>
      <c r="J32" s="1245">
        <f t="shared" si="3"/>
        <v>5358</v>
      </c>
      <c r="K32" s="1243">
        <f t="shared" si="8"/>
        <v>64286</v>
      </c>
      <c r="L32" s="982">
        <f>'3_Levels 1&amp;2'!AW32</f>
        <v>226149348.13999999</v>
      </c>
      <c r="M32" s="983">
        <f>'3_Levels 1&amp;2'!C32</f>
        <v>49561</v>
      </c>
      <c r="N32" s="983">
        <f t="shared" si="4"/>
        <v>49569.229164999997</v>
      </c>
      <c r="O32" s="1235">
        <f t="shared" si="9"/>
        <v>4562.2930182598093</v>
      </c>
      <c r="P32" s="1236">
        <f t="shared" si="10"/>
        <v>37544</v>
      </c>
      <c r="Q32" s="1235">
        <f>('[4]5A3_OJJ'!S32*6)+('[7]5A3_OJJ'!S32*2)</f>
        <v>25030</v>
      </c>
      <c r="R32" s="1235">
        <f t="shared" si="11"/>
        <v>12514</v>
      </c>
      <c r="S32" s="1236">
        <f t="shared" si="5"/>
        <v>3129</v>
      </c>
    </row>
    <row r="33" spans="1:19" ht="16.149999999999999" customHeight="1" x14ac:dyDescent="0.2">
      <c r="A33" s="984">
        <v>27</v>
      </c>
      <c r="B33" s="985" t="s">
        <v>31</v>
      </c>
      <c r="C33" s="986">
        <f>IFERROR(VLOOKUP(A33,'[16]OJJ_Final ADM'!$A$5:$C$54,3,FALSE),0)</f>
        <v>0.50520900000000002</v>
      </c>
      <c r="D33" s="1246">
        <f>'3_Levels 1&amp;2'!AQ33</f>
        <v>6676.832730560579</v>
      </c>
      <c r="E33" s="1246">
        <f t="shared" si="6"/>
        <v>8789.2769842972593</v>
      </c>
      <c r="F33" s="1246">
        <f t="shared" si="7"/>
        <v>10259.624376159454</v>
      </c>
      <c r="G33" s="1247">
        <f t="shared" si="1"/>
        <v>5183</v>
      </c>
      <c r="H33" s="1246">
        <f>('[4]5A3_OJJ'!J33*6)+('[7]5A3_OJJ'!J33*2)</f>
        <v>3456</v>
      </c>
      <c r="I33" s="1246">
        <f t="shared" si="2"/>
        <v>1727</v>
      </c>
      <c r="J33" s="1247">
        <f t="shared" si="3"/>
        <v>432</v>
      </c>
      <c r="K33" s="1247">
        <f t="shared" si="8"/>
        <v>5183</v>
      </c>
      <c r="L33" s="987">
        <f>'3_Levels 1&amp;2'!AW33</f>
        <v>18034298.48</v>
      </c>
      <c r="M33" s="988">
        <f>'3_Levels 1&amp;2'!C33</f>
        <v>5530</v>
      </c>
      <c r="N33" s="988">
        <f t="shared" si="4"/>
        <v>5530.5052089999999</v>
      </c>
      <c r="O33" s="1237">
        <f t="shared" si="9"/>
        <v>3260.8772252220479</v>
      </c>
      <c r="P33" s="1238">
        <f t="shared" si="10"/>
        <v>1647</v>
      </c>
      <c r="Q33" s="1237">
        <f>('[4]5A3_OJJ'!S33*6)+('[7]5A3_OJJ'!S33*2)</f>
        <v>1098</v>
      </c>
      <c r="R33" s="1237">
        <f t="shared" si="11"/>
        <v>549</v>
      </c>
      <c r="S33" s="1238">
        <f t="shared" si="5"/>
        <v>137</v>
      </c>
    </row>
    <row r="34" spans="1:19" ht="16.149999999999999" customHeight="1" x14ac:dyDescent="0.2">
      <c r="A34" s="984">
        <v>28</v>
      </c>
      <c r="B34" s="985" t="s">
        <v>32</v>
      </c>
      <c r="C34" s="986">
        <f>IFERROR(VLOOKUP(A34,'[16]OJJ_Final ADM'!$A$5:$C$54,3,FALSE),0)</f>
        <v>4.6197910000000002</v>
      </c>
      <c r="D34" s="1246">
        <f>'3_Levels 1&amp;2'!AQ34</f>
        <v>4297.7001565041273</v>
      </c>
      <c r="E34" s="1246">
        <f t="shared" si="6"/>
        <v>5657.424499804868</v>
      </c>
      <c r="F34" s="1246">
        <f t="shared" si="7"/>
        <v>7127.7718916670628</v>
      </c>
      <c r="G34" s="1247">
        <f t="shared" si="1"/>
        <v>32929</v>
      </c>
      <c r="H34" s="1246">
        <f>('[4]5A3_OJJ'!J34*6)+('[7]5A3_OJJ'!J34*2)</f>
        <v>20368</v>
      </c>
      <c r="I34" s="1246">
        <f t="shared" si="2"/>
        <v>12561</v>
      </c>
      <c r="J34" s="1247">
        <f t="shared" si="3"/>
        <v>3140</v>
      </c>
      <c r="K34" s="1247">
        <f t="shared" si="8"/>
        <v>32929</v>
      </c>
      <c r="L34" s="987">
        <f>'3_Levels 1&amp;2'!AW34</f>
        <v>138423625.12</v>
      </c>
      <c r="M34" s="988">
        <f>'3_Levels 1&amp;2'!C34</f>
        <v>32587</v>
      </c>
      <c r="N34" s="988">
        <f t="shared" si="4"/>
        <v>32591.619791000001</v>
      </c>
      <c r="O34" s="1237">
        <f t="shared" si="9"/>
        <v>4247.2152659999101</v>
      </c>
      <c r="P34" s="1238">
        <f t="shared" si="10"/>
        <v>19621</v>
      </c>
      <c r="Q34" s="1237">
        <f>('[4]5A3_OJJ'!S34*6)+('[7]5A3_OJJ'!S34*2)</f>
        <v>12136</v>
      </c>
      <c r="R34" s="1237">
        <f t="shared" si="11"/>
        <v>7485</v>
      </c>
      <c r="S34" s="1238">
        <f t="shared" si="5"/>
        <v>1871</v>
      </c>
    </row>
    <row r="35" spans="1:19" ht="16.149999999999999" customHeight="1" x14ac:dyDescent="0.2">
      <c r="A35" s="984">
        <v>29</v>
      </c>
      <c r="B35" s="985" t="s">
        <v>33</v>
      </c>
      <c r="C35" s="986">
        <f>IFERROR(VLOOKUP(A35,'[16]OJJ_Final ADM'!$A$5:$C$54,3,FALSE),0)</f>
        <v>3.0416669999999999</v>
      </c>
      <c r="D35" s="1246">
        <f>'3_Levels 1&amp;2'!AQ35</f>
        <v>5165.8694779116468</v>
      </c>
      <c r="E35" s="1246">
        <f t="shared" si="6"/>
        <v>6800.2688607537493</v>
      </c>
      <c r="F35" s="1246">
        <f t="shared" si="7"/>
        <v>8270.6162526159442</v>
      </c>
      <c r="G35" s="1247">
        <f t="shared" si="1"/>
        <v>25156</v>
      </c>
      <c r="H35" s="1246">
        <f>('[4]5A3_OJJ'!J35*6)+('[7]5A3_OJJ'!J35*2)</f>
        <v>14818</v>
      </c>
      <c r="I35" s="1246">
        <f t="shared" si="2"/>
        <v>10338</v>
      </c>
      <c r="J35" s="1247">
        <f t="shared" si="3"/>
        <v>2585</v>
      </c>
      <c r="K35" s="1247">
        <f t="shared" si="8"/>
        <v>25156</v>
      </c>
      <c r="L35" s="987">
        <f>'3_Levels 1&amp;2'!AW35</f>
        <v>51461959.259999998</v>
      </c>
      <c r="M35" s="988">
        <f>'3_Levels 1&amp;2'!C35</f>
        <v>13944</v>
      </c>
      <c r="N35" s="988">
        <f t="shared" si="4"/>
        <v>13947.041667</v>
      </c>
      <c r="O35" s="1237">
        <f t="shared" si="9"/>
        <v>3689.8118245221704</v>
      </c>
      <c r="P35" s="1238">
        <f t="shared" si="10"/>
        <v>11223</v>
      </c>
      <c r="Q35" s="1237">
        <f>('[4]5A3_OJJ'!S35*6)+('[7]5A3_OJJ'!S35*2)</f>
        <v>6610</v>
      </c>
      <c r="R35" s="1237">
        <f t="shared" si="11"/>
        <v>4613</v>
      </c>
      <c r="S35" s="1238">
        <f t="shared" si="5"/>
        <v>1153</v>
      </c>
    </row>
    <row r="36" spans="1:19" ht="16.149999999999999" customHeight="1" x14ac:dyDescent="0.2">
      <c r="A36" s="989">
        <v>30</v>
      </c>
      <c r="B36" s="990" t="s">
        <v>34</v>
      </c>
      <c r="C36" s="991">
        <f>IFERROR(VLOOKUP(A36,'[16]OJJ_Final ADM'!$A$5:$C$54,3,FALSE),0)</f>
        <v>0</v>
      </c>
      <c r="D36" s="1248">
        <f>'3_Levels 1&amp;2'!AQ36</f>
        <v>6843.7941057731123</v>
      </c>
      <c r="E36" s="1248">
        <f t="shared" si="6"/>
        <v>9009.0622974301423</v>
      </c>
      <c r="F36" s="1248">
        <f t="shared" si="7"/>
        <v>10479.409689292337</v>
      </c>
      <c r="G36" s="1249">
        <f t="shared" si="1"/>
        <v>0</v>
      </c>
      <c r="H36" s="1248">
        <f>('[4]5A3_OJJ'!J36*6)+('[7]5A3_OJJ'!J36*2)</f>
        <v>0</v>
      </c>
      <c r="I36" s="1248">
        <f t="shared" si="2"/>
        <v>0</v>
      </c>
      <c r="J36" s="1249">
        <f t="shared" si="3"/>
        <v>0</v>
      </c>
      <c r="K36" s="1249">
        <f t="shared" si="8"/>
        <v>0</v>
      </c>
      <c r="L36" s="992">
        <f>'3_Levels 1&amp;2'!AW36</f>
        <v>7963312.96</v>
      </c>
      <c r="M36" s="993">
        <f>'3_Levels 1&amp;2'!C36</f>
        <v>2477</v>
      </c>
      <c r="N36" s="993">
        <f t="shared" si="4"/>
        <v>2477</v>
      </c>
      <c r="O36" s="1239">
        <f t="shared" si="9"/>
        <v>3214.9022850222041</v>
      </c>
      <c r="P36" s="1240">
        <f t="shared" si="10"/>
        <v>0</v>
      </c>
      <c r="Q36" s="1239">
        <f>('[4]5A3_OJJ'!S36*6)+('[7]5A3_OJJ'!S36*2)</f>
        <v>0</v>
      </c>
      <c r="R36" s="1239">
        <f t="shared" si="11"/>
        <v>0</v>
      </c>
      <c r="S36" s="1240">
        <f t="shared" si="5"/>
        <v>0</v>
      </c>
    </row>
    <row r="37" spans="1:19" ht="16.149999999999999" customHeight="1" x14ac:dyDescent="0.2">
      <c r="A37" s="979">
        <v>31</v>
      </c>
      <c r="B37" s="980" t="s">
        <v>35</v>
      </c>
      <c r="C37" s="981">
        <f>IFERROR(VLOOKUP(A37,'[16]OJJ_Final ADM'!$A$5:$C$54,3,FALSE),0)</f>
        <v>1.9062490000000001</v>
      </c>
      <c r="D37" s="1242">
        <f>'3_Levels 1&amp;2'!AQ37</f>
        <v>5046.0203389830513</v>
      </c>
      <c r="E37" s="1242">
        <f t="shared" si="6"/>
        <v>6642.5013501867279</v>
      </c>
      <c r="F37" s="1242">
        <f t="shared" si="7"/>
        <v>8112.8487420489228</v>
      </c>
      <c r="G37" s="1243">
        <f t="shared" si="1"/>
        <v>15465</v>
      </c>
      <c r="H37" s="1244">
        <f>('[4]5A3_OJJ'!J37*6)+('[7]5A3_OJJ'!J37*2)</f>
        <v>10312</v>
      </c>
      <c r="I37" s="1244">
        <f t="shared" si="2"/>
        <v>5153</v>
      </c>
      <c r="J37" s="1245">
        <f t="shared" si="3"/>
        <v>1288</v>
      </c>
      <c r="K37" s="1243">
        <f t="shared" si="8"/>
        <v>15465</v>
      </c>
      <c r="L37" s="982">
        <f>'3_Levels 1&amp;2'!AW37</f>
        <v>27126498.300000001</v>
      </c>
      <c r="M37" s="983">
        <f>'3_Levels 1&amp;2'!C37</f>
        <v>6195</v>
      </c>
      <c r="N37" s="983">
        <f t="shared" si="4"/>
        <v>6196.9062489999997</v>
      </c>
      <c r="O37" s="1235">
        <f t="shared" si="9"/>
        <v>4377.4259622496993</v>
      </c>
      <c r="P37" s="1236">
        <f t="shared" si="10"/>
        <v>8344</v>
      </c>
      <c r="Q37" s="1235">
        <f>('[4]5A3_OJJ'!S37*6)+('[7]5A3_OJJ'!S37*2)</f>
        <v>5562</v>
      </c>
      <c r="R37" s="1235">
        <f t="shared" si="11"/>
        <v>2782</v>
      </c>
      <c r="S37" s="1236">
        <f t="shared" si="5"/>
        <v>696</v>
      </c>
    </row>
    <row r="38" spans="1:19" ht="16.149999999999999" customHeight="1" x14ac:dyDescent="0.2">
      <c r="A38" s="984">
        <v>32</v>
      </c>
      <c r="B38" s="985" t="s">
        <v>36</v>
      </c>
      <c r="C38" s="986">
        <f>IFERROR(VLOOKUP(A38,'[16]OJJ_Final ADM'!$A$5:$C$54,3,FALSE),0)</f>
        <v>0.765625</v>
      </c>
      <c r="D38" s="1246">
        <f>'3_Levels 1&amp;2'!AQ38</f>
        <v>6471.8914844332767</v>
      </c>
      <c r="E38" s="1246">
        <f t="shared" si="6"/>
        <v>8519.4955699036909</v>
      </c>
      <c r="F38" s="1246">
        <f t="shared" si="7"/>
        <v>9989.8429617658858</v>
      </c>
      <c r="G38" s="1247">
        <f t="shared" si="1"/>
        <v>7648</v>
      </c>
      <c r="H38" s="1246">
        <f>('[4]5A3_OJJ'!J38*6)+('[7]5A3_OJJ'!J38*2)</f>
        <v>5098</v>
      </c>
      <c r="I38" s="1246">
        <f t="shared" si="2"/>
        <v>2550</v>
      </c>
      <c r="J38" s="1247">
        <f t="shared" si="3"/>
        <v>638</v>
      </c>
      <c r="K38" s="1247">
        <f t="shared" si="8"/>
        <v>7648</v>
      </c>
      <c r="L38" s="987">
        <f>'3_Levels 1&amp;2'!AW38</f>
        <v>67886880</v>
      </c>
      <c r="M38" s="988">
        <f>'3_Levels 1&amp;2'!C38</f>
        <v>25471</v>
      </c>
      <c r="N38" s="988">
        <f t="shared" si="4"/>
        <v>25471.765625</v>
      </c>
      <c r="O38" s="1237">
        <f t="shared" si="9"/>
        <v>2665.1815582572126</v>
      </c>
      <c r="P38" s="1238">
        <f t="shared" si="10"/>
        <v>2041</v>
      </c>
      <c r="Q38" s="1237">
        <f>('[4]5A3_OJJ'!S38*6)+('[7]5A3_OJJ'!S38*2)</f>
        <v>1360</v>
      </c>
      <c r="R38" s="1237">
        <f t="shared" si="11"/>
        <v>681</v>
      </c>
      <c r="S38" s="1238">
        <f t="shared" si="5"/>
        <v>170</v>
      </c>
    </row>
    <row r="39" spans="1:19" ht="16.149999999999999" customHeight="1" x14ac:dyDescent="0.2">
      <c r="A39" s="984">
        <v>33</v>
      </c>
      <c r="B39" s="985" t="s">
        <v>37</v>
      </c>
      <c r="C39" s="986">
        <f>IFERROR(VLOOKUP(A39,'[16]OJJ_Final ADM'!$A$5:$C$54,3,FALSE),0)</f>
        <v>2.0364580000000001</v>
      </c>
      <c r="D39" s="1246">
        <f>'3_Levels 1&amp;2'!AQ39</f>
        <v>6577.2650523560205</v>
      </c>
      <c r="E39" s="1246">
        <f t="shared" si="6"/>
        <v>8658.2076677906934</v>
      </c>
      <c r="F39" s="1246">
        <f t="shared" si="7"/>
        <v>10128.555059652888</v>
      </c>
      <c r="G39" s="1247">
        <f t="shared" ref="G39:G70" si="12">ROUND(C39*F39,0)</f>
        <v>20626</v>
      </c>
      <c r="H39" s="1246">
        <f>('[4]5A3_OJJ'!J39*6)+('[7]5A3_OJJ'!J39*2)</f>
        <v>13752</v>
      </c>
      <c r="I39" s="1246">
        <f t="shared" si="2"/>
        <v>6874</v>
      </c>
      <c r="J39" s="1247">
        <f t="shared" ref="J39:J70" si="13">ROUND(I39/$J$86,0)</f>
        <v>1719</v>
      </c>
      <c r="K39" s="1247">
        <f t="shared" si="8"/>
        <v>20626</v>
      </c>
      <c r="L39" s="987">
        <f>'3_Levels 1&amp;2'!AW39</f>
        <v>5769794</v>
      </c>
      <c r="M39" s="988">
        <f>'3_Levels 1&amp;2'!C39</f>
        <v>1528</v>
      </c>
      <c r="N39" s="988">
        <f t="shared" ref="N39:N70" si="14">C39+M39</f>
        <v>1530.036458</v>
      </c>
      <c r="O39" s="1237">
        <f t="shared" si="9"/>
        <v>3771.0173308824515</v>
      </c>
      <c r="P39" s="1238">
        <f t="shared" si="10"/>
        <v>7680</v>
      </c>
      <c r="Q39" s="1237">
        <f>('[4]5A3_OJJ'!S39*6)+('[7]5A3_OJJ'!S39*2)</f>
        <v>5120</v>
      </c>
      <c r="R39" s="1237">
        <f t="shared" si="11"/>
        <v>2560</v>
      </c>
      <c r="S39" s="1238">
        <f t="shared" ref="S39:S70" si="15">ROUND(R39/$S$86,0)</f>
        <v>640</v>
      </c>
    </row>
    <row r="40" spans="1:19" ht="16.149999999999999" customHeight="1" x14ac:dyDescent="0.2">
      <c r="A40" s="984">
        <v>34</v>
      </c>
      <c r="B40" s="985" t="s">
        <v>38</v>
      </c>
      <c r="C40" s="986">
        <f>IFERROR(VLOOKUP(A40,'[16]OJJ_Final ADM'!$A$5:$C$54,3,FALSE),0)</f>
        <v>1.5625009999999999</v>
      </c>
      <c r="D40" s="1246">
        <f>'3_Levels 1&amp;2'!AQ40</f>
        <v>7137.2907322345309</v>
      </c>
      <c r="E40" s="1246">
        <f t="shared" si="6"/>
        <v>9395.4166136194672</v>
      </c>
      <c r="F40" s="1246">
        <f t="shared" si="7"/>
        <v>10865.764005481662</v>
      </c>
      <c r="G40" s="1247">
        <f t="shared" si="12"/>
        <v>16978</v>
      </c>
      <c r="H40" s="1246">
        <f>('[4]5A3_OJJ'!J40*6)+('[7]5A3_OJJ'!J40*2)</f>
        <v>11320</v>
      </c>
      <c r="I40" s="1246">
        <f t="shared" si="2"/>
        <v>5658</v>
      </c>
      <c r="J40" s="1247">
        <f t="shared" si="13"/>
        <v>1415</v>
      </c>
      <c r="K40" s="1247">
        <f t="shared" si="8"/>
        <v>16978</v>
      </c>
      <c r="L40" s="987">
        <f>'3_Levels 1&amp;2'!AW40</f>
        <v>11731426</v>
      </c>
      <c r="M40" s="988">
        <f>'3_Levels 1&amp;2'!C40</f>
        <v>3701</v>
      </c>
      <c r="N40" s="988">
        <f t="shared" si="14"/>
        <v>3702.5625009999999</v>
      </c>
      <c r="O40" s="1237">
        <f t="shared" si="9"/>
        <v>3168.4613012829732</v>
      </c>
      <c r="P40" s="1238">
        <f t="shared" si="10"/>
        <v>4951</v>
      </c>
      <c r="Q40" s="1237">
        <f>('[4]5A3_OJJ'!S40*6)+('[7]5A3_OJJ'!S40*2)</f>
        <v>3302</v>
      </c>
      <c r="R40" s="1237">
        <f t="shared" si="11"/>
        <v>1649</v>
      </c>
      <c r="S40" s="1238">
        <f t="shared" si="15"/>
        <v>412</v>
      </c>
    </row>
    <row r="41" spans="1:19" ht="16.149999999999999" customHeight="1" x14ac:dyDescent="0.2">
      <c r="A41" s="989">
        <v>35</v>
      </c>
      <c r="B41" s="990" t="s">
        <v>39</v>
      </c>
      <c r="C41" s="991">
        <f>IFERROR(VLOOKUP(A41,'[16]OJJ_Final ADM'!$A$5:$C$54,3,FALSE),0)</f>
        <v>0.49479099999999998</v>
      </c>
      <c r="D41" s="1248">
        <f>'3_Levels 1&amp;2'!AQ41</f>
        <v>5612.6221341148075</v>
      </c>
      <c r="E41" s="1248">
        <f t="shared" si="6"/>
        <v>7388.3669901059329</v>
      </c>
      <c r="F41" s="1248">
        <f t="shared" si="7"/>
        <v>8858.7143819681278</v>
      </c>
      <c r="G41" s="1249">
        <f t="shared" si="12"/>
        <v>4383</v>
      </c>
      <c r="H41" s="1248">
        <f>('[4]5A3_OJJ'!J41*6)+('[7]5A3_OJJ'!J41*2)</f>
        <v>2922</v>
      </c>
      <c r="I41" s="1248">
        <f t="shared" si="2"/>
        <v>1461</v>
      </c>
      <c r="J41" s="1249">
        <f t="shared" si="13"/>
        <v>365</v>
      </c>
      <c r="K41" s="1249">
        <f t="shared" si="8"/>
        <v>4383</v>
      </c>
      <c r="L41" s="992">
        <f>'3_Levels 1&amp;2'!AW41</f>
        <v>21802610.739999998</v>
      </c>
      <c r="M41" s="993">
        <f>'3_Levels 1&amp;2'!C41</f>
        <v>5801</v>
      </c>
      <c r="N41" s="993">
        <f t="shared" si="14"/>
        <v>5801.4947910000001</v>
      </c>
      <c r="O41" s="1239">
        <f t="shared" si="9"/>
        <v>3758.1022694052776</v>
      </c>
      <c r="P41" s="1240">
        <f t="shared" si="10"/>
        <v>1859</v>
      </c>
      <c r="Q41" s="1239">
        <f>('[4]5A3_OJJ'!S41*6)+('[7]5A3_OJJ'!S41*2)</f>
        <v>1240</v>
      </c>
      <c r="R41" s="1239">
        <f t="shared" si="11"/>
        <v>619</v>
      </c>
      <c r="S41" s="1240">
        <f t="shared" si="15"/>
        <v>155</v>
      </c>
    </row>
    <row r="42" spans="1:19" ht="16.149999999999999" customHeight="1" x14ac:dyDescent="0.2">
      <c r="A42" s="979">
        <v>36</v>
      </c>
      <c r="B42" s="980" t="s">
        <v>40</v>
      </c>
      <c r="C42" s="981">
        <f>IFERROR(VLOOKUP(A42,'[16]OJJ_Final ADM'!$A$5:$C$54,3,FALSE),0)</f>
        <v>32.166671000000001</v>
      </c>
      <c r="D42" s="1242">
        <f>'3_Levels 1&amp;2'!AQ42</f>
        <v>4348.0566070273762</v>
      </c>
      <c r="E42" s="1242">
        <f t="shared" si="6"/>
        <v>5723.7129346744559</v>
      </c>
      <c r="F42" s="1242">
        <f t="shared" si="7"/>
        <v>7194.0603265366508</v>
      </c>
      <c r="G42" s="1243">
        <f t="shared" si="12"/>
        <v>231409</v>
      </c>
      <c r="H42" s="1244">
        <f>('[4]5A3_OJJ'!J42*6)+('[7]5A3_OJJ'!J42*2)</f>
        <v>151674</v>
      </c>
      <c r="I42" s="1244">
        <f t="shared" si="2"/>
        <v>79735</v>
      </c>
      <c r="J42" s="1245">
        <f t="shared" si="13"/>
        <v>19934</v>
      </c>
      <c r="K42" s="1243">
        <f t="shared" si="8"/>
        <v>231409</v>
      </c>
      <c r="L42" s="982">
        <f>'3_Levels 1&amp;2'!AW42</f>
        <v>221579734.41999999</v>
      </c>
      <c r="M42" s="983">
        <f>'3_Levels 1&amp;2'!C42</f>
        <v>46390</v>
      </c>
      <c r="N42" s="983">
        <f t="shared" si="14"/>
        <v>46422.166670999999</v>
      </c>
      <c r="O42" s="1235">
        <f t="shared" si="9"/>
        <v>4773.1450363005397</v>
      </c>
      <c r="P42" s="1236">
        <f t="shared" si="10"/>
        <v>153536</v>
      </c>
      <c r="Q42" s="1235">
        <f>('[4]5A3_OJJ'!S42*6)+('[7]5A3_OJJ'!S42*2)</f>
        <v>100634</v>
      </c>
      <c r="R42" s="1235">
        <f t="shared" si="11"/>
        <v>52902</v>
      </c>
      <c r="S42" s="1236">
        <f t="shared" si="15"/>
        <v>13226</v>
      </c>
    </row>
    <row r="43" spans="1:19" ht="16.149999999999999" customHeight="1" x14ac:dyDescent="0.2">
      <c r="A43" s="984">
        <v>37</v>
      </c>
      <c r="B43" s="985" t="s">
        <v>41</v>
      </c>
      <c r="C43" s="986">
        <f>IFERROR(VLOOKUP(A43,'[16]OJJ_Final ADM'!$A$5:$C$54,3,FALSE),0)</f>
        <v>9.046875</v>
      </c>
      <c r="D43" s="1246">
        <f>'3_Levels 1&amp;2'!AQ43</f>
        <v>6468.4062200956942</v>
      </c>
      <c r="E43" s="1246">
        <f t="shared" si="6"/>
        <v>8514.9076230638238</v>
      </c>
      <c r="F43" s="1246">
        <f t="shared" si="7"/>
        <v>9985.2550149260187</v>
      </c>
      <c r="G43" s="1247">
        <f t="shared" si="12"/>
        <v>90335</v>
      </c>
      <c r="H43" s="1246">
        <f>('[4]5A3_OJJ'!J43*6)+('[7]5A3_OJJ'!J43*2)</f>
        <v>55406</v>
      </c>
      <c r="I43" s="1246">
        <f t="shared" si="2"/>
        <v>34929</v>
      </c>
      <c r="J43" s="1247">
        <f t="shared" si="13"/>
        <v>8732</v>
      </c>
      <c r="K43" s="1247">
        <f t="shared" si="8"/>
        <v>90335</v>
      </c>
      <c r="L43" s="987">
        <f>'3_Levels 1&amp;2'!AW43</f>
        <v>58974141.960000001</v>
      </c>
      <c r="M43" s="988">
        <f>'3_Levels 1&amp;2'!C43</f>
        <v>18810</v>
      </c>
      <c r="N43" s="988">
        <f t="shared" si="14"/>
        <v>18819.046875</v>
      </c>
      <c r="O43" s="1237">
        <f t="shared" si="9"/>
        <v>3133.7475458623617</v>
      </c>
      <c r="P43" s="1238">
        <f t="shared" si="10"/>
        <v>28351</v>
      </c>
      <c r="Q43" s="1237">
        <f>('[4]5A3_OJJ'!S43*6)+('[7]5A3_OJJ'!S43*2)</f>
        <v>17390</v>
      </c>
      <c r="R43" s="1237">
        <f t="shared" si="11"/>
        <v>10961</v>
      </c>
      <c r="S43" s="1238">
        <f t="shared" si="15"/>
        <v>2740</v>
      </c>
    </row>
    <row r="44" spans="1:19" ht="16.149999999999999" customHeight="1" x14ac:dyDescent="0.2">
      <c r="A44" s="984">
        <v>38</v>
      </c>
      <c r="B44" s="985" t="s">
        <v>42</v>
      </c>
      <c r="C44" s="986">
        <f>IFERROR(VLOOKUP(A44,'[16]OJJ_Final ADM'!$A$5:$C$54,3,FALSE),0)</f>
        <v>0</v>
      </c>
      <c r="D44" s="1246">
        <f>'3_Levels 1&amp;2'!AQ44</f>
        <v>2806.7611211108256</v>
      </c>
      <c r="E44" s="1246">
        <f t="shared" si="6"/>
        <v>3694.7759390893916</v>
      </c>
      <c r="F44" s="1246">
        <f t="shared" si="7"/>
        <v>5165.1233309515865</v>
      </c>
      <c r="G44" s="1247">
        <f t="shared" si="12"/>
        <v>0</v>
      </c>
      <c r="H44" s="1246">
        <f>('[4]5A3_OJJ'!J44*6)+('[7]5A3_OJJ'!J44*2)</f>
        <v>0</v>
      </c>
      <c r="I44" s="1246">
        <f t="shared" si="2"/>
        <v>0</v>
      </c>
      <c r="J44" s="1247">
        <f t="shared" si="13"/>
        <v>0</v>
      </c>
      <c r="K44" s="1247">
        <f t="shared" si="8"/>
        <v>0</v>
      </c>
      <c r="L44" s="987">
        <f>'3_Levels 1&amp;2'!AW44</f>
        <v>26338807.960000001</v>
      </c>
      <c r="M44" s="988">
        <f>'3_Levels 1&amp;2'!C44</f>
        <v>3889</v>
      </c>
      <c r="N44" s="988">
        <f t="shared" si="14"/>
        <v>3889</v>
      </c>
      <c r="O44" s="1237">
        <f t="shared" si="9"/>
        <v>6772.6428284906151</v>
      </c>
      <c r="P44" s="1238">
        <f t="shared" si="10"/>
        <v>0</v>
      </c>
      <c r="Q44" s="1237">
        <f>('[4]5A3_OJJ'!S44*6)+('[7]5A3_OJJ'!S44*2)</f>
        <v>0</v>
      </c>
      <c r="R44" s="1237">
        <f t="shared" si="11"/>
        <v>0</v>
      </c>
      <c r="S44" s="1238">
        <f t="shared" si="15"/>
        <v>0</v>
      </c>
    </row>
    <row r="45" spans="1:19" ht="16.149999999999999" customHeight="1" x14ac:dyDescent="0.2">
      <c r="A45" s="984">
        <v>39</v>
      </c>
      <c r="B45" s="985" t="s">
        <v>43</v>
      </c>
      <c r="C45" s="986">
        <f>IFERROR(VLOOKUP(A45,'[16]OJJ_Final ADM'!$A$5:$C$54,3,FALSE),0)</f>
        <v>3.375</v>
      </c>
      <c r="D45" s="1246">
        <f>'3_Levels 1&amp;2'!AQ45</f>
        <v>3761.6990068754776</v>
      </c>
      <c r="E45" s="1246">
        <f t="shared" si="6"/>
        <v>4951.8410655479447</v>
      </c>
      <c r="F45" s="1246">
        <f t="shared" si="7"/>
        <v>6422.1884574101396</v>
      </c>
      <c r="G45" s="1247">
        <f t="shared" si="12"/>
        <v>21675</v>
      </c>
      <c r="H45" s="1246">
        <f>('[4]5A3_OJJ'!J45*6)+('[7]5A3_OJJ'!J45*2)</f>
        <v>14450</v>
      </c>
      <c r="I45" s="1246">
        <f t="shared" si="2"/>
        <v>7225</v>
      </c>
      <c r="J45" s="1247">
        <f t="shared" si="13"/>
        <v>1806</v>
      </c>
      <c r="K45" s="1247">
        <f t="shared" si="8"/>
        <v>21675</v>
      </c>
      <c r="L45" s="987">
        <f>'3_Levels 1&amp;2'!AW45</f>
        <v>15012521</v>
      </c>
      <c r="M45" s="988">
        <f>'3_Levels 1&amp;2'!C45</f>
        <v>2618</v>
      </c>
      <c r="N45" s="988">
        <f t="shared" si="14"/>
        <v>2621.375</v>
      </c>
      <c r="O45" s="1237">
        <f t="shared" si="9"/>
        <v>5726.9642840112538</v>
      </c>
      <c r="P45" s="1238">
        <f t="shared" si="10"/>
        <v>19329</v>
      </c>
      <c r="Q45" s="1237">
        <f>('[4]5A3_OJJ'!S45*6)+('[7]5A3_OJJ'!S45*2)</f>
        <v>12888</v>
      </c>
      <c r="R45" s="1237">
        <f t="shared" si="11"/>
        <v>6441</v>
      </c>
      <c r="S45" s="1238">
        <f t="shared" si="15"/>
        <v>1610</v>
      </c>
    </row>
    <row r="46" spans="1:19" ht="16.149999999999999" customHeight="1" x14ac:dyDescent="0.2">
      <c r="A46" s="989">
        <v>40</v>
      </c>
      <c r="B46" s="990" t="s">
        <v>44</v>
      </c>
      <c r="C46" s="991">
        <f>IFERROR(VLOOKUP(A46,'[16]OJJ_Final ADM'!$A$5:$C$54,3,FALSE),0)</f>
        <v>4.8541670000000003</v>
      </c>
      <c r="D46" s="1248">
        <f>'3_Levels 1&amp;2'!AQ46</f>
        <v>6118.9979114642456</v>
      </c>
      <c r="E46" s="1248">
        <f t="shared" si="6"/>
        <v>8054.952052944459</v>
      </c>
      <c r="F46" s="1248">
        <f t="shared" si="7"/>
        <v>9525.2994448066529</v>
      </c>
      <c r="G46" s="1249">
        <f t="shared" si="12"/>
        <v>46237</v>
      </c>
      <c r="H46" s="1248">
        <f>('[4]5A3_OJJ'!J46*6)+('[7]5A3_OJJ'!J46*2)</f>
        <v>27154</v>
      </c>
      <c r="I46" s="1248">
        <f t="shared" si="2"/>
        <v>19083</v>
      </c>
      <c r="J46" s="1249">
        <f t="shared" si="13"/>
        <v>4771</v>
      </c>
      <c r="K46" s="1249">
        <f t="shared" si="8"/>
        <v>46237</v>
      </c>
      <c r="L46" s="992">
        <f>'3_Levels 1&amp;2'!AW46</f>
        <v>74573370.319999993</v>
      </c>
      <c r="M46" s="993">
        <f>'3_Levels 1&amp;2'!C46</f>
        <v>22025</v>
      </c>
      <c r="N46" s="993">
        <f t="shared" si="14"/>
        <v>22029.854167000001</v>
      </c>
      <c r="O46" s="1239">
        <f t="shared" si="9"/>
        <v>3385.1050376769381</v>
      </c>
      <c r="P46" s="1240">
        <f t="shared" si="10"/>
        <v>16432</v>
      </c>
      <c r="Q46" s="1239">
        <f>('[4]5A3_OJJ'!S46*6)+('[7]5A3_OJJ'!S46*2)</f>
        <v>9650</v>
      </c>
      <c r="R46" s="1239">
        <f t="shared" si="11"/>
        <v>6782</v>
      </c>
      <c r="S46" s="1240">
        <f t="shared" si="15"/>
        <v>1696</v>
      </c>
    </row>
    <row r="47" spans="1:19" ht="16.149999999999999" customHeight="1" x14ac:dyDescent="0.2">
      <c r="A47" s="979">
        <v>41</v>
      </c>
      <c r="B47" s="980" t="s">
        <v>45</v>
      </c>
      <c r="C47" s="981">
        <f>IFERROR(VLOOKUP(A47,'[16]OJJ_Final ADM'!$A$5:$C$54,3,FALSE),0)</f>
        <v>0.72395799999999999</v>
      </c>
      <c r="D47" s="1242">
        <f>'3_Levels 1&amp;2'!AQ47</f>
        <v>3787.7527114967461</v>
      </c>
      <c r="E47" s="1242">
        <f t="shared" si="6"/>
        <v>4986.1377501623829</v>
      </c>
      <c r="F47" s="1242">
        <f t="shared" si="7"/>
        <v>6456.4851420245777</v>
      </c>
      <c r="G47" s="1243">
        <f t="shared" si="12"/>
        <v>4674</v>
      </c>
      <c r="H47" s="1244">
        <f>('[4]5A3_OJJ'!J47*6)+('[7]5A3_OJJ'!J47*2)</f>
        <v>3118</v>
      </c>
      <c r="I47" s="1244">
        <f t="shared" si="2"/>
        <v>1556</v>
      </c>
      <c r="J47" s="1245">
        <f t="shared" si="13"/>
        <v>389</v>
      </c>
      <c r="K47" s="1243">
        <f t="shared" si="8"/>
        <v>4674</v>
      </c>
      <c r="L47" s="982">
        <f>'3_Levels 1&amp;2'!AW47</f>
        <v>8261085.1799999997</v>
      </c>
      <c r="M47" s="983">
        <f>'3_Levels 1&amp;2'!C47</f>
        <v>1383</v>
      </c>
      <c r="N47" s="983">
        <f t="shared" si="14"/>
        <v>1383.723958</v>
      </c>
      <c r="O47" s="1235">
        <f t="shared" si="9"/>
        <v>5970.1829488739686</v>
      </c>
      <c r="P47" s="1236">
        <f t="shared" si="10"/>
        <v>4322</v>
      </c>
      <c r="Q47" s="1235">
        <f>('[4]5A3_OJJ'!S47*6)+('[7]5A3_OJJ'!S47*2)</f>
        <v>2880</v>
      </c>
      <c r="R47" s="1235">
        <f t="shared" si="11"/>
        <v>1442</v>
      </c>
      <c r="S47" s="1236">
        <f t="shared" si="15"/>
        <v>361</v>
      </c>
    </row>
    <row r="48" spans="1:19" ht="16.149999999999999" customHeight="1" x14ac:dyDescent="0.2">
      <c r="A48" s="984">
        <v>42</v>
      </c>
      <c r="B48" s="985" t="s">
        <v>46</v>
      </c>
      <c r="C48" s="986">
        <f>IFERROR(VLOOKUP(A48,'[16]OJJ_Final ADM'!$A$5:$C$54,3,FALSE),0)</f>
        <v>3.46875</v>
      </c>
      <c r="D48" s="1246">
        <f>'3_Levels 1&amp;2'!AQ48</f>
        <v>5576.1324117861041</v>
      </c>
      <c r="E48" s="1246">
        <f t="shared" si="6"/>
        <v>7340.332496870973</v>
      </c>
      <c r="F48" s="1246">
        <f t="shared" si="7"/>
        <v>8810.6798887331679</v>
      </c>
      <c r="G48" s="1247">
        <f t="shared" si="12"/>
        <v>30562</v>
      </c>
      <c r="H48" s="1246">
        <f>('[4]5A3_OJJ'!J48*6)+('[7]5A3_OJJ'!J48*2)</f>
        <v>20376</v>
      </c>
      <c r="I48" s="1246">
        <f t="shared" si="2"/>
        <v>10186</v>
      </c>
      <c r="J48" s="1247">
        <f t="shared" si="13"/>
        <v>2547</v>
      </c>
      <c r="K48" s="1247">
        <f t="shared" si="8"/>
        <v>30562</v>
      </c>
      <c r="L48" s="987">
        <f>'3_Levels 1&amp;2'!AW48</f>
        <v>11650785.619999999</v>
      </c>
      <c r="M48" s="988">
        <f>'3_Levels 1&amp;2'!C48</f>
        <v>2749</v>
      </c>
      <c r="N48" s="988">
        <f t="shared" si="14"/>
        <v>2752.46875</v>
      </c>
      <c r="O48" s="1237">
        <f t="shared" si="9"/>
        <v>4232.8493720410088</v>
      </c>
      <c r="P48" s="1238">
        <f t="shared" si="10"/>
        <v>14683</v>
      </c>
      <c r="Q48" s="1237">
        <f>('[4]5A3_OJJ'!S48*6)+('[7]5A3_OJJ'!S48*2)</f>
        <v>9790</v>
      </c>
      <c r="R48" s="1237">
        <f t="shared" si="11"/>
        <v>4893</v>
      </c>
      <c r="S48" s="1238">
        <f t="shared" si="15"/>
        <v>1223</v>
      </c>
    </row>
    <row r="49" spans="1:19" ht="16.149999999999999" customHeight="1" x14ac:dyDescent="0.2">
      <c r="A49" s="984">
        <v>43</v>
      </c>
      <c r="B49" s="985" t="s">
        <v>47</v>
      </c>
      <c r="C49" s="986">
        <f>IFERROR(VLOOKUP(A49,'[16]OJJ_Final ADM'!$A$5:$C$54,3,FALSE),0)</f>
        <v>0</v>
      </c>
      <c r="D49" s="1246">
        <f>'3_Levels 1&amp;2'!AQ49</f>
        <v>6742.8970696872693</v>
      </c>
      <c r="E49" s="1246">
        <f t="shared" si="6"/>
        <v>8876.2430352380434</v>
      </c>
      <c r="F49" s="1246">
        <f t="shared" si="7"/>
        <v>10346.590427100238</v>
      </c>
      <c r="G49" s="1247">
        <f t="shared" si="12"/>
        <v>0</v>
      </c>
      <c r="H49" s="1246">
        <f>('[4]5A3_OJJ'!J49*6)+('[7]5A3_OJJ'!J49*2)</f>
        <v>0</v>
      </c>
      <c r="I49" s="1246">
        <f t="shared" si="2"/>
        <v>0</v>
      </c>
      <c r="J49" s="1247">
        <f t="shared" si="13"/>
        <v>0</v>
      </c>
      <c r="K49" s="1247">
        <f t="shared" si="8"/>
        <v>0</v>
      </c>
      <c r="L49" s="987">
        <f>'3_Levels 1&amp;2'!AW49</f>
        <v>13976537.359999999</v>
      </c>
      <c r="M49" s="988">
        <f>'3_Levels 1&amp;2'!C49</f>
        <v>4061</v>
      </c>
      <c r="N49" s="988">
        <f t="shared" si="14"/>
        <v>4061</v>
      </c>
      <c r="O49" s="1237">
        <f t="shared" si="9"/>
        <v>3441.6491898547156</v>
      </c>
      <c r="P49" s="1238">
        <f t="shared" si="10"/>
        <v>0</v>
      </c>
      <c r="Q49" s="1237">
        <f>('[4]5A3_OJJ'!S49*6)+('[7]5A3_OJJ'!S49*2)</f>
        <v>0</v>
      </c>
      <c r="R49" s="1237">
        <f t="shared" si="11"/>
        <v>0</v>
      </c>
      <c r="S49" s="1238">
        <f t="shared" si="15"/>
        <v>0</v>
      </c>
    </row>
    <row r="50" spans="1:19" ht="16.149999999999999" customHeight="1" x14ac:dyDescent="0.2">
      <c r="A50" s="984">
        <v>44</v>
      </c>
      <c r="B50" s="985" t="s">
        <v>48</v>
      </c>
      <c r="C50" s="986">
        <f>IFERROR(VLOOKUP(A50,'[16]OJJ_Final ADM'!$A$5:$C$54,3,FALSE),0)</f>
        <v>1.119791</v>
      </c>
      <c r="D50" s="1246">
        <f>'3_Levels 1&amp;2'!AQ50</f>
        <v>5897.8287560581584</v>
      </c>
      <c r="E50" s="1246">
        <f t="shared" si="6"/>
        <v>7763.8084754889878</v>
      </c>
      <c r="F50" s="1246">
        <f t="shared" si="7"/>
        <v>9234.1558673511827</v>
      </c>
      <c r="G50" s="1247">
        <f t="shared" si="12"/>
        <v>10340</v>
      </c>
      <c r="H50" s="1246">
        <f>('[4]5A3_OJJ'!J50*6)+('[7]5A3_OJJ'!J50*2)</f>
        <v>6894</v>
      </c>
      <c r="I50" s="1246">
        <f t="shared" si="2"/>
        <v>3446</v>
      </c>
      <c r="J50" s="1247">
        <f t="shared" si="13"/>
        <v>862</v>
      </c>
      <c r="K50" s="1247">
        <f t="shared" si="8"/>
        <v>10340</v>
      </c>
      <c r="L50" s="987">
        <f>'3_Levels 1&amp;2'!AW50</f>
        <v>24853609.280000001</v>
      </c>
      <c r="M50" s="988">
        <f>'3_Levels 1&amp;2'!C50</f>
        <v>7428</v>
      </c>
      <c r="N50" s="988">
        <f t="shared" si="14"/>
        <v>7429.1197910000001</v>
      </c>
      <c r="O50" s="1237">
        <f t="shared" si="9"/>
        <v>3345.4312192016182</v>
      </c>
      <c r="P50" s="1238">
        <f t="shared" si="10"/>
        <v>3746</v>
      </c>
      <c r="Q50" s="1237">
        <f>('[4]5A3_OJJ'!S50*6)+('[7]5A3_OJJ'!S50*2)</f>
        <v>2496</v>
      </c>
      <c r="R50" s="1237">
        <f t="shared" si="11"/>
        <v>1250</v>
      </c>
      <c r="S50" s="1238">
        <f t="shared" si="15"/>
        <v>313</v>
      </c>
    </row>
    <row r="51" spans="1:19" ht="16.149999999999999" customHeight="1" x14ac:dyDescent="0.2">
      <c r="A51" s="989">
        <v>45</v>
      </c>
      <c r="B51" s="990" t="s">
        <v>49</v>
      </c>
      <c r="C51" s="991">
        <f>IFERROR(VLOOKUP(A51,'[16]OJJ_Final ADM'!$A$5:$C$54,3,FALSE),0)</f>
        <v>2.0833000000000001E-2</v>
      </c>
      <c r="D51" s="1248">
        <f>'3_Levels 1&amp;2'!AQ51</f>
        <v>3178.9888900758465</v>
      </c>
      <c r="E51" s="1248">
        <f t="shared" si="6"/>
        <v>4184.7706858060574</v>
      </c>
      <c r="F51" s="1248">
        <f t="shared" si="7"/>
        <v>5655.1180776682522</v>
      </c>
      <c r="G51" s="1249">
        <f t="shared" si="12"/>
        <v>118</v>
      </c>
      <c r="H51" s="1248">
        <f>('[4]5A3_OJJ'!J51*6)+('[7]5A3_OJJ'!J51*2)</f>
        <v>80</v>
      </c>
      <c r="I51" s="1248">
        <f t="shared" si="2"/>
        <v>38</v>
      </c>
      <c r="J51" s="1249">
        <f t="shared" si="13"/>
        <v>10</v>
      </c>
      <c r="K51" s="1249">
        <f t="shared" si="8"/>
        <v>118</v>
      </c>
      <c r="L51" s="992">
        <f>'3_Levels 1&amp;2'!AW51</f>
        <v>50423167.420000002</v>
      </c>
      <c r="M51" s="993">
        <f>'3_Levels 1&amp;2'!C51</f>
        <v>9361</v>
      </c>
      <c r="N51" s="993">
        <f t="shared" si="14"/>
        <v>9361.0208330000005</v>
      </c>
      <c r="O51" s="1239">
        <f t="shared" si="9"/>
        <v>5386.503066230277</v>
      </c>
      <c r="P51" s="1240">
        <f t="shared" si="10"/>
        <v>112</v>
      </c>
      <c r="Q51" s="1239">
        <f>('[4]5A3_OJJ'!S51*6)+('[7]5A3_OJJ'!S51*2)</f>
        <v>74</v>
      </c>
      <c r="R51" s="1239">
        <f t="shared" si="11"/>
        <v>38</v>
      </c>
      <c r="S51" s="1240">
        <f t="shared" si="15"/>
        <v>10</v>
      </c>
    </row>
    <row r="52" spans="1:19" ht="16.149999999999999" customHeight="1" x14ac:dyDescent="0.2">
      <c r="A52" s="979">
        <v>46</v>
      </c>
      <c r="B52" s="980" t="s">
        <v>50</v>
      </c>
      <c r="C52" s="981">
        <f>IFERROR(VLOOKUP(A52,'[16]OJJ_Final ADM'!$A$5:$C$54,3,FALSE),0)</f>
        <v>0</v>
      </c>
      <c r="D52" s="1242">
        <f>'3_Levels 1&amp;2'!AQ52</f>
        <v>8100.9071129707118</v>
      </c>
      <c r="E52" s="1242">
        <f t="shared" si="6"/>
        <v>10663.905973571615</v>
      </c>
      <c r="F52" s="1242">
        <f t="shared" si="7"/>
        <v>12134.253365433809</v>
      </c>
      <c r="G52" s="1243">
        <f t="shared" si="12"/>
        <v>0</v>
      </c>
      <c r="H52" s="1244">
        <f>('[4]5A3_OJJ'!J52*6)+('[7]5A3_OJJ'!J52*2)</f>
        <v>0</v>
      </c>
      <c r="I52" s="1244">
        <f t="shared" si="2"/>
        <v>0</v>
      </c>
      <c r="J52" s="1245">
        <f t="shared" si="13"/>
        <v>0</v>
      </c>
      <c r="K52" s="1243">
        <f t="shared" si="8"/>
        <v>0</v>
      </c>
      <c r="L52" s="982">
        <f>'3_Levels 1&amp;2'!AW52</f>
        <v>3557186</v>
      </c>
      <c r="M52" s="983">
        <f>'3_Levels 1&amp;2'!C52</f>
        <v>1195</v>
      </c>
      <c r="N52" s="983">
        <f t="shared" si="14"/>
        <v>1195</v>
      </c>
      <c r="O52" s="1235">
        <f t="shared" si="9"/>
        <v>2976.7246861924687</v>
      </c>
      <c r="P52" s="1236">
        <f t="shared" si="10"/>
        <v>0</v>
      </c>
      <c r="Q52" s="1235">
        <f>('[4]5A3_OJJ'!S52*6)+('[7]5A3_OJJ'!S52*2)</f>
        <v>0</v>
      </c>
      <c r="R52" s="1235">
        <f t="shared" si="11"/>
        <v>0</v>
      </c>
      <c r="S52" s="1236">
        <f t="shared" si="15"/>
        <v>0</v>
      </c>
    </row>
    <row r="53" spans="1:19" ht="16.149999999999999" customHeight="1" x14ac:dyDescent="0.2">
      <c r="A53" s="984">
        <v>47</v>
      </c>
      <c r="B53" s="985" t="s">
        <v>51</v>
      </c>
      <c r="C53" s="986">
        <f>IFERROR(VLOOKUP(A53,'[16]OJJ_Final ADM'!$A$5:$C$54,3,FALSE),0)</f>
        <v>0</v>
      </c>
      <c r="D53" s="1246">
        <f>'3_Levels 1&amp;2'!AQ53</f>
        <v>3405.4076987917956</v>
      </c>
      <c r="E53" s="1246">
        <f t="shared" si="6"/>
        <v>4482.8248238332671</v>
      </c>
      <c r="F53" s="1246">
        <f t="shared" si="7"/>
        <v>5953.172215695462</v>
      </c>
      <c r="G53" s="1247">
        <f t="shared" si="12"/>
        <v>0</v>
      </c>
      <c r="H53" s="1246">
        <f>('[4]5A3_OJJ'!J53*6)+('[7]5A3_OJJ'!J53*2)</f>
        <v>0</v>
      </c>
      <c r="I53" s="1246">
        <f t="shared" si="2"/>
        <v>0</v>
      </c>
      <c r="J53" s="1247">
        <f t="shared" si="13"/>
        <v>0</v>
      </c>
      <c r="K53" s="1247">
        <f t="shared" si="8"/>
        <v>0</v>
      </c>
      <c r="L53" s="987">
        <f>'3_Levels 1&amp;2'!AW53</f>
        <v>21905474.859999999</v>
      </c>
      <c r="M53" s="988">
        <f>'3_Levels 1&amp;2'!C53</f>
        <v>3559</v>
      </c>
      <c r="N53" s="988">
        <f t="shared" si="14"/>
        <v>3559</v>
      </c>
      <c r="O53" s="1237">
        <f t="shared" si="9"/>
        <v>6154.9521944366397</v>
      </c>
      <c r="P53" s="1238">
        <f t="shared" si="10"/>
        <v>0</v>
      </c>
      <c r="Q53" s="1237">
        <f>('[4]5A3_OJJ'!S53*6)+('[7]5A3_OJJ'!S53*2)</f>
        <v>0</v>
      </c>
      <c r="R53" s="1237">
        <f t="shared" si="11"/>
        <v>0</v>
      </c>
      <c r="S53" s="1238">
        <f t="shared" si="15"/>
        <v>0</v>
      </c>
    </row>
    <row r="54" spans="1:19" ht="16.149999999999999" customHeight="1" x14ac:dyDescent="0.2">
      <c r="A54" s="984">
        <v>48</v>
      </c>
      <c r="B54" s="985" t="s">
        <v>73</v>
      </c>
      <c r="C54" s="986">
        <f>IFERROR(VLOOKUP(A54,'[16]OJJ_Final ADM'!$A$5:$C$54,3,FALSE),0)</f>
        <v>0</v>
      </c>
      <c r="D54" s="1246">
        <f>'3_Levels 1&amp;2'!AQ54</f>
        <v>5278.4568980291342</v>
      </c>
      <c r="E54" s="1246">
        <f t="shared" si="6"/>
        <v>6948.4771595524762</v>
      </c>
      <c r="F54" s="1246">
        <f t="shared" si="7"/>
        <v>8418.8245514146711</v>
      </c>
      <c r="G54" s="1247">
        <f t="shared" si="12"/>
        <v>0</v>
      </c>
      <c r="H54" s="1246">
        <f>('[4]5A3_OJJ'!J54*6)+('[7]5A3_OJJ'!J54*2)</f>
        <v>0</v>
      </c>
      <c r="I54" s="1246">
        <f t="shared" si="2"/>
        <v>0</v>
      </c>
      <c r="J54" s="1247">
        <f t="shared" si="13"/>
        <v>0</v>
      </c>
      <c r="K54" s="1247">
        <f t="shared" si="8"/>
        <v>0</v>
      </c>
      <c r="L54" s="987">
        <f>'3_Levels 1&amp;2'!AW54</f>
        <v>25765630.100000001</v>
      </c>
      <c r="M54" s="988">
        <f>'3_Levels 1&amp;2'!C54</f>
        <v>5835</v>
      </c>
      <c r="N54" s="988">
        <f t="shared" si="14"/>
        <v>5835</v>
      </c>
      <c r="O54" s="1237">
        <f t="shared" si="9"/>
        <v>4415.7035304198807</v>
      </c>
      <c r="P54" s="1238">
        <f t="shared" si="10"/>
        <v>0</v>
      </c>
      <c r="Q54" s="1237">
        <f>('[4]5A3_OJJ'!S54*6)+('[7]5A3_OJJ'!S54*2)</f>
        <v>0</v>
      </c>
      <c r="R54" s="1237">
        <f t="shared" si="11"/>
        <v>0</v>
      </c>
      <c r="S54" s="1238">
        <f t="shared" si="15"/>
        <v>0</v>
      </c>
    </row>
    <row r="55" spans="1:19" ht="16.149999999999999" customHeight="1" x14ac:dyDescent="0.2">
      <c r="A55" s="984">
        <v>49</v>
      </c>
      <c r="B55" s="985" t="s">
        <v>52</v>
      </c>
      <c r="C55" s="986">
        <f>IFERROR(VLOOKUP(A55,'[16]OJJ_Final ADM'!$A$5:$C$54,3,FALSE),0)</f>
        <v>1.28125</v>
      </c>
      <c r="D55" s="1246">
        <f>'3_Levels 1&amp;2'!AQ55</f>
        <v>5925.1713985278657</v>
      </c>
      <c r="E55" s="1246">
        <f t="shared" si="6"/>
        <v>7799.8018974971337</v>
      </c>
      <c r="F55" s="1246">
        <f t="shared" si="7"/>
        <v>9270.1492893593277</v>
      </c>
      <c r="G55" s="1247">
        <f t="shared" si="12"/>
        <v>11877</v>
      </c>
      <c r="H55" s="1246">
        <f>('[4]5A3_OJJ'!J55*6)+('[7]5A3_OJJ'!J55*2)</f>
        <v>7920</v>
      </c>
      <c r="I55" s="1246">
        <f t="shared" si="2"/>
        <v>3957</v>
      </c>
      <c r="J55" s="1247">
        <f t="shared" si="13"/>
        <v>989</v>
      </c>
      <c r="K55" s="1247">
        <f t="shared" si="8"/>
        <v>11877</v>
      </c>
      <c r="L55" s="987">
        <f>'3_Levels 1&amp;2'!AW55</f>
        <v>37161980</v>
      </c>
      <c r="M55" s="988">
        <f>'3_Levels 1&amp;2'!C55</f>
        <v>13314</v>
      </c>
      <c r="N55" s="988">
        <f t="shared" si="14"/>
        <v>13315.28125</v>
      </c>
      <c r="O55" s="1237">
        <f t="shared" si="9"/>
        <v>2790.9271537167119</v>
      </c>
      <c r="P55" s="1238">
        <f t="shared" si="10"/>
        <v>3576</v>
      </c>
      <c r="Q55" s="1237">
        <f>('[4]5A3_OJJ'!S55*6)+('[7]5A3_OJJ'!S55*2)</f>
        <v>2384</v>
      </c>
      <c r="R55" s="1237">
        <f t="shared" si="11"/>
        <v>1192</v>
      </c>
      <c r="S55" s="1238">
        <f t="shared" si="15"/>
        <v>298</v>
      </c>
    </row>
    <row r="56" spans="1:19" ht="16.149999999999999" customHeight="1" x14ac:dyDescent="0.2">
      <c r="A56" s="989">
        <v>50</v>
      </c>
      <c r="B56" s="990" t="s">
        <v>53</v>
      </c>
      <c r="C56" s="991">
        <f>IFERROR(VLOOKUP(A56,'[16]OJJ_Final ADM'!$A$5:$C$54,3,FALSE),0)</f>
        <v>0</v>
      </c>
      <c r="D56" s="1248">
        <f>'3_Levels 1&amp;2'!AQ56</f>
        <v>5825.7847029244413</v>
      </c>
      <c r="E56" s="1248">
        <f t="shared" si="6"/>
        <v>7668.9708236236993</v>
      </c>
      <c r="F56" s="1248">
        <f t="shared" si="7"/>
        <v>9139.3182154858951</v>
      </c>
      <c r="G56" s="1249">
        <f t="shared" si="12"/>
        <v>0</v>
      </c>
      <c r="H56" s="1248">
        <f>('[4]5A3_OJJ'!J56*6)+('[7]5A3_OJJ'!J56*2)</f>
        <v>0</v>
      </c>
      <c r="I56" s="1248">
        <f t="shared" si="2"/>
        <v>0</v>
      </c>
      <c r="J56" s="1249">
        <f t="shared" si="13"/>
        <v>0</v>
      </c>
      <c r="K56" s="1249">
        <f t="shared" si="8"/>
        <v>0</v>
      </c>
      <c r="L56" s="992">
        <f>'3_Levels 1&amp;2'!AW56</f>
        <v>26171133.66</v>
      </c>
      <c r="M56" s="993">
        <f>'3_Levels 1&amp;2'!C56</f>
        <v>7557</v>
      </c>
      <c r="N56" s="993">
        <f t="shared" si="14"/>
        <v>7557</v>
      </c>
      <c r="O56" s="1239">
        <f t="shared" si="9"/>
        <v>3463.1644382691543</v>
      </c>
      <c r="P56" s="1240">
        <f t="shared" si="10"/>
        <v>0</v>
      </c>
      <c r="Q56" s="1239">
        <f>('[4]5A3_OJJ'!S56*6)+('[7]5A3_OJJ'!S56*2)</f>
        <v>0</v>
      </c>
      <c r="R56" s="1239">
        <f t="shared" si="11"/>
        <v>0</v>
      </c>
      <c r="S56" s="1240">
        <f t="shared" si="15"/>
        <v>0</v>
      </c>
    </row>
    <row r="57" spans="1:19" ht="16.149999999999999" customHeight="1" x14ac:dyDescent="0.2">
      <c r="A57" s="979">
        <v>51</v>
      </c>
      <c r="B57" s="980" t="s">
        <v>54</v>
      </c>
      <c r="C57" s="981">
        <f>IFERROR(VLOOKUP(A57,'[16]OJJ_Final ADM'!$A$5:$C$54,3,FALSE),0)</f>
        <v>0</v>
      </c>
      <c r="D57" s="1242">
        <f>'3_Levels 1&amp;2'!AQ57</f>
        <v>5970.5846637639088</v>
      </c>
      <c r="E57" s="1242">
        <f t="shared" si="6"/>
        <v>7859.5832014519247</v>
      </c>
      <c r="F57" s="1242">
        <f t="shared" si="7"/>
        <v>9329.9305933141186</v>
      </c>
      <c r="G57" s="1243">
        <f t="shared" si="12"/>
        <v>0</v>
      </c>
      <c r="H57" s="1244">
        <f>('[4]5A3_OJJ'!J57*6)+('[7]5A3_OJJ'!J57*2)</f>
        <v>0</v>
      </c>
      <c r="I57" s="1244">
        <f t="shared" si="2"/>
        <v>0</v>
      </c>
      <c r="J57" s="1245">
        <f t="shared" si="13"/>
        <v>0</v>
      </c>
      <c r="K57" s="1243">
        <f t="shared" si="8"/>
        <v>0</v>
      </c>
      <c r="L57" s="982">
        <f>'3_Levels 1&amp;2'!AW57</f>
        <v>32021816.640000001</v>
      </c>
      <c r="M57" s="983">
        <f>'3_Levels 1&amp;2'!C57</f>
        <v>8268</v>
      </c>
      <c r="N57" s="983">
        <f t="shared" si="14"/>
        <v>8268</v>
      </c>
      <c r="O57" s="1235">
        <f t="shared" si="9"/>
        <v>3872.9821770682147</v>
      </c>
      <c r="P57" s="1236">
        <f t="shared" si="10"/>
        <v>0</v>
      </c>
      <c r="Q57" s="1235">
        <f>('[4]5A3_OJJ'!S57*6)+('[7]5A3_OJJ'!S57*2)</f>
        <v>0</v>
      </c>
      <c r="R57" s="1235">
        <f t="shared" si="11"/>
        <v>0</v>
      </c>
      <c r="S57" s="1236">
        <f t="shared" si="15"/>
        <v>0</v>
      </c>
    </row>
    <row r="58" spans="1:19" ht="16.149999999999999" customHeight="1" x14ac:dyDescent="0.2">
      <c r="A58" s="984">
        <v>52</v>
      </c>
      <c r="B58" s="985" t="s">
        <v>55</v>
      </c>
      <c r="C58" s="986">
        <f>IFERROR(VLOOKUP(A58,'[16]OJJ_Final ADM'!$A$5:$C$54,3,FALSE),0)</f>
        <v>2.6822919999999999</v>
      </c>
      <c r="D58" s="1246">
        <f>'3_Levels 1&amp;2'!AQ58</f>
        <v>5837.7864945119045</v>
      </c>
      <c r="E58" s="1246">
        <f t="shared" si="6"/>
        <v>7684.7697922105863</v>
      </c>
      <c r="F58" s="1246">
        <f t="shared" si="7"/>
        <v>9155.1171840727802</v>
      </c>
      <c r="G58" s="1247">
        <f t="shared" si="12"/>
        <v>24557</v>
      </c>
      <c r="H58" s="1246">
        <f>('[4]5A3_OJJ'!J58*6)+('[7]5A3_OJJ'!J58*2)</f>
        <v>16370</v>
      </c>
      <c r="I58" s="1246">
        <f t="shared" si="2"/>
        <v>8187</v>
      </c>
      <c r="J58" s="1247">
        <f t="shared" si="13"/>
        <v>2047</v>
      </c>
      <c r="K58" s="1247">
        <f t="shared" si="8"/>
        <v>24557</v>
      </c>
      <c r="L58" s="987">
        <f>'3_Levels 1&amp;2'!AW58</f>
        <v>144123032.19999999</v>
      </c>
      <c r="M58" s="988">
        <f>'3_Levels 1&amp;2'!C58</f>
        <v>37718</v>
      </c>
      <c r="N58" s="988">
        <f t="shared" si="14"/>
        <v>37720.682291999998</v>
      </c>
      <c r="O58" s="1237">
        <f>L58/N58</f>
        <v>3820.796004810506</v>
      </c>
      <c r="P58" s="1238">
        <f t="shared" si="10"/>
        <v>10248</v>
      </c>
      <c r="Q58" s="1237">
        <f>('[4]5A3_OJJ'!S58*6)+('[7]5A3_OJJ'!S58*2)</f>
        <v>6832</v>
      </c>
      <c r="R58" s="1237">
        <f t="shared" si="11"/>
        <v>3416</v>
      </c>
      <c r="S58" s="1238">
        <f t="shared" si="15"/>
        <v>854</v>
      </c>
    </row>
    <row r="59" spans="1:19" ht="16.149999999999999" customHeight="1" x14ac:dyDescent="0.2">
      <c r="A59" s="984">
        <v>53</v>
      </c>
      <c r="B59" s="985" t="s">
        <v>56</v>
      </c>
      <c r="C59" s="986">
        <f>IFERROR(VLOOKUP(A59,'[16]OJJ_Final ADM'!$A$5:$C$54,3,FALSE),0)</f>
        <v>1.057291</v>
      </c>
      <c r="D59" s="1246">
        <f>'3_Levels 1&amp;2'!AQ59</f>
        <v>5982.3319472252169</v>
      </c>
      <c r="E59" s="1246">
        <f t="shared" si="6"/>
        <v>7875.0471395676586</v>
      </c>
      <c r="F59" s="1246">
        <f t="shared" si="7"/>
        <v>9345.3945314298544</v>
      </c>
      <c r="G59" s="1247">
        <f t="shared" si="12"/>
        <v>9881</v>
      </c>
      <c r="H59" s="1246">
        <f>('[4]5A3_OJJ'!J59*6)+('[7]5A3_OJJ'!J59*2)</f>
        <v>6586</v>
      </c>
      <c r="I59" s="1246">
        <f t="shared" si="2"/>
        <v>3295</v>
      </c>
      <c r="J59" s="1247">
        <f t="shared" si="13"/>
        <v>824</v>
      </c>
      <c r="K59" s="1247">
        <f t="shared" si="8"/>
        <v>9881</v>
      </c>
      <c r="L59" s="987">
        <f>'3_Levels 1&amp;2'!AW59</f>
        <v>51610471</v>
      </c>
      <c r="M59" s="988">
        <f>'3_Levels 1&amp;2'!C59</f>
        <v>19479</v>
      </c>
      <c r="N59" s="988">
        <f t="shared" si="14"/>
        <v>19480.057291000001</v>
      </c>
      <c r="O59" s="1237">
        <f t="shared" si="9"/>
        <v>2649.400370287648</v>
      </c>
      <c r="P59" s="1238">
        <f t="shared" si="10"/>
        <v>2801</v>
      </c>
      <c r="Q59" s="1237">
        <f>('[4]5A3_OJJ'!S59*6)+('[7]5A3_OJJ'!S59*2)</f>
        <v>1866</v>
      </c>
      <c r="R59" s="1237">
        <f t="shared" si="11"/>
        <v>935</v>
      </c>
      <c r="S59" s="1238">
        <f t="shared" si="15"/>
        <v>234</v>
      </c>
    </row>
    <row r="60" spans="1:19" ht="16.149999999999999" customHeight="1" x14ac:dyDescent="0.2">
      <c r="A60" s="984">
        <v>54</v>
      </c>
      <c r="B60" s="985" t="s">
        <v>57</v>
      </c>
      <c r="C60" s="986">
        <f>IFERROR(VLOOKUP(A60,'[16]OJJ_Final ADM'!$A$5:$C$54,3,FALSE),0)</f>
        <v>0</v>
      </c>
      <c r="D60" s="1246">
        <f>'3_Levels 1&amp;2'!AQ60</f>
        <v>6533.6728395061727</v>
      </c>
      <c r="E60" s="1246">
        <f t="shared" si="6"/>
        <v>8600.8235683894818</v>
      </c>
      <c r="F60" s="1246">
        <f t="shared" si="7"/>
        <v>10071.170960251677</v>
      </c>
      <c r="G60" s="1247">
        <f t="shared" si="12"/>
        <v>0</v>
      </c>
      <c r="H60" s="1246">
        <f>('[4]5A3_OJJ'!J60*6)+('[7]5A3_OJJ'!J60*2)</f>
        <v>0</v>
      </c>
      <c r="I60" s="1246">
        <f t="shared" si="2"/>
        <v>0</v>
      </c>
      <c r="J60" s="1247">
        <f t="shared" si="13"/>
        <v>0</v>
      </c>
      <c r="K60" s="1247">
        <f t="shared" si="8"/>
        <v>0</v>
      </c>
      <c r="L60" s="987">
        <f>'3_Levels 1&amp;2'!AW60</f>
        <v>2377245.12</v>
      </c>
      <c r="M60" s="988">
        <f>'3_Levels 1&amp;2'!C60</f>
        <v>486</v>
      </c>
      <c r="N60" s="988">
        <f t="shared" si="14"/>
        <v>486</v>
      </c>
      <c r="O60" s="1237">
        <f t="shared" si="9"/>
        <v>4891.4508641975308</v>
      </c>
      <c r="P60" s="1238">
        <f t="shared" si="10"/>
        <v>0</v>
      </c>
      <c r="Q60" s="1237">
        <f>('[4]5A3_OJJ'!S60*6)+('[7]5A3_OJJ'!S60*2)</f>
        <v>0</v>
      </c>
      <c r="R60" s="1237">
        <f t="shared" si="11"/>
        <v>0</v>
      </c>
      <c r="S60" s="1238">
        <f t="shared" si="15"/>
        <v>0</v>
      </c>
    </row>
    <row r="61" spans="1:19" ht="16.149999999999999" customHeight="1" x14ac:dyDescent="0.2">
      <c r="A61" s="989">
        <v>55</v>
      </c>
      <c r="B61" s="990" t="s">
        <v>58</v>
      </c>
      <c r="C61" s="991">
        <f>IFERROR(VLOOKUP(A61,'[16]OJJ_Final ADM'!$A$5:$C$54,3,FALSE),0)</f>
        <v>4.8802079999999997</v>
      </c>
      <c r="D61" s="1248">
        <f>'3_Levels 1&amp;2'!AQ61</f>
        <v>5552.7122649955236</v>
      </c>
      <c r="E61" s="1248">
        <f t="shared" si="6"/>
        <v>7309.502586124051</v>
      </c>
      <c r="F61" s="1248">
        <f t="shared" si="7"/>
        <v>8779.8499779862468</v>
      </c>
      <c r="G61" s="1249">
        <f t="shared" si="12"/>
        <v>42847</v>
      </c>
      <c r="H61" s="1248">
        <f>('[4]5A3_OJJ'!J61*6)+('[7]5A3_OJJ'!J61*2)</f>
        <v>28566</v>
      </c>
      <c r="I61" s="1248">
        <f t="shared" si="2"/>
        <v>14281</v>
      </c>
      <c r="J61" s="1249">
        <f t="shared" si="13"/>
        <v>3570</v>
      </c>
      <c r="K61" s="1249">
        <f t="shared" si="8"/>
        <v>42847</v>
      </c>
      <c r="L61" s="992">
        <f>'3_Levels 1&amp;2'!AW61</f>
        <v>62517924.140000001</v>
      </c>
      <c r="M61" s="993">
        <f>'3_Levels 1&amp;2'!C61</f>
        <v>16755</v>
      </c>
      <c r="N61" s="993">
        <f t="shared" si="14"/>
        <v>16759.880207999999</v>
      </c>
      <c r="O61" s="1239">
        <f t="shared" si="9"/>
        <v>3730.2130662102404</v>
      </c>
      <c r="P61" s="1240">
        <f t="shared" si="10"/>
        <v>18204</v>
      </c>
      <c r="Q61" s="1239">
        <f>('[4]5A3_OJJ'!S61*6)+('[7]5A3_OJJ'!S61*2)</f>
        <v>12136</v>
      </c>
      <c r="R61" s="1239">
        <f t="shared" si="11"/>
        <v>6068</v>
      </c>
      <c r="S61" s="1240">
        <f t="shared" si="15"/>
        <v>1517</v>
      </c>
    </row>
    <row r="62" spans="1:19" ht="16.149999999999999" customHeight="1" x14ac:dyDescent="0.2">
      <c r="A62" s="979">
        <v>56</v>
      </c>
      <c r="B62" s="980" t="s">
        <v>59</v>
      </c>
      <c r="C62" s="981">
        <f>IFERROR(VLOOKUP(A62,'[16]OJJ_Final ADM'!$A$5:$C$54,3,FALSE),0)</f>
        <v>0</v>
      </c>
      <c r="D62" s="1242">
        <f>'3_Levels 1&amp;2'!AQ62</f>
        <v>6702.708724832215</v>
      </c>
      <c r="E62" s="1242">
        <f t="shared" si="6"/>
        <v>8823.3397338186787</v>
      </c>
      <c r="F62" s="1242">
        <f t="shared" si="7"/>
        <v>10293.687125680874</v>
      </c>
      <c r="G62" s="1243">
        <f t="shared" si="12"/>
        <v>0</v>
      </c>
      <c r="H62" s="1244">
        <f>('[4]5A3_OJJ'!J62*6)+('[7]5A3_OJJ'!J62*2)</f>
        <v>0</v>
      </c>
      <c r="I62" s="1244">
        <f t="shared" si="2"/>
        <v>0</v>
      </c>
      <c r="J62" s="1245">
        <f t="shared" si="13"/>
        <v>0</v>
      </c>
      <c r="K62" s="1243">
        <f t="shared" si="8"/>
        <v>0</v>
      </c>
      <c r="L62" s="982">
        <f>'3_Levels 1&amp;2'!AW62</f>
        <v>10377939.76</v>
      </c>
      <c r="M62" s="983">
        <f>'3_Levels 1&amp;2'!C62</f>
        <v>2980</v>
      </c>
      <c r="N62" s="983">
        <f t="shared" si="14"/>
        <v>2980</v>
      </c>
      <c r="O62" s="1235">
        <f t="shared" si="9"/>
        <v>3482.5301208053693</v>
      </c>
      <c r="P62" s="1236">
        <f t="shared" si="10"/>
        <v>0</v>
      </c>
      <c r="Q62" s="1235">
        <f>('[4]5A3_OJJ'!S62*6)+('[7]5A3_OJJ'!S62*2)</f>
        <v>0</v>
      </c>
      <c r="R62" s="1235">
        <f t="shared" si="11"/>
        <v>0</v>
      </c>
      <c r="S62" s="1236">
        <f t="shared" si="15"/>
        <v>0</v>
      </c>
    </row>
    <row r="63" spans="1:19" ht="16.149999999999999" customHeight="1" x14ac:dyDescent="0.2">
      <c r="A63" s="984">
        <v>57</v>
      </c>
      <c r="B63" s="985" t="s">
        <v>60</v>
      </c>
      <c r="C63" s="986">
        <f>IFERROR(VLOOKUP(A63,'[16]OJJ_Final ADM'!$A$5:$C$54,3,FALSE),0)</f>
        <v>0</v>
      </c>
      <c r="D63" s="1246">
        <f>'3_Levels 1&amp;2'!AQ63</f>
        <v>6037.6347150259071</v>
      </c>
      <c r="E63" s="1246">
        <f t="shared" si="6"/>
        <v>7947.8468282544427</v>
      </c>
      <c r="F63" s="1246">
        <f t="shared" si="7"/>
        <v>9418.1942201166385</v>
      </c>
      <c r="G63" s="1247">
        <f t="shared" si="12"/>
        <v>0</v>
      </c>
      <c r="H63" s="1246">
        <f>('[4]5A3_OJJ'!J63*6)+('[7]5A3_OJJ'!J63*2)</f>
        <v>0</v>
      </c>
      <c r="I63" s="1246">
        <f t="shared" si="2"/>
        <v>0</v>
      </c>
      <c r="J63" s="1247">
        <f t="shared" si="13"/>
        <v>0</v>
      </c>
      <c r="K63" s="1247">
        <f t="shared" si="8"/>
        <v>0</v>
      </c>
      <c r="L63" s="987">
        <f>'3_Levels 1&amp;2'!AW63</f>
        <v>24618984</v>
      </c>
      <c r="M63" s="988">
        <f>'3_Levels 1&amp;2'!C63</f>
        <v>9264</v>
      </c>
      <c r="N63" s="988">
        <f t="shared" si="14"/>
        <v>9264</v>
      </c>
      <c r="O63" s="1237">
        <f t="shared" si="9"/>
        <v>2657.4896373056995</v>
      </c>
      <c r="P63" s="1238">
        <f t="shared" si="10"/>
        <v>0</v>
      </c>
      <c r="Q63" s="1237">
        <f>('[4]5A3_OJJ'!S63*6)+('[7]5A3_OJJ'!S63*2)</f>
        <v>0</v>
      </c>
      <c r="R63" s="1237">
        <f t="shared" si="11"/>
        <v>0</v>
      </c>
      <c r="S63" s="1238">
        <f t="shared" si="15"/>
        <v>0</v>
      </c>
    </row>
    <row r="64" spans="1:19" ht="16.149999999999999" customHeight="1" x14ac:dyDescent="0.2">
      <c r="A64" s="984">
        <v>58</v>
      </c>
      <c r="B64" s="985" t="s">
        <v>61</v>
      </c>
      <c r="C64" s="986">
        <f>IFERROR(VLOOKUP(A64,'[16]OJJ_Final ADM'!$A$5:$C$54,3,FALSE),0)</f>
        <v>2.5052080000000001</v>
      </c>
      <c r="D64" s="1246">
        <f>'3_Levels 1&amp;2'!AQ64</f>
        <v>6733.4968436687705</v>
      </c>
      <c r="E64" s="1246">
        <f t="shared" si="6"/>
        <v>8863.8687264114324</v>
      </c>
      <c r="F64" s="1246">
        <f t="shared" si="7"/>
        <v>10334.216118273627</v>
      </c>
      <c r="G64" s="1247">
        <f t="shared" si="12"/>
        <v>25889</v>
      </c>
      <c r="H64" s="1246">
        <f>('[4]5A3_OJJ'!J64*6)+('[7]5A3_OJJ'!J64*2)</f>
        <v>17258</v>
      </c>
      <c r="I64" s="1246">
        <f t="shared" si="2"/>
        <v>8631</v>
      </c>
      <c r="J64" s="1247">
        <f t="shared" si="13"/>
        <v>2158</v>
      </c>
      <c r="K64" s="1247">
        <f t="shared" si="8"/>
        <v>25889</v>
      </c>
      <c r="L64" s="987">
        <f>'3_Levels 1&amp;2'!AW64</f>
        <v>19470881</v>
      </c>
      <c r="M64" s="988">
        <f>'3_Levels 1&amp;2'!C64</f>
        <v>8079</v>
      </c>
      <c r="N64" s="988">
        <f t="shared" si="14"/>
        <v>8081.5052079999996</v>
      </c>
      <c r="O64" s="1237">
        <f t="shared" si="9"/>
        <v>2409.3136734881382</v>
      </c>
      <c r="P64" s="1238">
        <f t="shared" si="10"/>
        <v>6036</v>
      </c>
      <c r="Q64" s="1237">
        <f>('[4]5A3_OJJ'!S64*6)+('[7]5A3_OJJ'!S64*2)</f>
        <v>4024</v>
      </c>
      <c r="R64" s="1237">
        <f t="shared" si="11"/>
        <v>2012</v>
      </c>
      <c r="S64" s="1238">
        <f t="shared" si="15"/>
        <v>503</v>
      </c>
    </row>
    <row r="65" spans="1:19" ht="16.149999999999999" customHeight="1" x14ac:dyDescent="0.2">
      <c r="A65" s="984">
        <v>59</v>
      </c>
      <c r="B65" s="985" t="s">
        <v>62</v>
      </c>
      <c r="C65" s="986">
        <f>IFERROR(VLOOKUP(A65,'[16]OJJ_Final ADM'!$A$5:$C$54,3,FALSE),0)</f>
        <v>1.494793</v>
      </c>
      <c r="D65" s="1246">
        <f>'3_Levels 1&amp;2'!AQ65</f>
        <v>7324.8114444665207</v>
      </c>
      <c r="E65" s="1246">
        <f t="shared" si="6"/>
        <v>9642.2659127723127</v>
      </c>
      <c r="F65" s="1246">
        <f t="shared" si="7"/>
        <v>11112.613304634508</v>
      </c>
      <c r="G65" s="1247">
        <f t="shared" si="12"/>
        <v>16611</v>
      </c>
      <c r="H65" s="1246">
        <f>('[4]5A3_OJJ'!J65*6)+('[7]5A3_OJJ'!J65*2)</f>
        <v>11074</v>
      </c>
      <c r="I65" s="1246">
        <f t="shared" si="2"/>
        <v>5537</v>
      </c>
      <c r="J65" s="1247">
        <f t="shared" si="13"/>
        <v>1384</v>
      </c>
      <c r="K65" s="1247">
        <f t="shared" si="8"/>
        <v>16611</v>
      </c>
      <c r="L65" s="987">
        <f>'3_Levels 1&amp;2'!AW65</f>
        <v>7964501</v>
      </c>
      <c r="M65" s="988">
        <f>'3_Levels 1&amp;2'!C65</f>
        <v>5033</v>
      </c>
      <c r="N65" s="988">
        <f t="shared" si="14"/>
        <v>5034.4947929999998</v>
      </c>
      <c r="O65" s="1237">
        <f t="shared" si="9"/>
        <v>1581.9861430930275</v>
      </c>
      <c r="P65" s="1238">
        <f t="shared" si="10"/>
        <v>2365</v>
      </c>
      <c r="Q65" s="1237">
        <f>('[4]5A3_OJJ'!S65*6)+('[7]5A3_OJJ'!S65*2)</f>
        <v>1576</v>
      </c>
      <c r="R65" s="1237">
        <f t="shared" si="11"/>
        <v>789</v>
      </c>
      <c r="S65" s="1238">
        <f t="shared" si="15"/>
        <v>197</v>
      </c>
    </row>
    <row r="66" spans="1:19" ht="16.149999999999999" customHeight="1" x14ac:dyDescent="0.2">
      <c r="A66" s="989">
        <v>60</v>
      </c>
      <c r="B66" s="990" t="s">
        <v>63</v>
      </c>
      <c r="C66" s="991">
        <f>IFERROR(VLOOKUP(A66,'[16]OJJ_Final ADM'!$A$5:$C$54,3,FALSE),0)</f>
        <v>0.953125</v>
      </c>
      <c r="D66" s="1248">
        <f>'3_Levels 1&amp;2'!AQ66</f>
        <v>6226.4855994641657</v>
      </c>
      <c r="E66" s="1248">
        <f t="shared" si="6"/>
        <v>8196.4471450573474</v>
      </c>
      <c r="F66" s="1248">
        <f t="shared" si="7"/>
        <v>9666.7945369195422</v>
      </c>
      <c r="G66" s="1249">
        <f t="shared" si="12"/>
        <v>9214</v>
      </c>
      <c r="H66" s="1248">
        <f>('[4]5A3_OJJ'!J66*6)+('[7]5A3_OJJ'!J66*2)</f>
        <v>6144</v>
      </c>
      <c r="I66" s="1248">
        <f t="shared" si="2"/>
        <v>3070</v>
      </c>
      <c r="J66" s="1249">
        <f t="shared" si="13"/>
        <v>768</v>
      </c>
      <c r="K66" s="1249">
        <f t="shared" si="8"/>
        <v>9214</v>
      </c>
      <c r="L66" s="992">
        <f>'3_Levels 1&amp;2'!AW66</f>
        <v>21247566.239999998</v>
      </c>
      <c r="M66" s="993">
        <f>'3_Levels 1&amp;2'!C66</f>
        <v>5972</v>
      </c>
      <c r="N66" s="993">
        <f t="shared" si="14"/>
        <v>5972.953125</v>
      </c>
      <c r="O66" s="1239">
        <f t="shared" si="9"/>
        <v>3557.2966663789107</v>
      </c>
      <c r="P66" s="1240">
        <f t="shared" si="10"/>
        <v>3391</v>
      </c>
      <c r="Q66" s="1239">
        <f>('[4]5A3_OJJ'!S66*6)+('[7]5A3_OJJ'!S66*2)</f>
        <v>2262</v>
      </c>
      <c r="R66" s="1239">
        <f t="shared" si="11"/>
        <v>1129</v>
      </c>
      <c r="S66" s="1240">
        <f t="shared" si="15"/>
        <v>282</v>
      </c>
    </row>
    <row r="67" spans="1:19" ht="16.149999999999999" customHeight="1" x14ac:dyDescent="0.2">
      <c r="A67" s="979">
        <v>61</v>
      </c>
      <c r="B67" s="980" t="s">
        <v>64</v>
      </c>
      <c r="C67" s="981">
        <f>IFERROR(VLOOKUP(A67,'[16]OJJ_Final ADM'!$A$5:$C$54,3,FALSE),0)</f>
        <v>0.61458299999999999</v>
      </c>
      <c r="D67" s="1242">
        <f>'3_Levels 1&amp;2'!AQ67</f>
        <v>3773.825907590759</v>
      </c>
      <c r="E67" s="1242">
        <f t="shared" si="6"/>
        <v>4967.8047258115639</v>
      </c>
      <c r="F67" s="1242">
        <f t="shared" si="7"/>
        <v>6438.1521176737588</v>
      </c>
      <c r="G67" s="1243">
        <f t="shared" si="12"/>
        <v>3957</v>
      </c>
      <c r="H67" s="1244">
        <f>('[4]5A3_OJJ'!J67*6)+('[7]5A3_OJJ'!J67*2)</f>
        <v>2640</v>
      </c>
      <c r="I67" s="1244">
        <f t="shared" si="2"/>
        <v>1317</v>
      </c>
      <c r="J67" s="1245">
        <f t="shared" si="13"/>
        <v>329</v>
      </c>
      <c r="K67" s="1243">
        <f t="shared" si="8"/>
        <v>3957</v>
      </c>
      <c r="L67" s="982">
        <f>'3_Levels 1&amp;2'!AW67</f>
        <v>19736130.34</v>
      </c>
      <c r="M67" s="983">
        <f>'3_Levels 1&amp;2'!C67</f>
        <v>3636</v>
      </c>
      <c r="N67" s="983">
        <f t="shared" si="14"/>
        <v>3636.614583</v>
      </c>
      <c r="O67" s="1235">
        <f t="shared" si="9"/>
        <v>5427.0613202344957</v>
      </c>
      <c r="P67" s="1236">
        <f t="shared" si="10"/>
        <v>3335</v>
      </c>
      <c r="Q67" s="1235">
        <f>('[4]5A3_OJJ'!S67*6)+('[7]5A3_OJJ'!S67*2)</f>
        <v>2224</v>
      </c>
      <c r="R67" s="1235">
        <f t="shared" si="11"/>
        <v>1111</v>
      </c>
      <c r="S67" s="1236">
        <f t="shared" si="15"/>
        <v>278</v>
      </c>
    </row>
    <row r="68" spans="1:19" ht="16.149999999999999" customHeight="1" x14ac:dyDescent="0.2">
      <c r="A68" s="984">
        <v>62</v>
      </c>
      <c r="B68" s="985" t="s">
        <v>65</v>
      </c>
      <c r="C68" s="986">
        <f>IFERROR(VLOOKUP(A68,'[16]OJJ_Final ADM'!$A$5:$C$54,3,FALSE),0)</f>
        <v>1.234375</v>
      </c>
      <c r="D68" s="1246">
        <f>'3_Levels 1&amp;2'!AQ68</f>
        <v>6802.9604261796039</v>
      </c>
      <c r="E68" s="1246">
        <f t="shared" si="6"/>
        <v>8955.3094875697607</v>
      </c>
      <c r="F68" s="1246">
        <f t="shared" si="7"/>
        <v>10425.656879431956</v>
      </c>
      <c r="G68" s="1247">
        <f t="shared" si="12"/>
        <v>12869</v>
      </c>
      <c r="H68" s="1246">
        <f>('[4]5A3_OJJ'!J68*6)+('[7]5A3_OJJ'!J68*2)</f>
        <v>8578</v>
      </c>
      <c r="I68" s="1246">
        <f t="shared" si="2"/>
        <v>4291</v>
      </c>
      <c r="J68" s="1247">
        <f t="shared" si="13"/>
        <v>1073</v>
      </c>
      <c r="K68" s="1247">
        <f t="shared" si="8"/>
        <v>12869</v>
      </c>
      <c r="L68" s="987">
        <f>'3_Levels 1&amp;2'!AW68</f>
        <v>4415592</v>
      </c>
      <c r="M68" s="988">
        <f>'3_Levels 1&amp;2'!C68</f>
        <v>1971</v>
      </c>
      <c r="N68" s="988">
        <f t="shared" si="14"/>
        <v>1972.234375</v>
      </c>
      <c r="O68" s="1237">
        <f t="shared" si="9"/>
        <v>2238.8779224071682</v>
      </c>
      <c r="P68" s="1238">
        <f t="shared" si="10"/>
        <v>2764</v>
      </c>
      <c r="Q68" s="1237">
        <f>('[4]5A3_OJJ'!S68*6)+('[7]5A3_OJJ'!S68*2)</f>
        <v>1842</v>
      </c>
      <c r="R68" s="1237">
        <f t="shared" si="11"/>
        <v>922</v>
      </c>
      <c r="S68" s="1238">
        <f t="shared" si="15"/>
        <v>231</v>
      </c>
    </row>
    <row r="69" spans="1:19" ht="16.149999999999999" customHeight="1" x14ac:dyDescent="0.2">
      <c r="A69" s="984">
        <v>63</v>
      </c>
      <c r="B69" s="985" t="s">
        <v>66</v>
      </c>
      <c r="C69" s="986">
        <f>IFERROR(VLOOKUP(A69,'[16]OJJ_Final ADM'!$A$5:$C$54,3,FALSE),0)</f>
        <v>0</v>
      </c>
      <c r="D69" s="1246">
        <f>'3_Levels 1&amp;2'!AQ69</f>
        <v>4674.0746691871454</v>
      </c>
      <c r="E69" s="1246">
        <f t="shared" si="6"/>
        <v>6152.8779543536994</v>
      </c>
      <c r="F69" s="1246">
        <f t="shared" si="7"/>
        <v>7623.2253462158942</v>
      </c>
      <c r="G69" s="1247">
        <f t="shared" si="12"/>
        <v>0</v>
      </c>
      <c r="H69" s="1246">
        <f>('[4]5A3_OJJ'!J69*6)+('[7]5A3_OJJ'!J69*2)</f>
        <v>0</v>
      </c>
      <c r="I69" s="1246">
        <f t="shared" si="2"/>
        <v>0</v>
      </c>
      <c r="J69" s="1247">
        <f t="shared" si="13"/>
        <v>0</v>
      </c>
      <c r="K69" s="1247">
        <f t="shared" si="8"/>
        <v>0</v>
      </c>
      <c r="L69" s="987">
        <f>'3_Levels 1&amp;2'!AW69</f>
        <v>10748586.52</v>
      </c>
      <c r="M69" s="988">
        <f>'3_Levels 1&amp;2'!C69</f>
        <v>2116</v>
      </c>
      <c r="N69" s="988">
        <f t="shared" si="14"/>
        <v>2116</v>
      </c>
      <c r="O69" s="1237">
        <f t="shared" si="9"/>
        <v>5079.6722684310016</v>
      </c>
      <c r="P69" s="1238">
        <f t="shared" si="10"/>
        <v>0</v>
      </c>
      <c r="Q69" s="1237">
        <f>('[4]5A3_OJJ'!S69*6)+('[7]5A3_OJJ'!S69*2)</f>
        <v>0</v>
      </c>
      <c r="R69" s="1237">
        <f t="shared" si="11"/>
        <v>0</v>
      </c>
      <c r="S69" s="1238">
        <f t="shared" si="15"/>
        <v>0</v>
      </c>
    </row>
    <row r="70" spans="1:19" ht="16.149999999999999" customHeight="1" x14ac:dyDescent="0.2">
      <c r="A70" s="984">
        <v>64</v>
      </c>
      <c r="B70" s="985" t="s">
        <v>67</v>
      </c>
      <c r="C70" s="986">
        <f>IFERROR(VLOOKUP(A70,'[16]OJJ_Final ADM'!$A$5:$C$54,3,FALSE),0)</f>
        <v>1</v>
      </c>
      <c r="D70" s="1246">
        <f>'3_Levels 1&amp;2'!AQ70</f>
        <v>7119.8170090778785</v>
      </c>
      <c r="E70" s="1246">
        <f t="shared" si="6"/>
        <v>9372.4144808765286</v>
      </c>
      <c r="F70" s="1246">
        <f t="shared" si="7"/>
        <v>10842.761872738723</v>
      </c>
      <c r="G70" s="1247">
        <f t="shared" si="12"/>
        <v>10843</v>
      </c>
      <c r="H70" s="1246">
        <f>('[4]5A3_OJJ'!J70*6)+('[7]5A3_OJJ'!J70*2)</f>
        <v>7230</v>
      </c>
      <c r="I70" s="1246">
        <f t="shared" si="2"/>
        <v>3613</v>
      </c>
      <c r="J70" s="1247">
        <f t="shared" si="13"/>
        <v>903</v>
      </c>
      <c r="K70" s="1247">
        <f t="shared" si="8"/>
        <v>10843</v>
      </c>
      <c r="L70" s="987">
        <f>'3_Levels 1&amp;2'!AW70</f>
        <v>6699360</v>
      </c>
      <c r="M70" s="988">
        <f>'3_Levels 1&amp;2'!C70</f>
        <v>2093</v>
      </c>
      <c r="N70" s="988">
        <f t="shared" si="14"/>
        <v>2094</v>
      </c>
      <c r="O70" s="1237">
        <f t="shared" si="9"/>
        <v>3199.3123209169053</v>
      </c>
      <c r="P70" s="1238">
        <f t="shared" si="10"/>
        <v>3199</v>
      </c>
      <c r="Q70" s="1237">
        <f>('[4]5A3_OJJ'!S70*6)+('[7]5A3_OJJ'!S70*2)</f>
        <v>2134</v>
      </c>
      <c r="R70" s="1237">
        <f t="shared" si="11"/>
        <v>1065</v>
      </c>
      <c r="S70" s="1238">
        <f t="shared" si="15"/>
        <v>266</v>
      </c>
    </row>
    <row r="71" spans="1:19" ht="16.149999999999999" customHeight="1" x14ac:dyDescent="0.2">
      <c r="A71" s="989">
        <v>65</v>
      </c>
      <c r="B71" s="990" t="s">
        <v>68</v>
      </c>
      <c r="C71" s="991">
        <f>IFERROR(VLOOKUP(A71,'[16]OJJ_Final ADM'!$A$5:$C$54,3,FALSE),0)</f>
        <v>3.453125</v>
      </c>
      <c r="D71" s="1248">
        <f>'3_Levels 1&amp;2'!AQ71</f>
        <v>5807.3633731906857</v>
      </c>
      <c r="E71" s="1248">
        <f t="shared" si="6"/>
        <v>7644.7212765730492</v>
      </c>
      <c r="F71" s="1248">
        <f t="shared" si="7"/>
        <v>9115.068668435244</v>
      </c>
      <c r="G71" s="1249">
        <f>ROUND(C71*F71,0)</f>
        <v>31475</v>
      </c>
      <c r="H71" s="1248">
        <f>('[4]5A3_OJJ'!J71*6)+('[7]5A3_OJJ'!J71*2)</f>
        <v>25384</v>
      </c>
      <c r="I71" s="1248">
        <f>G71-H71</f>
        <v>6091</v>
      </c>
      <c r="J71" s="1249">
        <f>ROUND(I71/$J$86,0)</f>
        <v>1523</v>
      </c>
      <c r="K71" s="1249">
        <f t="shared" si="8"/>
        <v>31475</v>
      </c>
      <c r="L71" s="992">
        <f>'3_Levels 1&amp;2'!AW71</f>
        <v>33092341.920000002</v>
      </c>
      <c r="M71" s="993">
        <f>'3_Levels 1&amp;2'!C71</f>
        <v>7945</v>
      </c>
      <c r="N71" s="993">
        <f>C71+M71</f>
        <v>7948.453125</v>
      </c>
      <c r="O71" s="1239">
        <f t="shared" si="9"/>
        <v>4163.3688215277743</v>
      </c>
      <c r="P71" s="1240">
        <f t="shared" si="10"/>
        <v>14377</v>
      </c>
      <c r="Q71" s="1239">
        <f>('[4]5A3_OJJ'!S71*6)+('[7]5A3_OJJ'!S71*2)</f>
        <v>11592</v>
      </c>
      <c r="R71" s="1239">
        <f t="shared" si="11"/>
        <v>2785</v>
      </c>
      <c r="S71" s="1240">
        <f>ROUND(R71/$S$86,0)</f>
        <v>696</v>
      </c>
    </row>
    <row r="72" spans="1:19" ht="16.149999999999999" customHeight="1" x14ac:dyDescent="0.2">
      <c r="A72" s="979">
        <v>66</v>
      </c>
      <c r="B72" s="980" t="s">
        <v>69</v>
      </c>
      <c r="C72" s="981">
        <f>IFERROR(VLOOKUP(A72,'[16]OJJ_Final ADM'!$A$5:$C$54,3,FALSE),0)</f>
        <v>0</v>
      </c>
      <c r="D72" s="1242">
        <f>'3_Levels 1&amp;2'!AQ72</f>
        <v>7538.838235294118</v>
      </c>
      <c r="E72" s="1242">
        <f>D72*(1+$E$3)</f>
        <v>9924.0073944832166</v>
      </c>
      <c r="F72" s="1242">
        <f>E72+$F$3</f>
        <v>11394.354786345411</v>
      </c>
      <c r="G72" s="1243">
        <f>ROUND(C72*F72,0)</f>
        <v>0</v>
      </c>
      <c r="H72" s="1244">
        <f>('[4]5A3_OJJ'!J72*6)+('[7]5A3_OJJ'!J72*2)</f>
        <v>0</v>
      </c>
      <c r="I72" s="1244">
        <f>G72-H72</f>
        <v>0</v>
      </c>
      <c r="J72" s="1245">
        <f>ROUND(I72/$J$86,0)</f>
        <v>0</v>
      </c>
      <c r="K72" s="1243">
        <f>G72</f>
        <v>0</v>
      </c>
      <c r="L72" s="982">
        <f>'3_Levels 1&amp;2'!AW72</f>
        <v>8123289.0800000001</v>
      </c>
      <c r="M72" s="983">
        <f>'3_Levels 1&amp;2'!C72</f>
        <v>1904</v>
      </c>
      <c r="N72" s="983">
        <f>C72+M72</f>
        <v>1904</v>
      </c>
      <c r="O72" s="1235">
        <f>L72/N72</f>
        <v>4266.4333403361343</v>
      </c>
      <c r="P72" s="1236">
        <f>ROUND(C72*O72,0)</f>
        <v>0</v>
      </c>
      <c r="Q72" s="1235">
        <f>('[4]5A3_OJJ'!S72*6)+('[7]5A3_OJJ'!S72*2)</f>
        <v>0</v>
      </c>
      <c r="R72" s="1235">
        <f>P72-Q72</f>
        <v>0</v>
      </c>
      <c r="S72" s="1236">
        <f>ROUND(R72/$S$86,0)</f>
        <v>0</v>
      </c>
    </row>
    <row r="73" spans="1:19" ht="16.149999999999999" customHeight="1" x14ac:dyDescent="0.2">
      <c r="A73" s="984">
        <v>67</v>
      </c>
      <c r="B73" s="985" t="s">
        <v>2</v>
      </c>
      <c r="C73" s="986">
        <f>IFERROR(VLOOKUP(A73,'[16]OJJ_Final ADM'!$A$5:$C$54,3,FALSE),0)</f>
        <v>0.35416599999999998</v>
      </c>
      <c r="D73" s="1246">
        <f>'3_Levels 1&amp;2'!AQ73</f>
        <v>5975.7827687776144</v>
      </c>
      <c r="E73" s="1246">
        <f>D73*(1+$E$3)</f>
        <v>7866.4259046620573</v>
      </c>
      <c r="F73" s="1246">
        <f>E73+$F$3</f>
        <v>9336.7732965242521</v>
      </c>
      <c r="G73" s="1247">
        <f>ROUND(C73*F73,0)</f>
        <v>3307</v>
      </c>
      <c r="H73" s="1246">
        <f>('[4]5A3_OJJ'!J73*6)+('[7]5A3_OJJ'!J73*2)</f>
        <v>8430</v>
      </c>
      <c r="I73" s="1246">
        <f>G73-H73</f>
        <v>-5123</v>
      </c>
      <c r="J73" s="1247">
        <f>ROUND(I73/$J$86,0)</f>
        <v>-1281</v>
      </c>
      <c r="K73" s="1247">
        <f>G73</f>
        <v>3307</v>
      </c>
      <c r="L73" s="987">
        <f>'3_Levels 1&amp;2'!AW73</f>
        <v>18468167.84</v>
      </c>
      <c r="M73" s="988">
        <f>'3_Levels 1&amp;2'!C73</f>
        <v>5432</v>
      </c>
      <c r="N73" s="988">
        <f>C73+M73</f>
        <v>5432.3541660000001</v>
      </c>
      <c r="O73" s="1237">
        <f>L73/N73</f>
        <v>3399.6619652651711</v>
      </c>
      <c r="P73" s="1238">
        <f>ROUND(C73*O73,0)</f>
        <v>1204</v>
      </c>
      <c r="Q73" s="1237">
        <f>('[4]5A3_OJJ'!S73*6)+('[7]5A3_OJJ'!S73*2)</f>
        <v>3070</v>
      </c>
      <c r="R73" s="1237">
        <f>P73-Q73</f>
        <v>-1866</v>
      </c>
      <c r="S73" s="1238">
        <f>ROUND(R73/$S$86,0)</f>
        <v>-467</v>
      </c>
    </row>
    <row r="74" spans="1:19" ht="16.149999999999999" customHeight="1" x14ac:dyDescent="0.2">
      <c r="A74" s="984">
        <v>68</v>
      </c>
      <c r="B74" s="994" t="s">
        <v>1</v>
      </c>
      <c r="C74" s="986">
        <f>IFERROR(VLOOKUP(A74,'[16]OJJ_Final ADM'!$A$5:$C$54,3,FALSE),0)</f>
        <v>0</v>
      </c>
      <c r="D74" s="1246">
        <f>'3_Levels 1&amp;2'!AQ74</f>
        <v>7390.6584022038569</v>
      </c>
      <c r="E74" s="1246">
        <f>D74*(1+$E$3)</f>
        <v>9728.9458062909525</v>
      </c>
      <c r="F74" s="1246">
        <f>E74+$F$3</f>
        <v>11199.293198153147</v>
      </c>
      <c r="G74" s="1247">
        <f>ROUND(C74*F74,0)</f>
        <v>0</v>
      </c>
      <c r="H74" s="1246">
        <f>('[4]5A3_OJJ'!J74*6)+('[7]5A3_OJJ'!J74*2)</f>
        <v>6066</v>
      </c>
      <c r="I74" s="1246">
        <f>G74-H74</f>
        <v>-6066</v>
      </c>
      <c r="J74" s="1247">
        <f>ROUND(I74/$J$86,0)</f>
        <v>-1517</v>
      </c>
      <c r="K74" s="1247">
        <f>G74</f>
        <v>0</v>
      </c>
      <c r="L74" s="987">
        <f>'3_Levels 1&amp;2'!AW74</f>
        <v>5516960</v>
      </c>
      <c r="M74" s="988">
        <f>'3_Levels 1&amp;2'!C74</f>
        <v>1815</v>
      </c>
      <c r="N74" s="988">
        <f>C74+M74</f>
        <v>1815</v>
      </c>
      <c r="O74" s="1237">
        <f>L74/N74</f>
        <v>3039.64738292011</v>
      </c>
      <c r="P74" s="1238">
        <f>ROUND(C74*O74,0)</f>
        <v>0</v>
      </c>
      <c r="Q74" s="1237">
        <f>('[4]5A3_OJJ'!S74*6)+('[7]5A3_OJJ'!S74*2)</f>
        <v>1648</v>
      </c>
      <c r="R74" s="1237">
        <f>P74-Q74</f>
        <v>-1648</v>
      </c>
      <c r="S74" s="1238">
        <f>ROUND(R74/$S$86,0)</f>
        <v>-412</v>
      </c>
    </row>
    <row r="75" spans="1:19" ht="16.149999999999999" customHeight="1" x14ac:dyDescent="0.2">
      <c r="A75" s="984">
        <v>69</v>
      </c>
      <c r="B75" s="985" t="s">
        <v>74</v>
      </c>
      <c r="C75" s="986">
        <f>IFERROR(VLOOKUP(A75,'[16]OJJ_Final ADM'!$A$5:$C$54,3,FALSE),0)</f>
        <v>0</v>
      </c>
      <c r="D75" s="1246">
        <f>'3_Levels 1&amp;2'!AQ75</f>
        <v>6779.8177768349597</v>
      </c>
      <c r="E75" s="1246">
        <f>D75*(1+$E$3)</f>
        <v>8924.8448700708796</v>
      </c>
      <c r="F75" s="1246">
        <f>E75+$F$3</f>
        <v>10395.192261933074</v>
      </c>
      <c r="G75" s="1247">
        <f>ROUND(C75*F75,0)</f>
        <v>0</v>
      </c>
      <c r="H75" s="1246">
        <f>('[4]5A3_OJJ'!J75*6)+('[7]5A3_OJJ'!J75*2)</f>
        <v>0</v>
      </c>
      <c r="I75" s="1246">
        <f>G75-H75</f>
        <v>0</v>
      </c>
      <c r="J75" s="1247">
        <f>ROUND(I75/$J$86,0)</f>
        <v>0</v>
      </c>
      <c r="K75" s="1247">
        <f>G75</f>
        <v>0</v>
      </c>
      <c r="L75" s="987">
        <f>'3_Levels 1&amp;2'!AW75</f>
        <v>13713382.18</v>
      </c>
      <c r="M75" s="988">
        <f>'3_Levels 1&amp;2'!C75</f>
        <v>4714</v>
      </c>
      <c r="N75" s="988">
        <f>C75+M75</f>
        <v>4714</v>
      </c>
      <c r="O75" s="1237">
        <f>L75/N75</f>
        <v>2909.0755579126007</v>
      </c>
      <c r="P75" s="1238">
        <f>ROUND(C75*O75,0)</f>
        <v>0</v>
      </c>
      <c r="Q75" s="1237">
        <f>('[4]5A3_OJJ'!S75*6)+('[7]5A3_OJJ'!S75*2)</f>
        <v>0</v>
      </c>
      <c r="R75" s="1237">
        <f>P75-Q75</f>
        <v>0</v>
      </c>
      <c r="S75" s="1238">
        <f>ROUND(R75/$S$86,0)</f>
        <v>0</v>
      </c>
    </row>
    <row r="76" spans="1:19" s="1280" customFormat="1" ht="16.149999999999999" customHeight="1" thickBot="1" x14ac:dyDescent="0.25">
      <c r="A76" s="1408" t="s">
        <v>397</v>
      </c>
      <c r="B76" s="1409"/>
      <c r="C76" s="995">
        <f>SUM(C7:C75)</f>
        <v>189.53125199999999</v>
      </c>
      <c r="D76" s="432">
        <f>'3_Levels 1&amp;2'!AQ76</f>
        <v>5367.9973424873142</v>
      </c>
      <c r="E76" s="418">
        <f>D76*(1+$E$3)</f>
        <v>7066.3467841782158</v>
      </c>
      <c r="F76" s="418">
        <f>E76+$F$3</f>
        <v>8536.6941760404115</v>
      </c>
      <c r="G76" s="1250">
        <f t="shared" ref="G76:N76" si="16">SUM(G7:G75)</f>
        <v>1560080</v>
      </c>
      <c r="H76" s="415">
        <f t="shared" si="16"/>
        <v>1033018</v>
      </c>
      <c r="I76" s="415">
        <f t="shared" si="16"/>
        <v>527062</v>
      </c>
      <c r="J76" s="1250">
        <f t="shared" si="16"/>
        <v>131769</v>
      </c>
      <c r="K76" s="1251">
        <f t="shared" si="16"/>
        <v>1560080</v>
      </c>
      <c r="L76" s="996">
        <f t="shared" si="16"/>
        <v>2628696369.0999994</v>
      </c>
      <c r="M76" s="411">
        <f t="shared" si="16"/>
        <v>681088</v>
      </c>
      <c r="N76" s="411">
        <f t="shared" si="16"/>
        <v>681277.53125200002</v>
      </c>
      <c r="O76" s="432">
        <f>L76/N76</f>
        <v>3858.4809398736243</v>
      </c>
      <c r="P76" s="997">
        <f t="shared" ref="P76:S76" si="17">SUM(P7:P75)</f>
        <v>771485</v>
      </c>
      <c r="Q76" s="164">
        <f t="shared" si="17"/>
        <v>507764</v>
      </c>
      <c r="R76" s="998">
        <f t="shared" si="17"/>
        <v>263721</v>
      </c>
      <c r="S76" s="997">
        <f t="shared" si="17"/>
        <v>65932</v>
      </c>
    </row>
    <row r="77" spans="1:19" s="1280" customFormat="1" ht="16.149999999999999" customHeight="1" thickTop="1" x14ac:dyDescent="0.2">
      <c r="A77" s="1454" t="s">
        <v>1273</v>
      </c>
      <c r="B77" s="1455"/>
      <c r="C77" s="999"/>
      <c r="D77" s="1252"/>
      <c r="E77" s="1252"/>
      <c r="F77" s="1252"/>
      <c r="G77" s="1253">
        <v>67664</v>
      </c>
      <c r="H77" s="1252">
        <f>('[4]5A3_OJJ'!J77*6)+('[7]5A3_OJJ'!J77*2)</f>
        <v>42610</v>
      </c>
      <c r="I77" s="1252">
        <f>G77-H77</f>
        <v>25054</v>
      </c>
      <c r="J77" s="1253">
        <f>ROUND(I77/$J$86,0)</f>
        <v>6264</v>
      </c>
      <c r="K77" s="1253">
        <v>67664</v>
      </c>
      <c r="L77" s="1000"/>
      <c r="M77" s="1001"/>
      <c r="N77" s="1001"/>
      <c r="O77" s="1241"/>
      <c r="P77" s="1241"/>
      <c r="Q77" s="1241"/>
      <c r="R77" s="1241"/>
      <c r="S77" s="1241"/>
    </row>
    <row r="78" spans="1:19" s="1280" customFormat="1" ht="16.149999999999999" customHeight="1" x14ac:dyDescent="0.2">
      <c r="A78" s="1429" t="s">
        <v>357</v>
      </c>
      <c r="B78" s="1430"/>
      <c r="C78" s="1002"/>
      <c r="D78" s="1006"/>
      <c r="E78" s="1006"/>
      <c r="F78" s="1006"/>
      <c r="G78" s="791"/>
      <c r="H78" s="791"/>
      <c r="I78" s="790"/>
      <c r="J78" s="791"/>
      <c r="K78" s="791"/>
      <c r="L78" s="1003"/>
      <c r="M78" s="1004"/>
      <c r="N78" s="1004"/>
      <c r="O78" s="1005"/>
      <c r="P78" s="1006"/>
      <c r="Q78" s="1005"/>
      <c r="R78" s="1006"/>
      <c r="S78" s="1006"/>
    </row>
    <row r="79" spans="1:19" s="1280" customFormat="1" ht="16.149999999999999" customHeight="1" x14ac:dyDescent="0.2">
      <c r="A79" s="1427" t="s">
        <v>358</v>
      </c>
      <c r="B79" s="1428"/>
      <c r="C79" s="1007"/>
      <c r="D79" s="423"/>
      <c r="E79" s="423"/>
      <c r="F79" s="423"/>
      <c r="G79" s="142">
        <v>0</v>
      </c>
      <c r="H79" s="791">
        <f>('[4]5A3_OJJ'!J79*6)+('[7]5A3_OJJ'!J79*2)</f>
        <v>0</v>
      </c>
      <c r="I79" s="790">
        <f>G79-H79</f>
        <v>0</v>
      </c>
      <c r="J79" s="142">
        <f>ROUND(I79/$J$86,0)</f>
        <v>0</v>
      </c>
      <c r="K79" s="142">
        <v>0</v>
      </c>
      <c r="L79" s="1008"/>
      <c r="M79" s="969"/>
      <c r="N79" s="969"/>
      <c r="O79" s="409"/>
      <c r="P79" s="423"/>
      <c r="Q79" s="409"/>
      <c r="R79" s="423"/>
      <c r="S79" s="423"/>
    </row>
    <row r="80" spans="1:19" s="1280" customFormat="1" ht="16.149999999999999" customHeight="1" x14ac:dyDescent="0.2">
      <c r="A80" s="1425" t="s">
        <v>373</v>
      </c>
      <c r="B80" s="1426"/>
      <c r="C80" s="437"/>
      <c r="D80" s="1254"/>
      <c r="E80" s="1255"/>
      <c r="F80" s="1255"/>
      <c r="G80" s="793"/>
      <c r="H80" s="791"/>
      <c r="I80" s="790"/>
      <c r="J80" s="793"/>
      <c r="K80" s="142">
        <v>0</v>
      </c>
      <c r="L80" s="1009"/>
      <c r="M80" s="1010"/>
      <c r="N80" s="1010"/>
      <c r="O80" s="409"/>
      <c r="P80" s="1011"/>
      <c r="Q80" s="409"/>
      <c r="R80" s="427"/>
      <c r="S80" s="427"/>
    </row>
    <row r="81" spans="1:19" s="1280" customFormat="1" ht="16.149999999999999" customHeight="1" x14ac:dyDescent="0.2">
      <c r="A81" s="1437" t="s">
        <v>1368</v>
      </c>
      <c r="B81" s="1438"/>
      <c r="C81" s="437"/>
      <c r="D81" s="1254"/>
      <c r="E81" s="1255"/>
      <c r="F81" s="1255"/>
      <c r="G81" s="791"/>
      <c r="H81" s="791"/>
      <c r="I81" s="790"/>
      <c r="J81" s="791"/>
      <c r="K81" s="142">
        <v>21449</v>
      </c>
      <c r="L81" s="1009"/>
      <c r="M81" s="424"/>
      <c r="N81" s="424"/>
      <c r="O81" s="409"/>
      <c r="P81" s="1011"/>
      <c r="Q81" s="409"/>
      <c r="R81" s="427"/>
      <c r="S81" s="427"/>
    </row>
    <row r="82" spans="1:19" s="1280" customFormat="1" ht="16.149999999999999" customHeight="1" x14ac:dyDescent="0.2">
      <c r="A82" s="1437" t="s">
        <v>372</v>
      </c>
      <c r="B82" s="1438"/>
      <c r="C82" s="437"/>
      <c r="D82" s="1254"/>
      <c r="E82" s="1255"/>
      <c r="F82" s="1255"/>
      <c r="G82" s="793"/>
      <c r="H82" s="791"/>
      <c r="I82" s="790"/>
      <c r="J82" s="793"/>
      <c r="K82" s="142">
        <v>0</v>
      </c>
      <c r="L82" s="1009"/>
      <c r="M82" s="424"/>
      <c r="N82" s="424"/>
      <c r="O82" s="409"/>
      <c r="P82" s="1011"/>
      <c r="Q82" s="409"/>
      <c r="R82" s="427"/>
      <c r="S82" s="427"/>
    </row>
    <row r="83" spans="1:19" s="1280" customFormat="1" ht="16.149999999999999" customHeight="1" x14ac:dyDescent="0.2">
      <c r="A83" s="1435" t="s">
        <v>253</v>
      </c>
      <c r="B83" s="1436"/>
      <c r="C83" s="1012"/>
      <c r="D83" s="1256"/>
      <c r="E83" s="1257"/>
      <c r="F83" s="1257"/>
      <c r="G83" s="157">
        <v>10974</v>
      </c>
      <c r="H83" s="156">
        <f>('[4]5A3_OJJ'!J83*6)+('[7]5A3_OJJ'!J83*2)</f>
        <v>7318</v>
      </c>
      <c r="I83" s="795">
        <f>G83-H83</f>
        <v>3656</v>
      </c>
      <c r="J83" s="157">
        <f>ROUND(I83/$J$86,0)</f>
        <v>914</v>
      </c>
      <c r="K83" s="157">
        <v>10974</v>
      </c>
      <c r="L83" s="1013"/>
      <c r="M83" s="428"/>
      <c r="N83" s="428"/>
      <c r="O83" s="1014"/>
      <c r="P83" s="1015"/>
      <c r="Q83" s="1014"/>
      <c r="R83" s="431"/>
      <c r="S83" s="431"/>
    </row>
    <row r="84" spans="1:19" s="1280" customFormat="1" ht="16.149999999999999" customHeight="1" thickBot="1" x14ac:dyDescent="0.25">
      <c r="A84" s="1408" t="s">
        <v>398</v>
      </c>
      <c r="B84" s="1409"/>
      <c r="C84" s="995">
        <f>SUM(C76:C83)</f>
        <v>189.53125199999999</v>
      </c>
      <c r="D84" s="432">
        <f t="shared" ref="D84:S84" si="18">SUM(D76:D83)</f>
        <v>5367.9973424873142</v>
      </c>
      <c r="E84" s="418">
        <f t="shared" si="18"/>
        <v>7066.3467841782158</v>
      </c>
      <c r="F84" s="418">
        <f t="shared" si="18"/>
        <v>8536.6941760404115</v>
      </c>
      <c r="G84" s="1250">
        <f t="shared" si="18"/>
        <v>1638718</v>
      </c>
      <c r="H84" s="415">
        <f t="shared" si="18"/>
        <v>1082946</v>
      </c>
      <c r="I84" s="415">
        <f t="shared" si="18"/>
        <v>555772</v>
      </c>
      <c r="J84" s="1250">
        <f t="shared" si="18"/>
        <v>138947</v>
      </c>
      <c r="K84" s="1251">
        <f t="shared" si="18"/>
        <v>1660167</v>
      </c>
      <c r="L84" s="996">
        <f t="shared" si="18"/>
        <v>2628696369.0999994</v>
      </c>
      <c r="M84" s="411">
        <f t="shared" si="18"/>
        <v>681088</v>
      </c>
      <c r="N84" s="411">
        <f t="shared" si="18"/>
        <v>681277.53125200002</v>
      </c>
      <c r="O84" s="432">
        <f t="shared" si="18"/>
        <v>3858.4809398736243</v>
      </c>
      <c r="P84" s="997">
        <f t="shared" si="18"/>
        <v>771485</v>
      </c>
      <c r="Q84" s="164">
        <f t="shared" si="18"/>
        <v>507764</v>
      </c>
      <c r="R84" s="998">
        <f t="shared" si="18"/>
        <v>263721</v>
      </c>
      <c r="S84" s="997">
        <f t="shared" si="18"/>
        <v>65932</v>
      </c>
    </row>
    <row r="85" spans="1:19" ht="21" thickTop="1" x14ac:dyDescent="0.2">
      <c r="A85" s="1"/>
      <c r="C85" s="318"/>
      <c r="G85" s="1282"/>
      <c r="H85" s="1282"/>
      <c r="I85" s="1282"/>
      <c r="J85" s="1282"/>
      <c r="K85" s="1284"/>
      <c r="M85" s="318"/>
    </row>
    <row r="86" spans="1:19" ht="12.75" customHeight="1" x14ac:dyDescent="0.2">
      <c r="E86" s="99"/>
      <c r="F86" s="99"/>
      <c r="J86" s="1281">
        <v>4</v>
      </c>
      <c r="S86" s="1281">
        <f>J86</f>
        <v>4</v>
      </c>
    </row>
    <row r="87" spans="1:19" s="1282" customFormat="1" x14ac:dyDescent="0.2">
      <c r="K87" s="1284"/>
      <c r="L87" s="128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  <mergeCell ref="A79:B79"/>
    <mergeCell ref="L2:L3"/>
    <mergeCell ref="M2:M3"/>
    <mergeCell ref="D2:D3"/>
    <mergeCell ref="A1:B3"/>
    <mergeCell ref="A77:B77"/>
    <mergeCell ref="O2:O3"/>
    <mergeCell ref="P2:P3"/>
    <mergeCell ref="Q2:Q3"/>
    <mergeCell ref="R2:R3"/>
    <mergeCell ref="S2:S3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&amp;L&amp;"Arial,Bold"&amp;20&amp;K000000FY2019-20 Budget Letter
March 2020&amp;R&amp;"Arial,Bold"&amp;12&amp;KFF0000
</oddHeader>
    <oddFooter>&amp;R&amp;9&amp;P</oddFooter>
  </headerFooter>
  <colBreaks count="1" manualBreakCount="1">
    <brk id="11" max="8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6.28515625" style="7" customWidth="1"/>
    <col min="3" max="3" width="13.140625" style="7" customWidth="1"/>
    <col min="4" max="4" width="12.85546875" style="7" customWidth="1"/>
    <col min="5" max="5" width="13.7109375" style="7" customWidth="1"/>
    <col min="6" max="6" width="12.5703125" style="7" bestFit="1" customWidth="1"/>
    <col min="7" max="8" width="13.7109375" style="7" customWidth="1"/>
    <col min="9" max="10" width="14.85546875" style="7" customWidth="1"/>
    <col min="11" max="11" width="13.7109375" style="7" customWidth="1"/>
    <col min="12" max="12" width="14.140625" style="7" customWidth="1"/>
    <col min="13" max="13" width="13.42578125" style="7" bestFit="1" customWidth="1"/>
    <col min="14" max="14" width="17.85546875" style="7" customWidth="1"/>
    <col min="15" max="17" width="14.5703125" style="7" customWidth="1"/>
    <col min="18" max="18" width="19.140625" style="7" customWidth="1"/>
    <col min="19" max="16384" width="8.85546875" style="7"/>
  </cols>
  <sheetData>
    <row r="1" spans="1:18" ht="17.45" customHeight="1" x14ac:dyDescent="0.2">
      <c r="A1" s="1463" t="s">
        <v>1371</v>
      </c>
      <c r="B1" s="1463"/>
      <c r="C1" s="1458" t="s">
        <v>310</v>
      </c>
      <c r="D1" s="1459"/>
      <c r="E1" s="1459"/>
      <c r="F1" s="1459"/>
      <c r="G1" s="1459"/>
      <c r="H1" s="1459"/>
      <c r="I1" s="1459"/>
      <c r="J1" s="1459"/>
      <c r="K1" s="1460"/>
      <c r="L1" s="1458" t="s">
        <v>310</v>
      </c>
      <c r="M1" s="1459"/>
      <c r="N1" s="1459"/>
      <c r="O1" s="1459"/>
      <c r="P1" s="1459"/>
      <c r="Q1" s="1459"/>
      <c r="R1" s="1460"/>
    </row>
    <row r="2" spans="1:18" s="433" customFormat="1" ht="17.45" customHeight="1" x14ac:dyDescent="0.2">
      <c r="A2" s="1463"/>
      <c r="B2" s="1463"/>
      <c r="C2" s="25"/>
      <c r="D2" s="26"/>
      <c r="E2" s="26"/>
      <c r="F2" s="26"/>
      <c r="G2" s="26"/>
      <c r="H2" s="26"/>
      <c r="I2" s="1464" t="s">
        <v>228</v>
      </c>
      <c r="J2" s="1465"/>
      <c r="K2" s="1466"/>
      <c r="L2" s="25"/>
      <c r="M2" s="26"/>
      <c r="N2" s="26"/>
      <c r="O2" s="26"/>
      <c r="P2" s="26"/>
      <c r="Q2" s="26"/>
      <c r="R2" s="27"/>
    </row>
    <row r="3" spans="1:18" ht="138" customHeight="1" x14ac:dyDescent="0.2">
      <c r="A3" s="1463"/>
      <c r="B3" s="1463"/>
      <c r="C3" s="177" t="s">
        <v>1195</v>
      </c>
      <c r="D3" s="176" t="s">
        <v>508</v>
      </c>
      <c r="E3" s="176" t="s">
        <v>509</v>
      </c>
      <c r="F3" s="176" t="s">
        <v>362</v>
      </c>
      <c r="G3" s="176" t="s">
        <v>308</v>
      </c>
      <c r="H3" s="176" t="s">
        <v>1319</v>
      </c>
      <c r="I3" s="22" t="s">
        <v>1186</v>
      </c>
      <c r="J3" s="22" t="s">
        <v>1187</v>
      </c>
      <c r="K3" s="22" t="s">
        <v>230</v>
      </c>
      <c r="L3" s="176" t="s">
        <v>510</v>
      </c>
      <c r="M3" s="839" t="s">
        <v>1430</v>
      </c>
      <c r="N3" s="24" t="s">
        <v>981</v>
      </c>
      <c r="O3" s="24" t="s">
        <v>268</v>
      </c>
      <c r="P3" s="24" t="s">
        <v>271</v>
      </c>
      <c r="Q3" s="24" t="s">
        <v>229</v>
      </c>
      <c r="R3" s="24" t="s">
        <v>982</v>
      </c>
    </row>
    <row r="4" spans="1:18" ht="14.25" customHeight="1" x14ac:dyDescent="0.2">
      <c r="A4" s="434"/>
      <c r="B4" s="435"/>
      <c r="C4" s="436">
        <v>1</v>
      </c>
      <c r="D4" s="436">
        <f>C4+1</f>
        <v>2</v>
      </c>
      <c r="E4" s="436">
        <f>D4+1</f>
        <v>3</v>
      </c>
      <c r="F4" s="436">
        <f t="shared" ref="F4:R4" si="0">E4+1</f>
        <v>4</v>
      </c>
      <c r="G4" s="436">
        <f t="shared" si="0"/>
        <v>5</v>
      </c>
      <c r="H4" s="436">
        <f t="shared" si="0"/>
        <v>6</v>
      </c>
      <c r="I4" s="436">
        <f t="shared" si="0"/>
        <v>7</v>
      </c>
      <c r="J4" s="436">
        <f t="shared" si="0"/>
        <v>8</v>
      </c>
      <c r="K4" s="436">
        <f t="shared" si="0"/>
        <v>9</v>
      </c>
      <c r="L4" s="436">
        <f t="shared" si="0"/>
        <v>10</v>
      </c>
      <c r="M4" s="436">
        <f t="shared" si="0"/>
        <v>11</v>
      </c>
      <c r="N4" s="436">
        <f>M4+1</f>
        <v>12</v>
      </c>
      <c r="O4" s="436">
        <f t="shared" si="0"/>
        <v>13</v>
      </c>
      <c r="P4" s="436">
        <f t="shared" si="0"/>
        <v>14</v>
      </c>
      <c r="Q4" s="436">
        <f t="shared" si="0"/>
        <v>15</v>
      </c>
      <c r="R4" s="436">
        <f t="shared" si="0"/>
        <v>16</v>
      </c>
    </row>
    <row r="5" spans="1:18" s="495" customFormat="1" ht="27.75" customHeight="1" x14ac:dyDescent="0.2">
      <c r="A5" s="739"/>
      <c r="B5" s="739"/>
      <c r="C5" s="598" t="s">
        <v>813</v>
      </c>
      <c r="D5" s="598" t="s">
        <v>1320</v>
      </c>
      <c r="E5" s="598" t="s">
        <v>814</v>
      </c>
      <c r="F5" s="598" t="s">
        <v>733</v>
      </c>
      <c r="G5" s="598" t="s">
        <v>708</v>
      </c>
      <c r="H5" s="598" t="s">
        <v>1404</v>
      </c>
      <c r="I5" s="598" t="s">
        <v>951</v>
      </c>
      <c r="J5" s="598" t="s">
        <v>952</v>
      </c>
      <c r="K5" s="598" t="s">
        <v>815</v>
      </c>
      <c r="L5" s="598" t="s">
        <v>816</v>
      </c>
      <c r="M5" s="601" t="s">
        <v>818</v>
      </c>
      <c r="N5" s="598" t="s">
        <v>1390</v>
      </c>
      <c r="O5" s="598" t="s">
        <v>984</v>
      </c>
      <c r="P5" s="598" t="s">
        <v>842</v>
      </c>
      <c r="Q5" s="598" t="s">
        <v>983</v>
      </c>
      <c r="R5" s="598" t="s">
        <v>1391</v>
      </c>
    </row>
    <row r="6" spans="1:18" s="495" customFormat="1" ht="22.5" hidden="1" x14ac:dyDescent="0.2">
      <c r="A6" s="740"/>
      <c r="B6" s="740"/>
      <c r="C6" s="601" t="s">
        <v>603</v>
      </c>
      <c r="D6" s="601" t="s">
        <v>603</v>
      </c>
      <c r="E6" s="601" t="s">
        <v>604</v>
      </c>
      <c r="F6" s="601" t="s">
        <v>843</v>
      </c>
      <c r="G6" s="601" t="s">
        <v>604</v>
      </c>
      <c r="H6" s="601" t="s">
        <v>604</v>
      </c>
      <c r="I6" s="601" t="s">
        <v>817</v>
      </c>
      <c r="J6" s="601" t="s">
        <v>817</v>
      </c>
      <c r="K6" s="601" t="s">
        <v>604</v>
      </c>
      <c r="L6" s="601" t="s">
        <v>604</v>
      </c>
      <c r="M6" s="601" t="s">
        <v>818</v>
      </c>
      <c r="N6" s="601" t="s">
        <v>836</v>
      </c>
      <c r="O6" s="601" t="s">
        <v>844</v>
      </c>
      <c r="P6" s="601" t="s">
        <v>604</v>
      </c>
      <c r="Q6" s="601" t="s">
        <v>604</v>
      </c>
      <c r="R6" s="601" t="s">
        <v>837</v>
      </c>
    </row>
    <row r="7" spans="1:18" ht="15.6" customHeight="1" x14ac:dyDescent="0.2">
      <c r="A7" s="378">
        <v>1</v>
      </c>
      <c r="B7" s="116" t="s">
        <v>5</v>
      </c>
      <c r="C7" s="379">
        <f>'8_2.1.19 SIS'!BG7</f>
        <v>0</v>
      </c>
      <c r="D7" s="380">
        <f>'Source Data'!Q7</f>
        <v>7587.5341296060997</v>
      </c>
      <c r="E7" s="381">
        <f>C7*D7</f>
        <v>0</v>
      </c>
      <c r="F7" s="381">
        <f>'Source Data'!G7</f>
        <v>777.48</v>
      </c>
      <c r="G7" s="381">
        <f>C7*F7</f>
        <v>0</v>
      </c>
      <c r="H7" s="382">
        <f>ROUND(E7+G7,0)</f>
        <v>0</v>
      </c>
      <c r="I7" s="118">
        <f>[2]Oct_NOCCA!$G7</f>
        <v>0</v>
      </c>
      <c r="J7" s="118">
        <f>[3]Feb_NOCCA!$G7</f>
        <v>0</v>
      </c>
      <c r="K7" s="122">
        <f t="shared" ref="K7:K38" si="1">I7+J7</f>
        <v>0</v>
      </c>
      <c r="L7" s="382">
        <f t="shared" ref="L7:L70" si="2">K7+H7</f>
        <v>0</v>
      </c>
      <c r="M7" s="380">
        <f>'[1]5A4_NOCCA'!$J7</f>
        <v>0</v>
      </c>
      <c r="N7" s="121">
        <f>ROUND(SUM(L7:M7),0)</f>
        <v>0</v>
      </c>
      <c r="O7" s="118">
        <f>('[4]5A4_NOCCA'!Q7*6)+('[7]5A4_NOCCA'!Q7*2)</f>
        <v>0</v>
      </c>
      <c r="P7" s="118">
        <f>N7-O7</f>
        <v>0</v>
      </c>
      <c r="Q7" s="121">
        <f t="shared" ref="Q7:Q38" si="3">ROUND(P7/$Q$86,0)</f>
        <v>0</v>
      </c>
      <c r="R7" s="123">
        <f t="shared" ref="R7:R38" si="4">N7</f>
        <v>0</v>
      </c>
    </row>
    <row r="8" spans="1:18" ht="15.6" customHeight="1" x14ac:dyDescent="0.2">
      <c r="A8" s="383">
        <v>2</v>
      </c>
      <c r="B8" s="134" t="s">
        <v>6</v>
      </c>
      <c r="C8" s="384">
        <f>'8_2.1.19 SIS'!BG8</f>
        <v>0</v>
      </c>
      <c r="D8" s="385">
        <f>'Source Data'!Q8</f>
        <v>9483.6340239940018</v>
      </c>
      <c r="E8" s="386">
        <f t="shared" ref="E8:E71" si="5">C8*D8</f>
        <v>0</v>
      </c>
      <c r="F8" s="386">
        <f>'Source Data'!G8</f>
        <v>842.32</v>
      </c>
      <c r="G8" s="386">
        <f t="shared" ref="G8:G71" si="6">C8*F8</f>
        <v>0</v>
      </c>
      <c r="H8" s="387">
        <f t="shared" ref="H8:H71" si="7">ROUND(E8+G8,0)</f>
        <v>0</v>
      </c>
      <c r="I8" s="136">
        <f>[2]Oct_NOCCA!$G8</f>
        <v>0</v>
      </c>
      <c r="J8" s="136">
        <f>[3]Feb_NOCCA!$G8</f>
        <v>0</v>
      </c>
      <c r="K8" s="140">
        <f t="shared" si="1"/>
        <v>0</v>
      </c>
      <c r="L8" s="387">
        <f t="shared" si="2"/>
        <v>0</v>
      </c>
      <c r="M8" s="385">
        <f>'[1]5A4_NOCCA'!$J8</f>
        <v>0</v>
      </c>
      <c r="N8" s="139">
        <f t="shared" ref="N8:N71" si="8">ROUND(SUM(L8:M8),0)</f>
        <v>0</v>
      </c>
      <c r="O8" s="136">
        <f>('[4]5A4_NOCCA'!Q8*6)+('[7]5A4_NOCCA'!Q8*2)</f>
        <v>0</v>
      </c>
      <c r="P8" s="136">
        <f t="shared" ref="P8:P71" si="9">N8-O8</f>
        <v>0</v>
      </c>
      <c r="Q8" s="139">
        <f t="shared" si="3"/>
        <v>0</v>
      </c>
      <c r="R8" s="139">
        <f t="shared" si="4"/>
        <v>0</v>
      </c>
    </row>
    <row r="9" spans="1:18" ht="15.6" customHeight="1" x14ac:dyDescent="0.2">
      <c r="A9" s="383">
        <v>3</v>
      </c>
      <c r="B9" s="134" t="s">
        <v>7</v>
      </c>
      <c r="C9" s="384">
        <f>'8_2.1.19 SIS'!BG9</f>
        <v>0</v>
      </c>
      <c r="D9" s="385">
        <f>'Source Data'!Q9</f>
        <v>7888.5784098624263</v>
      </c>
      <c r="E9" s="386">
        <f t="shared" si="5"/>
        <v>0</v>
      </c>
      <c r="F9" s="386">
        <f>'Source Data'!G9</f>
        <v>596.84</v>
      </c>
      <c r="G9" s="386">
        <f t="shared" si="6"/>
        <v>0</v>
      </c>
      <c r="H9" s="387">
        <f t="shared" si="7"/>
        <v>0</v>
      </c>
      <c r="I9" s="136">
        <f>[2]Oct_NOCCA!$G9</f>
        <v>0</v>
      </c>
      <c r="J9" s="136">
        <f>[3]Feb_NOCCA!$G9</f>
        <v>0</v>
      </c>
      <c r="K9" s="140">
        <f t="shared" si="1"/>
        <v>0</v>
      </c>
      <c r="L9" s="387">
        <f t="shared" si="2"/>
        <v>0</v>
      </c>
      <c r="M9" s="385">
        <f>'[1]5A4_NOCCA'!$J9</f>
        <v>0</v>
      </c>
      <c r="N9" s="139">
        <f t="shared" si="8"/>
        <v>0</v>
      </c>
      <c r="O9" s="136">
        <f>('[4]5A4_NOCCA'!Q9*6)+('[7]5A4_NOCCA'!Q9*2)</f>
        <v>0</v>
      </c>
      <c r="P9" s="136">
        <f t="shared" si="9"/>
        <v>0</v>
      </c>
      <c r="Q9" s="139">
        <f t="shared" si="3"/>
        <v>0</v>
      </c>
      <c r="R9" s="139">
        <f t="shared" si="4"/>
        <v>0</v>
      </c>
    </row>
    <row r="10" spans="1:18" ht="15.6" customHeight="1" x14ac:dyDescent="0.2">
      <c r="A10" s="383">
        <v>4</v>
      </c>
      <c r="B10" s="134" t="s">
        <v>8</v>
      </c>
      <c r="C10" s="384">
        <f>'8_2.1.19 SIS'!BG10</f>
        <v>0</v>
      </c>
      <c r="D10" s="385">
        <f>'Source Data'!Q10</f>
        <v>9693.2804096538584</v>
      </c>
      <c r="E10" s="386">
        <f t="shared" si="5"/>
        <v>0</v>
      </c>
      <c r="F10" s="386">
        <f>'Source Data'!G10</f>
        <v>585.76</v>
      </c>
      <c r="G10" s="386">
        <f t="shared" si="6"/>
        <v>0</v>
      </c>
      <c r="H10" s="387">
        <f t="shared" si="7"/>
        <v>0</v>
      </c>
      <c r="I10" s="136">
        <f>[2]Oct_NOCCA!$G10</f>
        <v>0</v>
      </c>
      <c r="J10" s="136">
        <f>[3]Feb_NOCCA!$G10</f>
        <v>0</v>
      </c>
      <c r="K10" s="140">
        <f t="shared" si="1"/>
        <v>0</v>
      </c>
      <c r="L10" s="387">
        <f t="shared" si="2"/>
        <v>0</v>
      </c>
      <c r="M10" s="385">
        <f>'[1]5A4_NOCCA'!$J10</f>
        <v>0</v>
      </c>
      <c r="N10" s="139">
        <f t="shared" si="8"/>
        <v>0</v>
      </c>
      <c r="O10" s="136">
        <f>('[4]5A4_NOCCA'!Q10*6)+('[7]5A4_NOCCA'!Q10*2)</f>
        <v>0</v>
      </c>
      <c r="P10" s="136">
        <f t="shared" si="9"/>
        <v>0</v>
      </c>
      <c r="Q10" s="139">
        <f t="shared" si="3"/>
        <v>0</v>
      </c>
      <c r="R10" s="139">
        <f t="shared" si="4"/>
        <v>0</v>
      </c>
    </row>
    <row r="11" spans="1:18" ht="15.6" customHeight="1" x14ac:dyDescent="0.2">
      <c r="A11" s="388">
        <v>5</v>
      </c>
      <c r="B11" s="148" t="s">
        <v>9</v>
      </c>
      <c r="C11" s="389">
        <f>'8_2.1.19 SIS'!BG11</f>
        <v>0</v>
      </c>
      <c r="D11" s="390">
        <f>'Source Data'!Q11</f>
        <v>7894.1332215942311</v>
      </c>
      <c r="E11" s="391">
        <f t="shared" si="5"/>
        <v>0</v>
      </c>
      <c r="F11" s="391">
        <f>'Source Data'!G11</f>
        <v>555.91</v>
      </c>
      <c r="G11" s="391">
        <f t="shared" si="6"/>
        <v>0</v>
      </c>
      <c r="H11" s="392">
        <f t="shared" si="7"/>
        <v>0</v>
      </c>
      <c r="I11" s="150">
        <f>[2]Oct_NOCCA!$G11</f>
        <v>0</v>
      </c>
      <c r="J11" s="150">
        <f>[3]Feb_NOCCA!$G11</f>
        <v>0</v>
      </c>
      <c r="K11" s="154">
        <f t="shared" si="1"/>
        <v>0</v>
      </c>
      <c r="L11" s="392">
        <f t="shared" si="2"/>
        <v>0</v>
      </c>
      <c r="M11" s="390">
        <f>'[1]5A4_NOCCA'!$J11</f>
        <v>0</v>
      </c>
      <c r="N11" s="153">
        <f t="shared" si="8"/>
        <v>0</v>
      </c>
      <c r="O11" s="156">
        <f>('[4]5A4_NOCCA'!Q11*6)+('[7]5A4_NOCCA'!Q11*2)</f>
        <v>0</v>
      </c>
      <c r="P11" s="150">
        <f t="shared" si="9"/>
        <v>0</v>
      </c>
      <c r="Q11" s="157">
        <f t="shared" si="3"/>
        <v>0</v>
      </c>
      <c r="R11" s="157">
        <f t="shared" si="4"/>
        <v>0</v>
      </c>
    </row>
    <row r="12" spans="1:18" ht="15.6" customHeight="1" x14ac:dyDescent="0.2">
      <c r="A12" s="378">
        <v>6</v>
      </c>
      <c r="B12" s="116" t="s">
        <v>10</v>
      </c>
      <c r="C12" s="379">
        <f>'8_2.1.19 SIS'!BG12</f>
        <v>0</v>
      </c>
      <c r="D12" s="380">
        <f>'Source Data'!Q12</f>
        <v>9116.9637929842756</v>
      </c>
      <c r="E12" s="381">
        <f t="shared" si="5"/>
        <v>0</v>
      </c>
      <c r="F12" s="381">
        <f>'Source Data'!G12</f>
        <v>545.4799999999999</v>
      </c>
      <c r="G12" s="381">
        <f t="shared" si="6"/>
        <v>0</v>
      </c>
      <c r="H12" s="382">
        <f t="shared" si="7"/>
        <v>0</v>
      </c>
      <c r="I12" s="118">
        <f>[2]Oct_NOCCA!$G12</f>
        <v>0</v>
      </c>
      <c r="J12" s="118">
        <f>[3]Feb_NOCCA!$G12</f>
        <v>0</v>
      </c>
      <c r="K12" s="122">
        <f t="shared" si="1"/>
        <v>0</v>
      </c>
      <c r="L12" s="382">
        <f t="shared" si="2"/>
        <v>0</v>
      </c>
      <c r="M12" s="380">
        <f>'[1]5A4_NOCCA'!$J12</f>
        <v>0</v>
      </c>
      <c r="N12" s="121">
        <f t="shared" si="8"/>
        <v>0</v>
      </c>
      <c r="O12" s="118">
        <f>('[4]5A4_NOCCA'!Q12*6)+('[7]5A4_NOCCA'!Q12*2)</f>
        <v>0</v>
      </c>
      <c r="P12" s="118">
        <f t="shared" si="9"/>
        <v>0</v>
      </c>
      <c r="Q12" s="121">
        <f t="shared" si="3"/>
        <v>0</v>
      </c>
      <c r="R12" s="123">
        <f t="shared" si="4"/>
        <v>0</v>
      </c>
    </row>
    <row r="13" spans="1:18" ht="15.6" customHeight="1" x14ac:dyDescent="0.2">
      <c r="A13" s="383">
        <v>7</v>
      </c>
      <c r="B13" s="134" t="s">
        <v>11</v>
      </c>
      <c r="C13" s="384">
        <f>'8_2.1.19 SIS'!BG13</f>
        <v>0</v>
      </c>
      <c r="D13" s="385">
        <f>'Source Data'!Q13</f>
        <v>8630.2421093000958</v>
      </c>
      <c r="E13" s="386">
        <f t="shared" si="5"/>
        <v>0</v>
      </c>
      <c r="F13" s="386">
        <f>'Source Data'!G13</f>
        <v>756.91999999999985</v>
      </c>
      <c r="G13" s="386">
        <f t="shared" si="6"/>
        <v>0</v>
      </c>
      <c r="H13" s="387">
        <f t="shared" si="7"/>
        <v>0</v>
      </c>
      <c r="I13" s="136">
        <f>[2]Oct_NOCCA!$G13</f>
        <v>0</v>
      </c>
      <c r="J13" s="136">
        <f>[3]Feb_NOCCA!$G13</f>
        <v>0</v>
      </c>
      <c r="K13" s="140">
        <f t="shared" si="1"/>
        <v>0</v>
      </c>
      <c r="L13" s="387">
        <f t="shared" si="2"/>
        <v>0</v>
      </c>
      <c r="M13" s="385">
        <f>'[1]5A4_NOCCA'!$J13</f>
        <v>0</v>
      </c>
      <c r="N13" s="139">
        <f t="shared" si="8"/>
        <v>0</v>
      </c>
      <c r="O13" s="136">
        <f>('[4]5A4_NOCCA'!Q13*6)+('[7]5A4_NOCCA'!Q13*2)</f>
        <v>0</v>
      </c>
      <c r="P13" s="136">
        <f t="shared" si="9"/>
        <v>0</v>
      </c>
      <c r="Q13" s="139">
        <f t="shared" si="3"/>
        <v>0</v>
      </c>
      <c r="R13" s="139">
        <f t="shared" si="4"/>
        <v>0</v>
      </c>
    </row>
    <row r="14" spans="1:18" ht="15.6" customHeight="1" x14ac:dyDescent="0.2">
      <c r="A14" s="383">
        <v>8</v>
      </c>
      <c r="B14" s="134" t="s">
        <v>12</v>
      </c>
      <c r="C14" s="384">
        <f>'8_2.1.19 SIS'!BG14</f>
        <v>0</v>
      </c>
      <c r="D14" s="385">
        <f>'Source Data'!Q14</f>
        <v>8622.6556992695532</v>
      </c>
      <c r="E14" s="386">
        <f t="shared" si="5"/>
        <v>0</v>
      </c>
      <c r="F14" s="386">
        <f>'Source Data'!G14</f>
        <v>725.76</v>
      </c>
      <c r="G14" s="386">
        <f t="shared" si="6"/>
        <v>0</v>
      </c>
      <c r="H14" s="387">
        <f t="shared" si="7"/>
        <v>0</v>
      </c>
      <c r="I14" s="136">
        <f>[2]Oct_NOCCA!$G14</f>
        <v>0</v>
      </c>
      <c r="J14" s="136">
        <f>[3]Feb_NOCCA!$G14</f>
        <v>0</v>
      </c>
      <c r="K14" s="140">
        <f t="shared" si="1"/>
        <v>0</v>
      </c>
      <c r="L14" s="387">
        <f t="shared" si="2"/>
        <v>0</v>
      </c>
      <c r="M14" s="385">
        <f>'[1]5A4_NOCCA'!$J14</f>
        <v>0</v>
      </c>
      <c r="N14" s="139">
        <f t="shared" si="8"/>
        <v>0</v>
      </c>
      <c r="O14" s="136">
        <f>('[4]5A4_NOCCA'!Q14*6)+('[7]5A4_NOCCA'!Q14*2)</f>
        <v>0</v>
      </c>
      <c r="P14" s="136">
        <f t="shared" si="9"/>
        <v>0</v>
      </c>
      <c r="Q14" s="139">
        <f t="shared" si="3"/>
        <v>0</v>
      </c>
      <c r="R14" s="139">
        <f t="shared" si="4"/>
        <v>0</v>
      </c>
    </row>
    <row r="15" spans="1:18" ht="15.6" customHeight="1" x14ac:dyDescent="0.2">
      <c r="A15" s="383">
        <v>9</v>
      </c>
      <c r="B15" s="134" t="s">
        <v>13</v>
      </c>
      <c r="C15" s="384">
        <f>'8_2.1.19 SIS'!BG15</f>
        <v>0</v>
      </c>
      <c r="D15" s="385">
        <f>'Source Data'!Q15</f>
        <v>8415.8393824117084</v>
      </c>
      <c r="E15" s="386">
        <f t="shared" si="5"/>
        <v>0</v>
      </c>
      <c r="F15" s="386">
        <f>'Source Data'!G15</f>
        <v>744.76</v>
      </c>
      <c r="G15" s="386">
        <f t="shared" si="6"/>
        <v>0</v>
      </c>
      <c r="H15" s="387">
        <f t="shared" si="7"/>
        <v>0</v>
      </c>
      <c r="I15" s="136">
        <f>[2]Oct_NOCCA!$G15</f>
        <v>0</v>
      </c>
      <c r="J15" s="136">
        <f>[3]Feb_NOCCA!$G15</f>
        <v>0</v>
      </c>
      <c r="K15" s="140">
        <f t="shared" si="1"/>
        <v>0</v>
      </c>
      <c r="L15" s="387">
        <f t="shared" si="2"/>
        <v>0</v>
      </c>
      <c r="M15" s="385">
        <f>'[1]5A4_NOCCA'!$J15</f>
        <v>0</v>
      </c>
      <c r="N15" s="139">
        <f t="shared" si="8"/>
        <v>0</v>
      </c>
      <c r="O15" s="136">
        <f>('[4]5A4_NOCCA'!Q15*6)+('[7]5A4_NOCCA'!Q15*2)</f>
        <v>0</v>
      </c>
      <c r="P15" s="136">
        <f t="shared" si="9"/>
        <v>0</v>
      </c>
      <c r="Q15" s="139">
        <f t="shared" si="3"/>
        <v>0</v>
      </c>
      <c r="R15" s="139">
        <f t="shared" si="4"/>
        <v>0</v>
      </c>
    </row>
    <row r="16" spans="1:18" ht="15.6" customHeight="1" x14ac:dyDescent="0.2">
      <c r="A16" s="388">
        <v>10</v>
      </c>
      <c r="B16" s="148" t="s">
        <v>14</v>
      </c>
      <c r="C16" s="389">
        <f>'8_2.1.19 SIS'!BG16</f>
        <v>0</v>
      </c>
      <c r="D16" s="390">
        <f>'Source Data'!Q16</f>
        <v>8154.5704225776335</v>
      </c>
      <c r="E16" s="391">
        <f t="shared" si="5"/>
        <v>0</v>
      </c>
      <c r="F16" s="391">
        <f>'Source Data'!G16</f>
        <v>608.04000000000008</v>
      </c>
      <c r="G16" s="391">
        <f t="shared" si="6"/>
        <v>0</v>
      </c>
      <c r="H16" s="392">
        <f t="shared" si="7"/>
        <v>0</v>
      </c>
      <c r="I16" s="150">
        <f>[2]Oct_NOCCA!$G16</f>
        <v>0</v>
      </c>
      <c r="J16" s="150">
        <f>[3]Feb_NOCCA!$G16</f>
        <v>0</v>
      </c>
      <c r="K16" s="154">
        <f t="shared" si="1"/>
        <v>0</v>
      </c>
      <c r="L16" s="392">
        <f t="shared" si="2"/>
        <v>0</v>
      </c>
      <c r="M16" s="390">
        <f>'[1]5A4_NOCCA'!$J16</f>
        <v>0</v>
      </c>
      <c r="N16" s="153">
        <f t="shared" si="8"/>
        <v>0</v>
      </c>
      <c r="O16" s="156">
        <f>('[4]5A4_NOCCA'!Q16*6)+('[7]5A4_NOCCA'!Q16*2)</f>
        <v>0</v>
      </c>
      <c r="P16" s="150">
        <f t="shared" si="9"/>
        <v>0</v>
      </c>
      <c r="Q16" s="157">
        <f t="shared" si="3"/>
        <v>0</v>
      </c>
      <c r="R16" s="157">
        <f t="shared" si="4"/>
        <v>0</v>
      </c>
    </row>
    <row r="17" spans="1:18" ht="15.6" customHeight="1" x14ac:dyDescent="0.2">
      <c r="A17" s="378">
        <v>11</v>
      </c>
      <c r="B17" s="116" t="s">
        <v>15</v>
      </c>
      <c r="C17" s="379">
        <f>'8_2.1.19 SIS'!BG17</f>
        <v>0</v>
      </c>
      <c r="D17" s="380">
        <f>'Source Data'!Q17</f>
        <v>10617.838758085381</v>
      </c>
      <c r="E17" s="381">
        <f t="shared" si="5"/>
        <v>0</v>
      </c>
      <c r="F17" s="381">
        <f>'Source Data'!G17</f>
        <v>706.55</v>
      </c>
      <c r="G17" s="381">
        <f t="shared" si="6"/>
        <v>0</v>
      </c>
      <c r="H17" s="382">
        <f t="shared" si="7"/>
        <v>0</v>
      </c>
      <c r="I17" s="118">
        <f>[2]Oct_NOCCA!$G17</f>
        <v>0</v>
      </c>
      <c r="J17" s="118">
        <f>[3]Feb_NOCCA!$G17</f>
        <v>0</v>
      </c>
      <c r="K17" s="122">
        <f t="shared" si="1"/>
        <v>0</v>
      </c>
      <c r="L17" s="382">
        <f t="shared" si="2"/>
        <v>0</v>
      </c>
      <c r="M17" s="380">
        <f>'[1]5A4_NOCCA'!$J17</f>
        <v>0</v>
      </c>
      <c r="N17" s="121">
        <f t="shared" si="8"/>
        <v>0</v>
      </c>
      <c r="O17" s="118">
        <f>('[4]5A4_NOCCA'!Q17*6)+('[7]5A4_NOCCA'!Q17*2)</f>
        <v>0</v>
      </c>
      <c r="P17" s="118">
        <f t="shared" si="9"/>
        <v>0</v>
      </c>
      <c r="Q17" s="121">
        <f t="shared" si="3"/>
        <v>0</v>
      </c>
      <c r="R17" s="123">
        <f t="shared" si="4"/>
        <v>0</v>
      </c>
    </row>
    <row r="18" spans="1:18" ht="15.6" customHeight="1" x14ac:dyDescent="0.2">
      <c r="A18" s="383">
        <v>12</v>
      </c>
      <c r="B18" s="134" t="s">
        <v>16</v>
      </c>
      <c r="C18" s="384">
        <f>'8_2.1.19 SIS'!BG18</f>
        <v>0</v>
      </c>
      <c r="D18" s="385">
        <f>'Source Data'!Q18</f>
        <v>8282.0106463878328</v>
      </c>
      <c r="E18" s="386">
        <f t="shared" si="5"/>
        <v>0</v>
      </c>
      <c r="F18" s="386">
        <f>'Source Data'!G18</f>
        <v>1063.31</v>
      </c>
      <c r="G18" s="386">
        <f t="shared" si="6"/>
        <v>0</v>
      </c>
      <c r="H18" s="387">
        <f t="shared" si="7"/>
        <v>0</v>
      </c>
      <c r="I18" s="136">
        <f>[2]Oct_NOCCA!$G18</f>
        <v>0</v>
      </c>
      <c r="J18" s="136">
        <f>[3]Feb_NOCCA!$G18</f>
        <v>0</v>
      </c>
      <c r="K18" s="140">
        <f t="shared" si="1"/>
        <v>0</v>
      </c>
      <c r="L18" s="387">
        <f t="shared" si="2"/>
        <v>0</v>
      </c>
      <c r="M18" s="385">
        <f>'[1]5A4_NOCCA'!$J18</f>
        <v>0</v>
      </c>
      <c r="N18" s="139">
        <f t="shared" si="8"/>
        <v>0</v>
      </c>
      <c r="O18" s="136">
        <f>('[4]5A4_NOCCA'!Q18*6)+('[7]5A4_NOCCA'!Q18*2)</f>
        <v>0</v>
      </c>
      <c r="P18" s="136">
        <f t="shared" si="9"/>
        <v>0</v>
      </c>
      <c r="Q18" s="139">
        <f t="shared" si="3"/>
        <v>0</v>
      </c>
      <c r="R18" s="139">
        <f t="shared" si="4"/>
        <v>0</v>
      </c>
    </row>
    <row r="19" spans="1:18" ht="15.6" customHeight="1" x14ac:dyDescent="0.2">
      <c r="A19" s="383">
        <v>13</v>
      </c>
      <c r="B19" s="134" t="s">
        <v>17</v>
      </c>
      <c r="C19" s="384">
        <f>'8_2.1.19 SIS'!BG19</f>
        <v>0</v>
      </c>
      <c r="D19" s="385">
        <f>'Source Data'!Q19</f>
        <v>9581.8570750988147</v>
      </c>
      <c r="E19" s="386">
        <f t="shared" si="5"/>
        <v>0</v>
      </c>
      <c r="F19" s="386">
        <f>'Source Data'!G19</f>
        <v>749.43000000000006</v>
      </c>
      <c r="G19" s="386">
        <f t="shared" si="6"/>
        <v>0</v>
      </c>
      <c r="H19" s="387">
        <f t="shared" si="7"/>
        <v>0</v>
      </c>
      <c r="I19" s="136">
        <f>[2]Oct_NOCCA!$G19</f>
        <v>0</v>
      </c>
      <c r="J19" s="136">
        <f>[3]Feb_NOCCA!$G19</f>
        <v>0</v>
      </c>
      <c r="K19" s="140">
        <f t="shared" si="1"/>
        <v>0</v>
      </c>
      <c r="L19" s="387">
        <f t="shared" si="2"/>
        <v>0</v>
      </c>
      <c r="M19" s="385">
        <f>'[1]5A4_NOCCA'!$J19</f>
        <v>0</v>
      </c>
      <c r="N19" s="139">
        <f t="shared" si="8"/>
        <v>0</v>
      </c>
      <c r="O19" s="136">
        <f>('[4]5A4_NOCCA'!Q19*6)+('[7]5A4_NOCCA'!Q19*2)</f>
        <v>0</v>
      </c>
      <c r="P19" s="136">
        <f t="shared" si="9"/>
        <v>0</v>
      </c>
      <c r="Q19" s="139">
        <f t="shared" si="3"/>
        <v>0</v>
      </c>
      <c r="R19" s="139">
        <f t="shared" si="4"/>
        <v>0</v>
      </c>
    </row>
    <row r="20" spans="1:18" ht="15.6" customHeight="1" x14ac:dyDescent="0.2">
      <c r="A20" s="383">
        <v>14</v>
      </c>
      <c r="B20" s="134" t="s">
        <v>18</v>
      </c>
      <c r="C20" s="384">
        <f>'8_2.1.19 SIS'!BG20</f>
        <v>0</v>
      </c>
      <c r="D20" s="385">
        <f>'Source Data'!Q20</f>
        <v>9820.2871797817352</v>
      </c>
      <c r="E20" s="386">
        <f t="shared" si="5"/>
        <v>0</v>
      </c>
      <c r="F20" s="386">
        <f>'Source Data'!G20</f>
        <v>809.9799999999999</v>
      </c>
      <c r="G20" s="386">
        <f t="shared" si="6"/>
        <v>0</v>
      </c>
      <c r="H20" s="387">
        <f t="shared" si="7"/>
        <v>0</v>
      </c>
      <c r="I20" s="136">
        <f>[2]Oct_NOCCA!$G20</f>
        <v>0</v>
      </c>
      <c r="J20" s="136">
        <f>[3]Feb_NOCCA!$G20</f>
        <v>0</v>
      </c>
      <c r="K20" s="140">
        <f t="shared" si="1"/>
        <v>0</v>
      </c>
      <c r="L20" s="387">
        <f t="shared" si="2"/>
        <v>0</v>
      </c>
      <c r="M20" s="385">
        <f>'[1]5A4_NOCCA'!$J20</f>
        <v>0</v>
      </c>
      <c r="N20" s="139">
        <f t="shared" si="8"/>
        <v>0</v>
      </c>
      <c r="O20" s="136">
        <f>('[4]5A4_NOCCA'!Q20*6)+('[7]5A4_NOCCA'!Q20*2)</f>
        <v>0</v>
      </c>
      <c r="P20" s="136">
        <f t="shared" si="9"/>
        <v>0</v>
      </c>
      <c r="Q20" s="139">
        <f t="shared" si="3"/>
        <v>0</v>
      </c>
      <c r="R20" s="139">
        <f t="shared" si="4"/>
        <v>0</v>
      </c>
    </row>
    <row r="21" spans="1:18" ht="15.6" customHeight="1" x14ac:dyDescent="0.2">
      <c r="A21" s="388">
        <v>15</v>
      </c>
      <c r="B21" s="148" t="s">
        <v>19</v>
      </c>
      <c r="C21" s="389">
        <f>'8_2.1.19 SIS'!BG21</f>
        <v>0</v>
      </c>
      <c r="D21" s="390">
        <f>'Source Data'!Q21</f>
        <v>9323.3158295964131</v>
      </c>
      <c r="E21" s="391">
        <f t="shared" si="5"/>
        <v>0</v>
      </c>
      <c r="F21" s="391">
        <f>'Source Data'!G21</f>
        <v>553.79999999999995</v>
      </c>
      <c r="G21" s="391">
        <f t="shared" si="6"/>
        <v>0</v>
      </c>
      <c r="H21" s="392">
        <f t="shared" si="7"/>
        <v>0</v>
      </c>
      <c r="I21" s="150">
        <f>[2]Oct_NOCCA!$G21</f>
        <v>0</v>
      </c>
      <c r="J21" s="150">
        <f>[3]Feb_NOCCA!$G21</f>
        <v>0</v>
      </c>
      <c r="K21" s="154">
        <f t="shared" si="1"/>
        <v>0</v>
      </c>
      <c r="L21" s="392">
        <f t="shared" si="2"/>
        <v>0</v>
      </c>
      <c r="M21" s="390">
        <f>'[1]5A4_NOCCA'!$J21</f>
        <v>0</v>
      </c>
      <c r="N21" s="153">
        <f t="shared" si="8"/>
        <v>0</v>
      </c>
      <c r="O21" s="156">
        <f>('[4]5A4_NOCCA'!Q21*6)+('[7]5A4_NOCCA'!Q21*2)</f>
        <v>0</v>
      </c>
      <c r="P21" s="150">
        <f t="shared" si="9"/>
        <v>0</v>
      </c>
      <c r="Q21" s="157">
        <f t="shared" si="3"/>
        <v>0</v>
      </c>
      <c r="R21" s="157">
        <f t="shared" si="4"/>
        <v>0</v>
      </c>
    </row>
    <row r="22" spans="1:18" ht="15.6" customHeight="1" x14ac:dyDescent="0.2">
      <c r="A22" s="378">
        <v>16</v>
      </c>
      <c r="B22" s="116" t="s">
        <v>20</v>
      </c>
      <c r="C22" s="379">
        <f>'8_2.1.19 SIS'!BG22</f>
        <v>0</v>
      </c>
      <c r="D22" s="380">
        <f>'Source Data'!Q22</f>
        <v>7852.0809326424878</v>
      </c>
      <c r="E22" s="381">
        <f t="shared" si="5"/>
        <v>0</v>
      </c>
      <c r="F22" s="381">
        <f>'Source Data'!G22</f>
        <v>686.73</v>
      </c>
      <c r="G22" s="381">
        <f t="shared" si="6"/>
        <v>0</v>
      </c>
      <c r="H22" s="382">
        <f t="shared" si="7"/>
        <v>0</v>
      </c>
      <c r="I22" s="118">
        <f>[2]Oct_NOCCA!$G22</f>
        <v>0</v>
      </c>
      <c r="J22" s="118">
        <f>[3]Feb_NOCCA!$G22</f>
        <v>0</v>
      </c>
      <c r="K22" s="122">
        <f t="shared" si="1"/>
        <v>0</v>
      </c>
      <c r="L22" s="382">
        <f t="shared" si="2"/>
        <v>0</v>
      </c>
      <c r="M22" s="380">
        <f>'[1]5A4_NOCCA'!$J22</f>
        <v>0</v>
      </c>
      <c r="N22" s="121">
        <f t="shared" si="8"/>
        <v>0</v>
      </c>
      <c r="O22" s="118">
        <f>('[4]5A4_NOCCA'!Q22*6)+('[7]5A4_NOCCA'!Q22*2)</f>
        <v>0</v>
      </c>
      <c r="P22" s="118">
        <f t="shared" si="9"/>
        <v>0</v>
      </c>
      <c r="Q22" s="121">
        <f t="shared" si="3"/>
        <v>0</v>
      </c>
      <c r="R22" s="123">
        <f t="shared" si="4"/>
        <v>0</v>
      </c>
    </row>
    <row r="23" spans="1:18" ht="15.6" customHeight="1" x14ac:dyDescent="0.2">
      <c r="A23" s="383">
        <v>17</v>
      </c>
      <c r="B23" s="134" t="s">
        <v>21</v>
      </c>
      <c r="C23" s="384">
        <f>'8_2.1.19 SIS'!BG23</f>
        <v>1</v>
      </c>
      <c r="D23" s="385">
        <f>'Source Data'!Q23</f>
        <v>8150.7008961895181</v>
      </c>
      <c r="E23" s="386">
        <f t="shared" si="5"/>
        <v>8150.7008961895181</v>
      </c>
      <c r="F23" s="386">
        <f>'Source Data'!G23</f>
        <v>801.48</v>
      </c>
      <c r="G23" s="386">
        <f t="shared" si="6"/>
        <v>801.48</v>
      </c>
      <c r="H23" s="387">
        <f t="shared" si="7"/>
        <v>8952</v>
      </c>
      <c r="I23" s="136">
        <f>[2]Oct_NOCCA!$G23</f>
        <v>-8952</v>
      </c>
      <c r="J23" s="136">
        <f>[3]Feb_NOCCA!$G23</f>
        <v>0</v>
      </c>
      <c r="K23" s="140">
        <f t="shared" si="1"/>
        <v>-8952</v>
      </c>
      <c r="L23" s="387">
        <f t="shared" si="2"/>
        <v>0</v>
      </c>
      <c r="M23" s="385">
        <f>'[1]5A4_NOCCA'!$J23</f>
        <v>0</v>
      </c>
      <c r="N23" s="139">
        <f t="shared" si="8"/>
        <v>0</v>
      </c>
      <c r="O23" s="136">
        <f>('[4]5A4_NOCCA'!Q23*6)+('[7]5A4_NOCCA'!Q23*2)</f>
        <v>5968</v>
      </c>
      <c r="P23" s="136">
        <f t="shared" si="9"/>
        <v>-5968</v>
      </c>
      <c r="Q23" s="139">
        <f t="shared" si="3"/>
        <v>-1492</v>
      </c>
      <c r="R23" s="139">
        <f t="shared" si="4"/>
        <v>0</v>
      </c>
    </row>
    <row r="24" spans="1:18" ht="15.6" customHeight="1" x14ac:dyDescent="0.2">
      <c r="A24" s="383">
        <v>18</v>
      </c>
      <c r="B24" s="134" t="s">
        <v>22</v>
      </c>
      <c r="C24" s="384">
        <f>'8_2.1.19 SIS'!BG24</f>
        <v>0</v>
      </c>
      <c r="D24" s="385">
        <f>'Source Data'!Q24</f>
        <v>10018.317884187083</v>
      </c>
      <c r="E24" s="386">
        <f t="shared" si="5"/>
        <v>0</v>
      </c>
      <c r="F24" s="386">
        <f>'Source Data'!G24</f>
        <v>845.94999999999993</v>
      </c>
      <c r="G24" s="386">
        <f t="shared" si="6"/>
        <v>0</v>
      </c>
      <c r="H24" s="387">
        <f t="shared" si="7"/>
        <v>0</v>
      </c>
      <c r="I24" s="136">
        <f>[2]Oct_NOCCA!$G24</f>
        <v>0</v>
      </c>
      <c r="J24" s="136">
        <f>[3]Feb_NOCCA!$G24</f>
        <v>0</v>
      </c>
      <c r="K24" s="140">
        <f t="shared" si="1"/>
        <v>0</v>
      </c>
      <c r="L24" s="387">
        <f t="shared" si="2"/>
        <v>0</v>
      </c>
      <c r="M24" s="385">
        <f>'[1]5A4_NOCCA'!$J24</f>
        <v>0</v>
      </c>
      <c r="N24" s="139">
        <f t="shared" si="8"/>
        <v>0</v>
      </c>
      <c r="O24" s="136">
        <f>('[4]5A4_NOCCA'!Q24*6)+('[7]5A4_NOCCA'!Q24*2)</f>
        <v>0</v>
      </c>
      <c r="P24" s="136">
        <f t="shared" si="9"/>
        <v>0</v>
      </c>
      <c r="Q24" s="139">
        <f t="shared" si="3"/>
        <v>0</v>
      </c>
      <c r="R24" s="139">
        <f t="shared" si="4"/>
        <v>0</v>
      </c>
    </row>
    <row r="25" spans="1:18" ht="15.6" customHeight="1" x14ac:dyDescent="0.2">
      <c r="A25" s="383">
        <v>19</v>
      </c>
      <c r="B25" s="134" t="s">
        <v>23</v>
      </c>
      <c r="C25" s="384">
        <f>'8_2.1.19 SIS'!BG25</f>
        <v>0</v>
      </c>
      <c r="D25" s="385">
        <f>'Source Data'!Q25</f>
        <v>8644.4808436324547</v>
      </c>
      <c r="E25" s="386">
        <f t="shared" si="5"/>
        <v>0</v>
      </c>
      <c r="F25" s="386">
        <f>'Source Data'!G25</f>
        <v>905.43</v>
      </c>
      <c r="G25" s="386">
        <f t="shared" si="6"/>
        <v>0</v>
      </c>
      <c r="H25" s="387">
        <f t="shared" si="7"/>
        <v>0</v>
      </c>
      <c r="I25" s="136">
        <f>[2]Oct_NOCCA!$G25</f>
        <v>0</v>
      </c>
      <c r="J25" s="136">
        <f>[3]Feb_NOCCA!$G25</f>
        <v>0</v>
      </c>
      <c r="K25" s="140">
        <f t="shared" si="1"/>
        <v>0</v>
      </c>
      <c r="L25" s="387">
        <f t="shared" si="2"/>
        <v>0</v>
      </c>
      <c r="M25" s="385">
        <f>'[1]5A4_NOCCA'!$J25</f>
        <v>0</v>
      </c>
      <c r="N25" s="139">
        <f t="shared" si="8"/>
        <v>0</v>
      </c>
      <c r="O25" s="136">
        <f>('[4]5A4_NOCCA'!Q25*6)+('[7]5A4_NOCCA'!Q25*2)</f>
        <v>0</v>
      </c>
      <c r="P25" s="136">
        <f t="shared" si="9"/>
        <v>0</v>
      </c>
      <c r="Q25" s="139">
        <f t="shared" si="3"/>
        <v>0</v>
      </c>
      <c r="R25" s="139">
        <f t="shared" si="4"/>
        <v>0</v>
      </c>
    </row>
    <row r="26" spans="1:18" ht="15.6" customHeight="1" x14ac:dyDescent="0.2">
      <c r="A26" s="388">
        <v>20</v>
      </c>
      <c r="B26" s="148" t="s">
        <v>24</v>
      </c>
      <c r="C26" s="389">
        <f>'8_2.1.19 SIS'!BG26</f>
        <v>0</v>
      </c>
      <c r="D26" s="390">
        <f>'Source Data'!Q26</f>
        <v>8404.2197593153869</v>
      </c>
      <c r="E26" s="391">
        <f t="shared" si="5"/>
        <v>0</v>
      </c>
      <c r="F26" s="391">
        <f>'Source Data'!G26</f>
        <v>586.16999999999996</v>
      </c>
      <c r="G26" s="391">
        <f t="shared" si="6"/>
        <v>0</v>
      </c>
      <c r="H26" s="392">
        <f t="shared" si="7"/>
        <v>0</v>
      </c>
      <c r="I26" s="150">
        <f>[2]Oct_NOCCA!$G26</f>
        <v>0</v>
      </c>
      <c r="J26" s="150">
        <f>[3]Feb_NOCCA!$G26</f>
        <v>0</v>
      </c>
      <c r="K26" s="154">
        <f t="shared" si="1"/>
        <v>0</v>
      </c>
      <c r="L26" s="392">
        <f t="shared" si="2"/>
        <v>0</v>
      </c>
      <c r="M26" s="390">
        <f>'[1]5A4_NOCCA'!$J26</f>
        <v>0</v>
      </c>
      <c r="N26" s="153">
        <f t="shared" si="8"/>
        <v>0</v>
      </c>
      <c r="O26" s="156">
        <f>('[4]5A4_NOCCA'!Q26*6)+('[7]5A4_NOCCA'!Q26*2)</f>
        <v>0</v>
      </c>
      <c r="P26" s="150">
        <f t="shared" si="9"/>
        <v>0</v>
      </c>
      <c r="Q26" s="157">
        <f t="shared" si="3"/>
        <v>0</v>
      </c>
      <c r="R26" s="157">
        <f t="shared" si="4"/>
        <v>0</v>
      </c>
    </row>
    <row r="27" spans="1:18" ht="15.6" customHeight="1" x14ac:dyDescent="0.2">
      <c r="A27" s="378">
        <v>21</v>
      </c>
      <c r="B27" s="116" t="s">
        <v>25</v>
      </c>
      <c r="C27" s="379">
        <f>'8_2.1.19 SIS'!BG27</f>
        <v>0</v>
      </c>
      <c r="D27" s="380">
        <f>'Source Data'!Q27</f>
        <v>9013.7568064952648</v>
      </c>
      <c r="E27" s="381">
        <f t="shared" si="5"/>
        <v>0</v>
      </c>
      <c r="F27" s="381">
        <f>'Source Data'!G27</f>
        <v>610.35</v>
      </c>
      <c r="G27" s="381">
        <f t="shared" si="6"/>
        <v>0</v>
      </c>
      <c r="H27" s="382">
        <f t="shared" si="7"/>
        <v>0</v>
      </c>
      <c r="I27" s="118">
        <f>[2]Oct_NOCCA!$G27</f>
        <v>0</v>
      </c>
      <c r="J27" s="118">
        <f>[3]Feb_NOCCA!$G27</f>
        <v>0</v>
      </c>
      <c r="K27" s="122">
        <f t="shared" si="1"/>
        <v>0</v>
      </c>
      <c r="L27" s="382">
        <f t="shared" si="2"/>
        <v>0</v>
      </c>
      <c r="M27" s="380">
        <f>'[1]5A4_NOCCA'!$J27</f>
        <v>0</v>
      </c>
      <c r="N27" s="121">
        <f t="shared" si="8"/>
        <v>0</v>
      </c>
      <c r="O27" s="118">
        <f>('[4]5A4_NOCCA'!Q27*6)+('[7]5A4_NOCCA'!Q27*2)</f>
        <v>0</v>
      </c>
      <c r="P27" s="118">
        <f t="shared" si="9"/>
        <v>0</v>
      </c>
      <c r="Q27" s="121">
        <f t="shared" si="3"/>
        <v>0</v>
      </c>
      <c r="R27" s="123">
        <f t="shared" si="4"/>
        <v>0</v>
      </c>
    </row>
    <row r="28" spans="1:18" ht="15.6" customHeight="1" x14ac:dyDescent="0.2">
      <c r="A28" s="383">
        <v>22</v>
      </c>
      <c r="B28" s="134" t="s">
        <v>26</v>
      </c>
      <c r="C28" s="384">
        <f>'8_2.1.19 SIS'!BG28</f>
        <v>0</v>
      </c>
      <c r="D28" s="385">
        <f>'Source Data'!Q28</f>
        <v>8966.678524871355</v>
      </c>
      <c r="E28" s="386">
        <f t="shared" si="5"/>
        <v>0</v>
      </c>
      <c r="F28" s="386">
        <f>'Source Data'!G28</f>
        <v>496.36</v>
      </c>
      <c r="G28" s="386">
        <f t="shared" si="6"/>
        <v>0</v>
      </c>
      <c r="H28" s="387">
        <f t="shared" si="7"/>
        <v>0</v>
      </c>
      <c r="I28" s="136">
        <f>[2]Oct_NOCCA!$G28</f>
        <v>0</v>
      </c>
      <c r="J28" s="136">
        <f>[3]Feb_NOCCA!$G28</f>
        <v>0</v>
      </c>
      <c r="K28" s="140">
        <f t="shared" si="1"/>
        <v>0</v>
      </c>
      <c r="L28" s="387">
        <f t="shared" si="2"/>
        <v>0</v>
      </c>
      <c r="M28" s="385">
        <f>'[1]5A4_NOCCA'!$J28</f>
        <v>0</v>
      </c>
      <c r="N28" s="139">
        <f t="shared" si="8"/>
        <v>0</v>
      </c>
      <c r="O28" s="136">
        <f>('[4]5A4_NOCCA'!Q28*6)+('[7]5A4_NOCCA'!Q28*2)</f>
        <v>0</v>
      </c>
      <c r="P28" s="136">
        <f t="shared" si="9"/>
        <v>0</v>
      </c>
      <c r="Q28" s="139">
        <f t="shared" si="3"/>
        <v>0</v>
      </c>
      <c r="R28" s="139">
        <f t="shared" si="4"/>
        <v>0</v>
      </c>
    </row>
    <row r="29" spans="1:18" ht="15.6" customHeight="1" x14ac:dyDescent="0.2">
      <c r="A29" s="383">
        <v>23</v>
      </c>
      <c r="B29" s="134" t="s">
        <v>27</v>
      </c>
      <c r="C29" s="384">
        <f>'8_2.1.19 SIS'!BG29</f>
        <v>0</v>
      </c>
      <c r="D29" s="385">
        <f>'Source Data'!Q29</f>
        <v>8906.389789232906</v>
      </c>
      <c r="E29" s="386">
        <f t="shared" si="5"/>
        <v>0</v>
      </c>
      <c r="F29" s="386">
        <f>'Source Data'!G29</f>
        <v>688.58</v>
      </c>
      <c r="G29" s="386">
        <f t="shared" si="6"/>
        <v>0</v>
      </c>
      <c r="H29" s="387">
        <f t="shared" si="7"/>
        <v>0</v>
      </c>
      <c r="I29" s="136">
        <f>[2]Oct_NOCCA!$G29</f>
        <v>0</v>
      </c>
      <c r="J29" s="136">
        <f>[3]Feb_NOCCA!$G29</f>
        <v>0</v>
      </c>
      <c r="K29" s="140">
        <f t="shared" si="1"/>
        <v>0</v>
      </c>
      <c r="L29" s="387">
        <f t="shared" si="2"/>
        <v>0</v>
      </c>
      <c r="M29" s="385">
        <f>'[1]5A4_NOCCA'!$J29</f>
        <v>0</v>
      </c>
      <c r="N29" s="139">
        <f t="shared" si="8"/>
        <v>0</v>
      </c>
      <c r="O29" s="136">
        <f>('[4]5A4_NOCCA'!Q29*6)+('[7]5A4_NOCCA'!Q29*2)</f>
        <v>0</v>
      </c>
      <c r="P29" s="136">
        <f t="shared" si="9"/>
        <v>0</v>
      </c>
      <c r="Q29" s="139">
        <f t="shared" si="3"/>
        <v>0</v>
      </c>
      <c r="R29" s="139">
        <f t="shared" si="4"/>
        <v>0</v>
      </c>
    </row>
    <row r="30" spans="1:18" ht="15.6" customHeight="1" x14ac:dyDescent="0.2">
      <c r="A30" s="383">
        <v>24</v>
      </c>
      <c r="B30" s="134" t="s">
        <v>28</v>
      </c>
      <c r="C30" s="384">
        <f>'8_2.1.19 SIS'!BG30</f>
        <v>0</v>
      </c>
      <c r="D30" s="385">
        <f>'Source Data'!Q30</f>
        <v>8299.1035455543351</v>
      </c>
      <c r="E30" s="386">
        <f t="shared" si="5"/>
        <v>0</v>
      </c>
      <c r="F30" s="386">
        <f>'Source Data'!G30</f>
        <v>854.24999999999989</v>
      </c>
      <c r="G30" s="386">
        <f t="shared" si="6"/>
        <v>0</v>
      </c>
      <c r="H30" s="387">
        <f t="shared" si="7"/>
        <v>0</v>
      </c>
      <c r="I30" s="136">
        <f>[2]Oct_NOCCA!$G30</f>
        <v>0</v>
      </c>
      <c r="J30" s="136">
        <f>[3]Feb_NOCCA!$G30</f>
        <v>0</v>
      </c>
      <c r="K30" s="140">
        <f t="shared" si="1"/>
        <v>0</v>
      </c>
      <c r="L30" s="387">
        <f t="shared" si="2"/>
        <v>0</v>
      </c>
      <c r="M30" s="385">
        <f>'[1]5A4_NOCCA'!$J30</f>
        <v>0</v>
      </c>
      <c r="N30" s="139">
        <f t="shared" si="8"/>
        <v>0</v>
      </c>
      <c r="O30" s="136">
        <f>('[4]5A4_NOCCA'!Q30*6)+('[7]5A4_NOCCA'!Q30*2)</f>
        <v>0</v>
      </c>
      <c r="P30" s="136">
        <f t="shared" si="9"/>
        <v>0</v>
      </c>
      <c r="Q30" s="139">
        <f t="shared" si="3"/>
        <v>0</v>
      </c>
      <c r="R30" s="139">
        <f t="shared" si="4"/>
        <v>0</v>
      </c>
    </row>
    <row r="31" spans="1:18" ht="15.6" customHeight="1" x14ac:dyDescent="0.2">
      <c r="A31" s="388">
        <v>25</v>
      </c>
      <c r="B31" s="148" t="s">
        <v>29</v>
      </c>
      <c r="C31" s="389">
        <f>'8_2.1.19 SIS'!BG31</f>
        <v>0</v>
      </c>
      <c r="D31" s="390">
        <f>'Source Data'!Q31</f>
        <v>9074.4512483281324</v>
      </c>
      <c r="E31" s="391">
        <f t="shared" si="5"/>
        <v>0</v>
      </c>
      <c r="F31" s="391">
        <f>'Source Data'!G31</f>
        <v>653.73</v>
      </c>
      <c r="G31" s="391">
        <f t="shared" si="6"/>
        <v>0</v>
      </c>
      <c r="H31" s="392">
        <f t="shared" si="7"/>
        <v>0</v>
      </c>
      <c r="I31" s="150">
        <f>[2]Oct_NOCCA!$G31</f>
        <v>0</v>
      </c>
      <c r="J31" s="150">
        <f>[3]Feb_NOCCA!$G31</f>
        <v>0</v>
      </c>
      <c r="K31" s="154">
        <f t="shared" si="1"/>
        <v>0</v>
      </c>
      <c r="L31" s="392">
        <f t="shared" si="2"/>
        <v>0</v>
      </c>
      <c r="M31" s="390">
        <f>'[1]5A4_NOCCA'!$J31</f>
        <v>0</v>
      </c>
      <c r="N31" s="153">
        <f t="shared" si="8"/>
        <v>0</v>
      </c>
      <c r="O31" s="156">
        <f>('[4]5A4_NOCCA'!Q31*6)+('[7]5A4_NOCCA'!Q31*2)</f>
        <v>0</v>
      </c>
      <c r="P31" s="150">
        <f t="shared" si="9"/>
        <v>0</v>
      </c>
      <c r="Q31" s="157">
        <f t="shared" si="3"/>
        <v>0</v>
      </c>
      <c r="R31" s="157">
        <f t="shared" si="4"/>
        <v>0</v>
      </c>
    </row>
    <row r="32" spans="1:18" ht="15.6" customHeight="1" x14ac:dyDescent="0.2">
      <c r="A32" s="378">
        <v>26</v>
      </c>
      <c r="B32" s="116" t="s">
        <v>30</v>
      </c>
      <c r="C32" s="379">
        <f>'8_2.1.19 SIS'!BG32</f>
        <v>49</v>
      </c>
      <c r="D32" s="380">
        <f>'Source Data'!Q32</f>
        <v>8543.7164514436754</v>
      </c>
      <c r="E32" s="381">
        <f t="shared" si="5"/>
        <v>418642.10612074012</v>
      </c>
      <c r="F32" s="381">
        <f>'Source Data'!G32</f>
        <v>836.83</v>
      </c>
      <c r="G32" s="381">
        <f t="shared" si="6"/>
        <v>41004.670000000006</v>
      </c>
      <c r="H32" s="382">
        <f t="shared" si="7"/>
        <v>459647</v>
      </c>
      <c r="I32" s="118">
        <f>[2]Oct_NOCCA!$G32</f>
        <v>-84425</v>
      </c>
      <c r="J32" s="118">
        <f>[3]Feb_NOCCA!$G32</f>
        <v>9381</v>
      </c>
      <c r="K32" s="122">
        <f t="shared" si="1"/>
        <v>-75044</v>
      </c>
      <c r="L32" s="382">
        <f t="shared" si="2"/>
        <v>384603</v>
      </c>
      <c r="M32" s="380">
        <f>'[1]5A4_NOCCA'!$J32</f>
        <v>0</v>
      </c>
      <c r="N32" s="121">
        <f t="shared" si="8"/>
        <v>384603</v>
      </c>
      <c r="O32" s="118">
        <f>('[4]5A4_NOCCA'!Q32*6)+('[7]5A4_NOCCA'!Q32*2)</f>
        <v>306432</v>
      </c>
      <c r="P32" s="118">
        <f t="shared" si="9"/>
        <v>78171</v>
      </c>
      <c r="Q32" s="121">
        <f t="shared" si="3"/>
        <v>19543</v>
      </c>
      <c r="R32" s="123">
        <f t="shared" si="4"/>
        <v>384603</v>
      </c>
    </row>
    <row r="33" spans="1:18" ht="15.6" customHeight="1" x14ac:dyDescent="0.2">
      <c r="A33" s="383">
        <v>27</v>
      </c>
      <c r="B33" s="134" t="s">
        <v>31</v>
      </c>
      <c r="C33" s="384">
        <f>'8_2.1.19 SIS'!BG33</f>
        <v>0</v>
      </c>
      <c r="D33" s="385">
        <f>'Source Data'!Q33</f>
        <v>9244.9526943942128</v>
      </c>
      <c r="E33" s="386">
        <f t="shared" si="5"/>
        <v>0</v>
      </c>
      <c r="F33" s="386">
        <f>'Source Data'!G33</f>
        <v>693.06</v>
      </c>
      <c r="G33" s="386">
        <f t="shared" si="6"/>
        <v>0</v>
      </c>
      <c r="H33" s="387">
        <f t="shared" si="7"/>
        <v>0</v>
      </c>
      <c r="I33" s="136">
        <f>[2]Oct_NOCCA!$G33</f>
        <v>0</v>
      </c>
      <c r="J33" s="136">
        <f>[3]Feb_NOCCA!$G33</f>
        <v>0</v>
      </c>
      <c r="K33" s="140">
        <f t="shared" si="1"/>
        <v>0</v>
      </c>
      <c r="L33" s="387">
        <f t="shared" si="2"/>
        <v>0</v>
      </c>
      <c r="M33" s="385">
        <f>'[1]5A4_NOCCA'!$J33</f>
        <v>0</v>
      </c>
      <c r="N33" s="139">
        <f t="shared" si="8"/>
        <v>0</v>
      </c>
      <c r="O33" s="136">
        <f>('[4]5A4_NOCCA'!Q33*6)+('[7]5A4_NOCCA'!Q33*2)</f>
        <v>0</v>
      </c>
      <c r="P33" s="136">
        <f t="shared" si="9"/>
        <v>0</v>
      </c>
      <c r="Q33" s="139">
        <f t="shared" si="3"/>
        <v>0</v>
      </c>
      <c r="R33" s="139">
        <f t="shared" si="4"/>
        <v>0</v>
      </c>
    </row>
    <row r="34" spans="1:18" ht="15.6" customHeight="1" x14ac:dyDescent="0.2">
      <c r="A34" s="383">
        <v>28</v>
      </c>
      <c r="B34" s="134" t="s">
        <v>32</v>
      </c>
      <c r="C34" s="384">
        <f>'8_2.1.19 SIS'!BG34</f>
        <v>0</v>
      </c>
      <c r="D34" s="385">
        <f>'Source Data'!Q34</f>
        <v>7851.1201503667107</v>
      </c>
      <c r="E34" s="386">
        <f t="shared" si="5"/>
        <v>0</v>
      </c>
      <c r="F34" s="386">
        <f>'Source Data'!G34</f>
        <v>694.4</v>
      </c>
      <c r="G34" s="386">
        <f t="shared" si="6"/>
        <v>0</v>
      </c>
      <c r="H34" s="387">
        <f t="shared" si="7"/>
        <v>0</v>
      </c>
      <c r="I34" s="136">
        <f>[2]Oct_NOCCA!$G34</f>
        <v>0</v>
      </c>
      <c r="J34" s="136">
        <f>[3]Feb_NOCCA!$G34</f>
        <v>0</v>
      </c>
      <c r="K34" s="140">
        <f t="shared" si="1"/>
        <v>0</v>
      </c>
      <c r="L34" s="387">
        <f t="shared" si="2"/>
        <v>0</v>
      </c>
      <c r="M34" s="385">
        <f>'[1]5A4_NOCCA'!$J34</f>
        <v>0</v>
      </c>
      <c r="N34" s="139">
        <f t="shared" si="8"/>
        <v>0</v>
      </c>
      <c r="O34" s="136">
        <f>('[4]5A4_NOCCA'!Q34*6)+('[7]5A4_NOCCA'!Q34*2)</f>
        <v>0</v>
      </c>
      <c r="P34" s="136">
        <f t="shared" si="9"/>
        <v>0</v>
      </c>
      <c r="Q34" s="139">
        <f t="shared" si="3"/>
        <v>0</v>
      </c>
      <c r="R34" s="139">
        <f t="shared" si="4"/>
        <v>0</v>
      </c>
    </row>
    <row r="35" spans="1:18" ht="15.6" customHeight="1" x14ac:dyDescent="0.2">
      <c r="A35" s="383">
        <v>29</v>
      </c>
      <c r="B35" s="134" t="s">
        <v>33</v>
      </c>
      <c r="C35" s="384">
        <f>'8_2.1.19 SIS'!BG35</f>
        <v>0</v>
      </c>
      <c r="D35" s="385">
        <f>'Source Data'!Q35</f>
        <v>8101.5394635685598</v>
      </c>
      <c r="E35" s="386">
        <f t="shared" si="5"/>
        <v>0</v>
      </c>
      <c r="F35" s="386">
        <f>'Source Data'!G35</f>
        <v>754.94999999999993</v>
      </c>
      <c r="G35" s="386">
        <f t="shared" si="6"/>
        <v>0</v>
      </c>
      <c r="H35" s="387">
        <f t="shared" si="7"/>
        <v>0</v>
      </c>
      <c r="I35" s="136">
        <f>[2]Oct_NOCCA!$G35</f>
        <v>0</v>
      </c>
      <c r="J35" s="136">
        <f>[3]Feb_NOCCA!$G35</f>
        <v>0</v>
      </c>
      <c r="K35" s="140">
        <f t="shared" si="1"/>
        <v>0</v>
      </c>
      <c r="L35" s="387">
        <f t="shared" si="2"/>
        <v>0</v>
      </c>
      <c r="M35" s="385">
        <f>'[1]5A4_NOCCA'!$J35</f>
        <v>0</v>
      </c>
      <c r="N35" s="139">
        <f t="shared" si="8"/>
        <v>0</v>
      </c>
      <c r="O35" s="136">
        <f>('[4]5A4_NOCCA'!Q35*6)+('[7]5A4_NOCCA'!Q35*2)</f>
        <v>0</v>
      </c>
      <c r="P35" s="136">
        <f t="shared" si="9"/>
        <v>0</v>
      </c>
      <c r="Q35" s="139">
        <f t="shared" si="3"/>
        <v>0</v>
      </c>
      <c r="R35" s="139">
        <f t="shared" si="4"/>
        <v>0</v>
      </c>
    </row>
    <row r="36" spans="1:18" ht="15.6" customHeight="1" x14ac:dyDescent="0.2">
      <c r="A36" s="388">
        <v>30</v>
      </c>
      <c r="B36" s="148" t="s">
        <v>34</v>
      </c>
      <c r="C36" s="389">
        <f>'8_2.1.19 SIS'!BG36</f>
        <v>0</v>
      </c>
      <c r="D36" s="390">
        <f>'Source Data'!Q36</f>
        <v>9331.5241421073879</v>
      </c>
      <c r="E36" s="391">
        <f t="shared" si="5"/>
        <v>0</v>
      </c>
      <c r="F36" s="391">
        <f>'Source Data'!G36</f>
        <v>727.17</v>
      </c>
      <c r="G36" s="391">
        <f t="shared" si="6"/>
        <v>0</v>
      </c>
      <c r="H36" s="392">
        <f t="shared" si="7"/>
        <v>0</v>
      </c>
      <c r="I36" s="150">
        <f>[2]Oct_NOCCA!$G36</f>
        <v>0</v>
      </c>
      <c r="J36" s="150">
        <f>[3]Feb_NOCCA!$G36</f>
        <v>0</v>
      </c>
      <c r="K36" s="154">
        <f t="shared" si="1"/>
        <v>0</v>
      </c>
      <c r="L36" s="392">
        <f t="shared" si="2"/>
        <v>0</v>
      </c>
      <c r="M36" s="390">
        <f>'[1]5A4_NOCCA'!$J36</f>
        <v>0</v>
      </c>
      <c r="N36" s="153">
        <f t="shared" si="8"/>
        <v>0</v>
      </c>
      <c r="O36" s="156">
        <f>('[4]5A4_NOCCA'!Q36*6)+('[7]5A4_NOCCA'!Q36*2)</f>
        <v>0</v>
      </c>
      <c r="P36" s="150">
        <f t="shared" si="9"/>
        <v>0</v>
      </c>
      <c r="Q36" s="157">
        <f t="shared" si="3"/>
        <v>0</v>
      </c>
      <c r="R36" s="157">
        <f t="shared" si="4"/>
        <v>0</v>
      </c>
    </row>
    <row r="37" spans="1:18" ht="15.6" customHeight="1" x14ac:dyDescent="0.2">
      <c r="A37" s="378">
        <v>31</v>
      </c>
      <c r="B37" s="116" t="s">
        <v>35</v>
      </c>
      <c r="C37" s="379">
        <f>'8_2.1.19 SIS'!BG37</f>
        <v>0</v>
      </c>
      <c r="D37" s="380">
        <f>'Source Data'!Q37</f>
        <v>8803.9603147699763</v>
      </c>
      <c r="E37" s="381">
        <f t="shared" si="5"/>
        <v>0</v>
      </c>
      <c r="F37" s="381">
        <f>'Source Data'!G37</f>
        <v>620.83000000000004</v>
      </c>
      <c r="G37" s="381">
        <f t="shared" si="6"/>
        <v>0</v>
      </c>
      <c r="H37" s="382">
        <f t="shared" si="7"/>
        <v>0</v>
      </c>
      <c r="I37" s="118">
        <f>[2]Oct_NOCCA!$G37</f>
        <v>0</v>
      </c>
      <c r="J37" s="118">
        <f>[3]Feb_NOCCA!$G37</f>
        <v>0</v>
      </c>
      <c r="K37" s="122">
        <f t="shared" si="1"/>
        <v>0</v>
      </c>
      <c r="L37" s="382">
        <f t="shared" si="2"/>
        <v>0</v>
      </c>
      <c r="M37" s="380">
        <f>'[1]5A4_NOCCA'!$J37</f>
        <v>0</v>
      </c>
      <c r="N37" s="121">
        <f t="shared" si="8"/>
        <v>0</v>
      </c>
      <c r="O37" s="118">
        <f>('[4]5A4_NOCCA'!Q37*6)+('[7]5A4_NOCCA'!Q37*2)</f>
        <v>0</v>
      </c>
      <c r="P37" s="118">
        <f t="shared" si="9"/>
        <v>0</v>
      </c>
      <c r="Q37" s="121">
        <f t="shared" si="3"/>
        <v>0</v>
      </c>
      <c r="R37" s="123">
        <f t="shared" si="4"/>
        <v>0</v>
      </c>
    </row>
    <row r="38" spans="1:18" ht="15.6" customHeight="1" x14ac:dyDescent="0.2">
      <c r="A38" s="383">
        <v>32</v>
      </c>
      <c r="B38" s="134" t="s">
        <v>36</v>
      </c>
      <c r="C38" s="384">
        <f>'8_2.1.19 SIS'!BG38</f>
        <v>0</v>
      </c>
      <c r="D38" s="385">
        <f>'Source Data'!Q38</f>
        <v>8577.3814714773671</v>
      </c>
      <c r="E38" s="386">
        <f t="shared" si="5"/>
        <v>0</v>
      </c>
      <c r="F38" s="386">
        <f>'Source Data'!G38</f>
        <v>559.77</v>
      </c>
      <c r="G38" s="386">
        <f t="shared" si="6"/>
        <v>0</v>
      </c>
      <c r="H38" s="387">
        <f t="shared" si="7"/>
        <v>0</v>
      </c>
      <c r="I38" s="136">
        <f>[2]Oct_NOCCA!$G38</f>
        <v>0</v>
      </c>
      <c r="J38" s="136">
        <f>[3]Feb_NOCCA!$G38</f>
        <v>0</v>
      </c>
      <c r="K38" s="140">
        <f t="shared" si="1"/>
        <v>0</v>
      </c>
      <c r="L38" s="387">
        <f t="shared" si="2"/>
        <v>0</v>
      </c>
      <c r="M38" s="385">
        <f>'[1]5A4_NOCCA'!$J38</f>
        <v>0</v>
      </c>
      <c r="N38" s="139">
        <f t="shared" si="8"/>
        <v>0</v>
      </c>
      <c r="O38" s="136">
        <f>('[4]5A4_NOCCA'!Q38*6)+('[7]5A4_NOCCA'!Q38*2)</f>
        <v>0</v>
      </c>
      <c r="P38" s="136">
        <f t="shared" si="9"/>
        <v>0</v>
      </c>
      <c r="Q38" s="139">
        <f t="shared" si="3"/>
        <v>0</v>
      </c>
      <c r="R38" s="139">
        <f t="shared" si="4"/>
        <v>0</v>
      </c>
    </row>
    <row r="39" spans="1:18" ht="15.6" customHeight="1" x14ac:dyDescent="0.2">
      <c r="A39" s="383">
        <v>33</v>
      </c>
      <c r="B39" s="134" t="s">
        <v>37</v>
      </c>
      <c r="C39" s="384">
        <f>'8_2.1.19 SIS'!BG39</f>
        <v>0</v>
      </c>
      <c r="D39" s="385">
        <f>'Source Data'!Q39</f>
        <v>9697.9948429319375</v>
      </c>
      <c r="E39" s="386">
        <f t="shared" si="5"/>
        <v>0</v>
      </c>
      <c r="F39" s="386">
        <f>'Source Data'!G39</f>
        <v>655.31000000000006</v>
      </c>
      <c r="G39" s="386">
        <f t="shared" si="6"/>
        <v>0</v>
      </c>
      <c r="H39" s="387">
        <f t="shared" si="7"/>
        <v>0</v>
      </c>
      <c r="I39" s="136">
        <f>[2]Oct_NOCCA!$G39</f>
        <v>0</v>
      </c>
      <c r="J39" s="136">
        <f>[3]Feb_NOCCA!$G39</f>
        <v>0</v>
      </c>
      <c r="K39" s="140">
        <f t="shared" ref="K39:K70" si="10">I39+J39</f>
        <v>0</v>
      </c>
      <c r="L39" s="387">
        <f t="shared" si="2"/>
        <v>0</v>
      </c>
      <c r="M39" s="385">
        <f>'[1]5A4_NOCCA'!$J39</f>
        <v>0</v>
      </c>
      <c r="N39" s="139">
        <f t="shared" si="8"/>
        <v>0</v>
      </c>
      <c r="O39" s="136">
        <f>('[4]5A4_NOCCA'!Q39*6)+('[7]5A4_NOCCA'!Q39*2)</f>
        <v>0</v>
      </c>
      <c r="P39" s="136">
        <f t="shared" si="9"/>
        <v>0</v>
      </c>
      <c r="Q39" s="139">
        <f t="shared" ref="Q39:Q70" si="11">ROUND(P39/$Q$86,0)</f>
        <v>0</v>
      </c>
      <c r="R39" s="139">
        <f t="shared" ref="R39:R75" si="12">N39</f>
        <v>0</v>
      </c>
    </row>
    <row r="40" spans="1:18" ht="15.6" customHeight="1" x14ac:dyDescent="0.2">
      <c r="A40" s="383">
        <v>34</v>
      </c>
      <c r="B40" s="134" t="s">
        <v>38</v>
      </c>
      <c r="C40" s="384">
        <f>'8_2.1.19 SIS'!BG40</f>
        <v>0</v>
      </c>
      <c r="D40" s="385">
        <f>'Source Data'!Q40</f>
        <v>9662.9807619562271</v>
      </c>
      <c r="E40" s="386">
        <f t="shared" si="5"/>
        <v>0</v>
      </c>
      <c r="F40" s="386">
        <f>'Source Data'!G40</f>
        <v>644.11000000000013</v>
      </c>
      <c r="G40" s="386">
        <f t="shared" si="6"/>
        <v>0</v>
      </c>
      <c r="H40" s="387">
        <f t="shared" si="7"/>
        <v>0</v>
      </c>
      <c r="I40" s="136">
        <f>[2]Oct_NOCCA!$G40</f>
        <v>0</v>
      </c>
      <c r="J40" s="136">
        <f>[3]Feb_NOCCA!$G40</f>
        <v>0</v>
      </c>
      <c r="K40" s="140">
        <f t="shared" si="10"/>
        <v>0</v>
      </c>
      <c r="L40" s="387">
        <f t="shared" si="2"/>
        <v>0</v>
      </c>
      <c r="M40" s="385">
        <f>'[1]5A4_NOCCA'!$J40</f>
        <v>0</v>
      </c>
      <c r="N40" s="139">
        <f t="shared" si="8"/>
        <v>0</v>
      </c>
      <c r="O40" s="136">
        <f>('[4]5A4_NOCCA'!Q40*6)+('[7]5A4_NOCCA'!Q40*2)</f>
        <v>0</v>
      </c>
      <c r="P40" s="136">
        <f t="shared" si="9"/>
        <v>0</v>
      </c>
      <c r="Q40" s="139">
        <f t="shared" si="11"/>
        <v>0</v>
      </c>
      <c r="R40" s="139">
        <f t="shared" si="12"/>
        <v>0</v>
      </c>
    </row>
    <row r="41" spans="1:18" ht="15.6" customHeight="1" x14ac:dyDescent="0.2">
      <c r="A41" s="388">
        <v>35</v>
      </c>
      <c r="B41" s="148" t="s">
        <v>39</v>
      </c>
      <c r="C41" s="389">
        <f>'8_2.1.19 SIS'!BG41</f>
        <v>0</v>
      </c>
      <c r="D41" s="390">
        <f>'Source Data'!Q41</f>
        <v>8833.0821272194444</v>
      </c>
      <c r="E41" s="391">
        <f t="shared" si="5"/>
        <v>0</v>
      </c>
      <c r="F41" s="391">
        <f>'Source Data'!G41</f>
        <v>537.96</v>
      </c>
      <c r="G41" s="391">
        <f t="shared" si="6"/>
        <v>0</v>
      </c>
      <c r="H41" s="392">
        <f t="shared" si="7"/>
        <v>0</v>
      </c>
      <c r="I41" s="150">
        <f>[2]Oct_NOCCA!$G41</f>
        <v>0</v>
      </c>
      <c r="J41" s="150">
        <f>[3]Feb_NOCCA!$G41</f>
        <v>0</v>
      </c>
      <c r="K41" s="154">
        <f t="shared" si="10"/>
        <v>0</v>
      </c>
      <c r="L41" s="392">
        <f t="shared" si="2"/>
        <v>0</v>
      </c>
      <c r="M41" s="390">
        <f>'[1]5A4_NOCCA'!$J41</f>
        <v>0</v>
      </c>
      <c r="N41" s="153">
        <f t="shared" si="8"/>
        <v>0</v>
      </c>
      <c r="O41" s="156">
        <f>('[4]5A4_NOCCA'!Q41*6)+('[7]5A4_NOCCA'!Q41*2)</f>
        <v>0</v>
      </c>
      <c r="P41" s="150">
        <f t="shared" si="9"/>
        <v>0</v>
      </c>
      <c r="Q41" s="157">
        <f t="shared" si="11"/>
        <v>0</v>
      </c>
      <c r="R41" s="157">
        <f t="shared" si="12"/>
        <v>0</v>
      </c>
    </row>
    <row r="42" spans="1:18" ht="15.6" customHeight="1" x14ac:dyDescent="0.2">
      <c r="A42" s="378">
        <v>36</v>
      </c>
      <c r="B42" s="116" t="s">
        <v>40</v>
      </c>
      <c r="C42" s="379">
        <f>'8_2.1.19 SIS'!BG42</f>
        <v>115</v>
      </c>
      <c r="D42" s="380">
        <f>'Source Data'!Q42</f>
        <v>8391.5668786376373</v>
      </c>
      <c r="E42" s="381">
        <f t="shared" si="5"/>
        <v>965030.19104332826</v>
      </c>
      <c r="F42" s="381">
        <f>'Source Data'!G42</f>
        <v>746.03</v>
      </c>
      <c r="G42" s="381">
        <f t="shared" si="6"/>
        <v>85793.45</v>
      </c>
      <c r="H42" s="382">
        <f t="shared" si="7"/>
        <v>1050824</v>
      </c>
      <c r="I42" s="118">
        <f>[2]Oct_NOCCA!$G42</f>
        <v>54826</v>
      </c>
      <c r="J42" s="118">
        <f>[3]Feb_NOCCA!$G42</f>
        <v>-18275</v>
      </c>
      <c r="K42" s="122">
        <f t="shared" si="10"/>
        <v>36551</v>
      </c>
      <c r="L42" s="382">
        <f t="shared" si="2"/>
        <v>1087375</v>
      </c>
      <c r="M42" s="380">
        <f>'[1]5A4_NOCCA'!$J42</f>
        <v>0</v>
      </c>
      <c r="N42" s="121">
        <f t="shared" si="8"/>
        <v>1087375</v>
      </c>
      <c r="O42" s="118">
        <f>('[4]5A4_NOCCA'!Q42*6)+('[7]5A4_NOCCA'!Q42*2)</f>
        <v>700550</v>
      </c>
      <c r="P42" s="118">
        <f t="shared" si="9"/>
        <v>386825</v>
      </c>
      <c r="Q42" s="121">
        <f t="shared" si="11"/>
        <v>96706</v>
      </c>
      <c r="R42" s="123">
        <f t="shared" si="12"/>
        <v>1087375</v>
      </c>
    </row>
    <row r="43" spans="1:18" ht="15.6" customHeight="1" x14ac:dyDescent="0.2">
      <c r="A43" s="383">
        <v>37</v>
      </c>
      <c r="B43" s="134" t="s">
        <v>41</v>
      </c>
      <c r="C43" s="384">
        <f>'8_2.1.19 SIS'!BG43</f>
        <v>0</v>
      </c>
      <c r="D43" s="385">
        <f>'Source Data'!Q43</f>
        <v>8950.0462254120139</v>
      </c>
      <c r="E43" s="386">
        <f t="shared" si="5"/>
        <v>0</v>
      </c>
      <c r="F43" s="386">
        <f>'Source Data'!G43</f>
        <v>653.61</v>
      </c>
      <c r="G43" s="386">
        <f t="shared" si="6"/>
        <v>0</v>
      </c>
      <c r="H43" s="387">
        <f t="shared" si="7"/>
        <v>0</v>
      </c>
      <c r="I43" s="136">
        <f>[2]Oct_NOCCA!$G43</f>
        <v>0</v>
      </c>
      <c r="J43" s="136">
        <f>[3]Feb_NOCCA!$G43</f>
        <v>0</v>
      </c>
      <c r="K43" s="140">
        <f t="shared" si="10"/>
        <v>0</v>
      </c>
      <c r="L43" s="387">
        <f t="shared" si="2"/>
        <v>0</v>
      </c>
      <c r="M43" s="385">
        <f>'[1]5A4_NOCCA'!$J43</f>
        <v>0</v>
      </c>
      <c r="N43" s="139">
        <f t="shared" si="8"/>
        <v>0</v>
      </c>
      <c r="O43" s="136">
        <f>('[4]5A4_NOCCA'!Q43*6)+('[7]5A4_NOCCA'!Q43*2)</f>
        <v>0</v>
      </c>
      <c r="P43" s="136">
        <f t="shared" si="9"/>
        <v>0</v>
      </c>
      <c r="Q43" s="139">
        <f t="shared" si="11"/>
        <v>0</v>
      </c>
      <c r="R43" s="139">
        <f t="shared" si="12"/>
        <v>0</v>
      </c>
    </row>
    <row r="44" spans="1:18" ht="15.6" customHeight="1" x14ac:dyDescent="0.2">
      <c r="A44" s="383">
        <v>38</v>
      </c>
      <c r="B44" s="134" t="s">
        <v>42</v>
      </c>
      <c r="C44" s="384">
        <f>'8_2.1.19 SIS'!BG44</f>
        <v>3</v>
      </c>
      <c r="D44" s="385">
        <f>'Source Data'!Q44</f>
        <v>8749.4810902545651</v>
      </c>
      <c r="E44" s="386">
        <f t="shared" si="5"/>
        <v>26248.443270763695</v>
      </c>
      <c r="F44" s="386">
        <f>'Source Data'!G44</f>
        <v>829.92000000000007</v>
      </c>
      <c r="G44" s="386">
        <f t="shared" si="6"/>
        <v>2489.7600000000002</v>
      </c>
      <c r="H44" s="387">
        <f t="shared" si="7"/>
        <v>28738</v>
      </c>
      <c r="I44" s="136">
        <f>[2]Oct_NOCCA!$G44</f>
        <v>28738</v>
      </c>
      <c r="J44" s="136">
        <f>[3]Feb_NOCCA!$G44</f>
        <v>-9579</v>
      </c>
      <c r="K44" s="140">
        <f t="shared" si="10"/>
        <v>19159</v>
      </c>
      <c r="L44" s="387">
        <f t="shared" si="2"/>
        <v>47897</v>
      </c>
      <c r="M44" s="385">
        <f>'[1]5A4_NOCCA'!$J44</f>
        <v>0</v>
      </c>
      <c r="N44" s="139">
        <f t="shared" si="8"/>
        <v>47897</v>
      </c>
      <c r="O44" s="136">
        <f>('[4]5A4_NOCCA'!Q44*6)+('[7]5A4_NOCCA'!Q44*2)</f>
        <v>19160</v>
      </c>
      <c r="P44" s="136">
        <f t="shared" si="9"/>
        <v>28737</v>
      </c>
      <c r="Q44" s="139">
        <f t="shared" si="11"/>
        <v>7184</v>
      </c>
      <c r="R44" s="139">
        <f t="shared" si="12"/>
        <v>47897</v>
      </c>
    </row>
    <row r="45" spans="1:18" ht="15.6" customHeight="1" x14ac:dyDescent="0.2">
      <c r="A45" s="383">
        <v>39</v>
      </c>
      <c r="B45" s="134" t="s">
        <v>43</v>
      </c>
      <c r="C45" s="384">
        <f>'8_2.1.19 SIS'!BG45</f>
        <v>0</v>
      </c>
      <c r="D45" s="385">
        <f>'Source Data'!Q45</f>
        <v>8716.3889610389615</v>
      </c>
      <c r="E45" s="386">
        <f t="shared" si="5"/>
        <v>0</v>
      </c>
      <c r="F45" s="386">
        <f>'Source Data'!G45</f>
        <v>779.66</v>
      </c>
      <c r="G45" s="386">
        <f t="shared" si="6"/>
        <v>0</v>
      </c>
      <c r="H45" s="387">
        <f t="shared" si="7"/>
        <v>0</v>
      </c>
      <c r="I45" s="136">
        <f>[2]Oct_NOCCA!$G45</f>
        <v>0</v>
      </c>
      <c r="J45" s="136">
        <f>[3]Feb_NOCCA!$G45</f>
        <v>0</v>
      </c>
      <c r="K45" s="140">
        <f t="shared" si="10"/>
        <v>0</v>
      </c>
      <c r="L45" s="387">
        <f t="shared" si="2"/>
        <v>0</v>
      </c>
      <c r="M45" s="385">
        <f>'[1]5A4_NOCCA'!$J45</f>
        <v>0</v>
      </c>
      <c r="N45" s="139">
        <f t="shared" si="8"/>
        <v>0</v>
      </c>
      <c r="O45" s="136">
        <f>('[4]5A4_NOCCA'!Q45*6)+('[7]5A4_NOCCA'!Q45*2)</f>
        <v>0</v>
      </c>
      <c r="P45" s="136">
        <f t="shared" si="9"/>
        <v>0</v>
      </c>
      <c r="Q45" s="139">
        <f t="shared" si="11"/>
        <v>0</v>
      </c>
      <c r="R45" s="139">
        <f t="shared" si="12"/>
        <v>0</v>
      </c>
    </row>
    <row r="46" spans="1:18" ht="15.6" customHeight="1" x14ac:dyDescent="0.2">
      <c r="A46" s="388">
        <v>40</v>
      </c>
      <c r="B46" s="148" t="s">
        <v>44</v>
      </c>
      <c r="C46" s="389">
        <f>'8_2.1.19 SIS'!BG46</f>
        <v>0</v>
      </c>
      <c r="D46" s="390">
        <f>'Source Data'!Q46</f>
        <v>8804.577900113507</v>
      </c>
      <c r="E46" s="391">
        <f t="shared" si="5"/>
        <v>0</v>
      </c>
      <c r="F46" s="391">
        <f>'Source Data'!G46</f>
        <v>700.2700000000001</v>
      </c>
      <c r="G46" s="391">
        <f t="shared" si="6"/>
        <v>0</v>
      </c>
      <c r="H46" s="392">
        <f t="shared" si="7"/>
        <v>0</v>
      </c>
      <c r="I46" s="150">
        <f>[2]Oct_NOCCA!$G46</f>
        <v>0</v>
      </c>
      <c r="J46" s="150">
        <f>[3]Feb_NOCCA!$G46</f>
        <v>0</v>
      </c>
      <c r="K46" s="154">
        <f t="shared" si="10"/>
        <v>0</v>
      </c>
      <c r="L46" s="392">
        <f t="shared" si="2"/>
        <v>0</v>
      </c>
      <c r="M46" s="390">
        <f>'[1]5A4_NOCCA'!$J46</f>
        <v>0</v>
      </c>
      <c r="N46" s="153">
        <f t="shared" si="8"/>
        <v>0</v>
      </c>
      <c r="O46" s="156">
        <f>('[4]5A4_NOCCA'!Q46*6)+('[7]5A4_NOCCA'!Q46*2)</f>
        <v>0</v>
      </c>
      <c r="P46" s="150">
        <f t="shared" si="9"/>
        <v>0</v>
      </c>
      <c r="Q46" s="157">
        <f t="shared" si="11"/>
        <v>0</v>
      </c>
      <c r="R46" s="157">
        <f t="shared" si="12"/>
        <v>0</v>
      </c>
    </row>
    <row r="47" spans="1:18" ht="15.6" customHeight="1" x14ac:dyDescent="0.2">
      <c r="A47" s="378">
        <v>41</v>
      </c>
      <c r="B47" s="116" t="s">
        <v>45</v>
      </c>
      <c r="C47" s="379">
        <f>'8_2.1.19 SIS'!BG47</f>
        <v>0</v>
      </c>
      <c r="D47" s="380">
        <f>'Source Data'!Q47</f>
        <v>8874.8428994938549</v>
      </c>
      <c r="E47" s="381">
        <f t="shared" si="5"/>
        <v>0</v>
      </c>
      <c r="F47" s="381">
        <f>'Source Data'!G47</f>
        <v>886.22</v>
      </c>
      <c r="G47" s="381">
        <f t="shared" si="6"/>
        <v>0</v>
      </c>
      <c r="H47" s="382">
        <f t="shared" si="7"/>
        <v>0</v>
      </c>
      <c r="I47" s="118">
        <f>[2]Oct_NOCCA!$G47</f>
        <v>0</v>
      </c>
      <c r="J47" s="118">
        <f>[3]Feb_NOCCA!$G47</f>
        <v>0</v>
      </c>
      <c r="K47" s="122">
        <f t="shared" si="10"/>
        <v>0</v>
      </c>
      <c r="L47" s="382">
        <f t="shared" si="2"/>
        <v>0</v>
      </c>
      <c r="M47" s="380">
        <f>'[1]5A4_NOCCA'!$J47</f>
        <v>0</v>
      </c>
      <c r="N47" s="121">
        <f t="shared" si="8"/>
        <v>0</v>
      </c>
      <c r="O47" s="118">
        <f>('[4]5A4_NOCCA'!Q47*6)+('[7]5A4_NOCCA'!Q47*2)</f>
        <v>0</v>
      </c>
      <c r="P47" s="118">
        <f t="shared" si="9"/>
        <v>0</v>
      </c>
      <c r="Q47" s="121">
        <f t="shared" si="11"/>
        <v>0</v>
      </c>
      <c r="R47" s="123">
        <f t="shared" si="12"/>
        <v>0</v>
      </c>
    </row>
    <row r="48" spans="1:18" ht="15.6" customHeight="1" x14ac:dyDescent="0.2">
      <c r="A48" s="383">
        <v>42</v>
      </c>
      <c r="B48" s="134" t="s">
        <v>46</v>
      </c>
      <c r="C48" s="384">
        <f>'8_2.1.19 SIS'!BG48</f>
        <v>0</v>
      </c>
      <c r="D48" s="385">
        <f>'Source Data'!Q48</f>
        <v>9280.0423099308828</v>
      </c>
      <c r="E48" s="386">
        <f t="shared" si="5"/>
        <v>0</v>
      </c>
      <c r="F48" s="386">
        <f>'Source Data'!G48</f>
        <v>534.28</v>
      </c>
      <c r="G48" s="386">
        <f t="shared" si="6"/>
        <v>0</v>
      </c>
      <c r="H48" s="387">
        <f t="shared" si="7"/>
        <v>0</v>
      </c>
      <c r="I48" s="136">
        <f>[2]Oct_NOCCA!$G48</f>
        <v>0</v>
      </c>
      <c r="J48" s="136">
        <f>[3]Feb_NOCCA!$G48</f>
        <v>0</v>
      </c>
      <c r="K48" s="140">
        <f t="shared" si="10"/>
        <v>0</v>
      </c>
      <c r="L48" s="387">
        <f t="shared" si="2"/>
        <v>0</v>
      </c>
      <c r="M48" s="385">
        <f>'[1]5A4_NOCCA'!$J48</f>
        <v>0</v>
      </c>
      <c r="N48" s="139">
        <f t="shared" si="8"/>
        <v>0</v>
      </c>
      <c r="O48" s="136">
        <f>('[4]5A4_NOCCA'!Q48*6)+('[7]5A4_NOCCA'!Q48*2)</f>
        <v>0</v>
      </c>
      <c r="P48" s="136">
        <f t="shared" si="9"/>
        <v>0</v>
      </c>
      <c r="Q48" s="139">
        <f t="shared" si="11"/>
        <v>0</v>
      </c>
      <c r="R48" s="139">
        <f t="shared" si="12"/>
        <v>0</v>
      </c>
    </row>
    <row r="49" spans="1:18" ht="15.6" customHeight="1" x14ac:dyDescent="0.2">
      <c r="A49" s="383">
        <v>43</v>
      </c>
      <c r="B49" s="134" t="s">
        <v>47</v>
      </c>
      <c r="C49" s="384">
        <f>'8_2.1.19 SIS'!BG49</f>
        <v>0</v>
      </c>
      <c r="D49" s="385">
        <f>'Source Data'!Q49</f>
        <v>9609.9371213986706</v>
      </c>
      <c r="E49" s="386">
        <f t="shared" si="5"/>
        <v>0</v>
      </c>
      <c r="F49" s="386">
        <f>'Source Data'!G49</f>
        <v>574.6099999999999</v>
      </c>
      <c r="G49" s="386">
        <f t="shared" si="6"/>
        <v>0</v>
      </c>
      <c r="H49" s="387">
        <f t="shared" si="7"/>
        <v>0</v>
      </c>
      <c r="I49" s="136">
        <f>[2]Oct_NOCCA!$G49</f>
        <v>0</v>
      </c>
      <c r="J49" s="136">
        <f>[3]Feb_NOCCA!$G49</f>
        <v>0</v>
      </c>
      <c r="K49" s="140">
        <f t="shared" si="10"/>
        <v>0</v>
      </c>
      <c r="L49" s="387">
        <f t="shared" si="2"/>
        <v>0</v>
      </c>
      <c r="M49" s="385">
        <f>'[1]5A4_NOCCA'!$J49</f>
        <v>0</v>
      </c>
      <c r="N49" s="139">
        <f t="shared" si="8"/>
        <v>0</v>
      </c>
      <c r="O49" s="136">
        <f>('[4]5A4_NOCCA'!Q49*6)+('[7]5A4_NOCCA'!Q49*2)</f>
        <v>0</v>
      </c>
      <c r="P49" s="136">
        <f t="shared" si="9"/>
        <v>0</v>
      </c>
      <c r="Q49" s="139">
        <f t="shared" si="11"/>
        <v>0</v>
      </c>
      <c r="R49" s="139">
        <f t="shared" si="12"/>
        <v>0</v>
      </c>
    </row>
    <row r="50" spans="1:18" ht="15.6" customHeight="1" x14ac:dyDescent="0.2">
      <c r="A50" s="383">
        <v>44</v>
      </c>
      <c r="B50" s="134" t="s">
        <v>48</v>
      </c>
      <c r="C50" s="384">
        <f>'8_2.1.19 SIS'!BG50</f>
        <v>5</v>
      </c>
      <c r="D50" s="385">
        <f>'Source Data'!Q50</f>
        <v>8580.6088206785134</v>
      </c>
      <c r="E50" s="386">
        <f t="shared" si="5"/>
        <v>42903.044103392567</v>
      </c>
      <c r="F50" s="386">
        <f>'Source Data'!G50</f>
        <v>663.16000000000008</v>
      </c>
      <c r="G50" s="386">
        <f t="shared" si="6"/>
        <v>3315.8</v>
      </c>
      <c r="H50" s="387">
        <f t="shared" si="7"/>
        <v>46219</v>
      </c>
      <c r="I50" s="136">
        <f>[2]Oct_NOCCA!$G50</f>
        <v>27731</v>
      </c>
      <c r="J50" s="136">
        <f>[3]Feb_NOCCA!$G50</f>
        <v>0</v>
      </c>
      <c r="K50" s="140">
        <f t="shared" si="10"/>
        <v>27731</v>
      </c>
      <c r="L50" s="387">
        <f t="shared" si="2"/>
        <v>73950</v>
      </c>
      <c r="M50" s="385">
        <f>'[1]5A4_NOCCA'!$J50</f>
        <v>0</v>
      </c>
      <c r="N50" s="139">
        <f t="shared" si="8"/>
        <v>73950</v>
      </c>
      <c r="O50" s="136">
        <f>('[4]5A4_NOCCA'!Q50*6)+('[7]5A4_NOCCA'!Q50*2)</f>
        <v>30814</v>
      </c>
      <c r="P50" s="136">
        <f t="shared" si="9"/>
        <v>43136</v>
      </c>
      <c r="Q50" s="139">
        <f t="shared" si="11"/>
        <v>10784</v>
      </c>
      <c r="R50" s="139">
        <f t="shared" si="12"/>
        <v>73950</v>
      </c>
    </row>
    <row r="51" spans="1:18" ht="15.6" customHeight="1" x14ac:dyDescent="0.2">
      <c r="A51" s="388">
        <v>45</v>
      </c>
      <c r="B51" s="148" t="s">
        <v>49</v>
      </c>
      <c r="C51" s="389">
        <f>'8_2.1.19 SIS'!BG51</f>
        <v>7</v>
      </c>
      <c r="D51" s="390">
        <f>'Source Data'!Q51</f>
        <v>7811.5488430723217</v>
      </c>
      <c r="E51" s="391">
        <f t="shared" si="5"/>
        <v>54680.841901506254</v>
      </c>
      <c r="F51" s="391">
        <f>'Source Data'!G51</f>
        <v>753.96000000000015</v>
      </c>
      <c r="G51" s="391">
        <f t="shared" si="6"/>
        <v>5277.7200000000012</v>
      </c>
      <c r="H51" s="392">
        <f t="shared" si="7"/>
        <v>59959</v>
      </c>
      <c r="I51" s="150">
        <f>[2]Oct_NOCCA!$G51</f>
        <v>-17131</v>
      </c>
      <c r="J51" s="150">
        <f>[3]Feb_NOCCA!$G51</f>
        <v>0</v>
      </c>
      <c r="K51" s="154">
        <f t="shared" si="10"/>
        <v>-17131</v>
      </c>
      <c r="L51" s="392">
        <f t="shared" si="2"/>
        <v>42828</v>
      </c>
      <c r="M51" s="390">
        <f>'[1]5A4_NOCCA'!$J51</f>
        <v>0</v>
      </c>
      <c r="N51" s="153">
        <f t="shared" si="8"/>
        <v>42828</v>
      </c>
      <c r="O51" s="156">
        <f>('[4]5A4_NOCCA'!Q51*6)+('[7]5A4_NOCCA'!Q51*2)</f>
        <v>39974</v>
      </c>
      <c r="P51" s="150">
        <f t="shared" si="9"/>
        <v>2854</v>
      </c>
      <c r="Q51" s="157">
        <f t="shared" si="11"/>
        <v>714</v>
      </c>
      <c r="R51" s="157">
        <f t="shared" si="12"/>
        <v>42828</v>
      </c>
    </row>
    <row r="52" spans="1:18" ht="15.6" customHeight="1" x14ac:dyDescent="0.2">
      <c r="A52" s="378">
        <v>46</v>
      </c>
      <c r="B52" s="116" t="s">
        <v>50</v>
      </c>
      <c r="C52" s="379">
        <f>'8_2.1.19 SIS'!BG52</f>
        <v>0</v>
      </c>
      <c r="D52" s="380">
        <f>'Source Data'!Q52</f>
        <v>10349.566861924686</v>
      </c>
      <c r="E52" s="381">
        <f t="shared" si="5"/>
        <v>0</v>
      </c>
      <c r="F52" s="381">
        <f>'Source Data'!G52</f>
        <v>728.06</v>
      </c>
      <c r="G52" s="381">
        <f t="shared" si="6"/>
        <v>0</v>
      </c>
      <c r="H52" s="382">
        <f t="shared" si="7"/>
        <v>0</v>
      </c>
      <c r="I52" s="118">
        <f>[2]Oct_NOCCA!$G52</f>
        <v>0</v>
      </c>
      <c r="J52" s="118">
        <f>[3]Feb_NOCCA!$G52</f>
        <v>0</v>
      </c>
      <c r="K52" s="122">
        <f t="shared" si="10"/>
        <v>0</v>
      </c>
      <c r="L52" s="382">
        <f t="shared" si="2"/>
        <v>0</v>
      </c>
      <c r="M52" s="380">
        <f>'[1]5A4_NOCCA'!$J52</f>
        <v>0</v>
      </c>
      <c r="N52" s="121">
        <f t="shared" si="8"/>
        <v>0</v>
      </c>
      <c r="O52" s="118">
        <f>('[4]5A4_NOCCA'!Q52*6)+('[7]5A4_NOCCA'!Q52*2)</f>
        <v>0</v>
      </c>
      <c r="P52" s="118">
        <f t="shared" si="9"/>
        <v>0</v>
      </c>
      <c r="Q52" s="121">
        <f t="shared" si="11"/>
        <v>0</v>
      </c>
      <c r="R52" s="123">
        <f t="shared" si="12"/>
        <v>0</v>
      </c>
    </row>
    <row r="53" spans="1:18" ht="15.6" customHeight="1" x14ac:dyDescent="0.2">
      <c r="A53" s="383">
        <v>47</v>
      </c>
      <c r="B53" s="134" t="s">
        <v>51</v>
      </c>
      <c r="C53" s="384">
        <f>'8_2.1.19 SIS'!BG53</f>
        <v>2</v>
      </c>
      <c r="D53" s="385">
        <f>'Source Data'!Q53</f>
        <v>8649.5976538353461</v>
      </c>
      <c r="E53" s="386">
        <f t="shared" si="5"/>
        <v>17299.195307670692</v>
      </c>
      <c r="F53" s="386">
        <f>'Source Data'!G53</f>
        <v>910.76</v>
      </c>
      <c r="G53" s="386">
        <f t="shared" si="6"/>
        <v>1821.52</v>
      </c>
      <c r="H53" s="387">
        <f t="shared" si="7"/>
        <v>19121</v>
      </c>
      <c r="I53" s="136">
        <f>[2]Oct_NOCCA!$G53</f>
        <v>0</v>
      </c>
      <c r="J53" s="136">
        <f>[3]Feb_NOCCA!$G53</f>
        <v>0</v>
      </c>
      <c r="K53" s="140">
        <f t="shared" si="10"/>
        <v>0</v>
      </c>
      <c r="L53" s="387">
        <f t="shared" si="2"/>
        <v>19121</v>
      </c>
      <c r="M53" s="385">
        <f>'[1]5A4_NOCCA'!$J53</f>
        <v>0</v>
      </c>
      <c r="N53" s="139">
        <f t="shared" si="8"/>
        <v>19121</v>
      </c>
      <c r="O53" s="136">
        <f>('[4]5A4_NOCCA'!Q53*6)+('[7]5A4_NOCCA'!Q53*2)</f>
        <v>12746</v>
      </c>
      <c r="P53" s="136">
        <f t="shared" si="9"/>
        <v>6375</v>
      </c>
      <c r="Q53" s="139">
        <f t="shared" si="11"/>
        <v>1594</v>
      </c>
      <c r="R53" s="139">
        <f t="shared" si="12"/>
        <v>19121</v>
      </c>
    </row>
    <row r="54" spans="1:18" ht="15.6" customHeight="1" x14ac:dyDescent="0.2">
      <c r="A54" s="383">
        <v>48</v>
      </c>
      <c r="B54" s="134" t="s">
        <v>73</v>
      </c>
      <c r="C54" s="384">
        <f>'8_2.1.19 SIS'!BG54</f>
        <v>2</v>
      </c>
      <c r="D54" s="385">
        <f>'Source Data'!Q54</f>
        <v>8823.0869751499558</v>
      </c>
      <c r="E54" s="386">
        <f t="shared" si="5"/>
        <v>17646.173950299912</v>
      </c>
      <c r="F54" s="386">
        <f>'Source Data'!G54</f>
        <v>871.07</v>
      </c>
      <c r="G54" s="386">
        <f t="shared" si="6"/>
        <v>1742.14</v>
      </c>
      <c r="H54" s="387">
        <f t="shared" si="7"/>
        <v>19388</v>
      </c>
      <c r="I54" s="136">
        <f>[2]Oct_NOCCA!$G54</f>
        <v>19388</v>
      </c>
      <c r="J54" s="136">
        <f>[3]Feb_NOCCA!$G54</f>
        <v>0</v>
      </c>
      <c r="K54" s="140">
        <f t="shared" si="10"/>
        <v>19388</v>
      </c>
      <c r="L54" s="387">
        <f t="shared" si="2"/>
        <v>38776</v>
      </c>
      <c r="M54" s="385">
        <f>'[1]5A4_NOCCA'!$J54</f>
        <v>0</v>
      </c>
      <c r="N54" s="139">
        <f t="shared" si="8"/>
        <v>38776</v>
      </c>
      <c r="O54" s="136">
        <f>('[4]5A4_NOCCA'!Q54*6)+('[7]5A4_NOCCA'!Q54*2)</f>
        <v>12926</v>
      </c>
      <c r="P54" s="136">
        <f t="shared" si="9"/>
        <v>25850</v>
      </c>
      <c r="Q54" s="139">
        <f t="shared" si="11"/>
        <v>6463</v>
      </c>
      <c r="R54" s="139">
        <f t="shared" si="12"/>
        <v>38776</v>
      </c>
    </row>
    <row r="55" spans="1:18" ht="15.6" customHeight="1" x14ac:dyDescent="0.2">
      <c r="A55" s="383">
        <v>49</v>
      </c>
      <c r="B55" s="134" t="s">
        <v>52</v>
      </c>
      <c r="C55" s="384">
        <f>'8_2.1.19 SIS'!BG55</f>
        <v>0</v>
      </c>
      <c r="D55" s="385">
        <f>'Source Data'!Q55</f>
        <v>8141.9314105452904</v>
      </c>
      <c r="E55" s="386">
        <f t="shared" si="5"/>
        <v>0</v>
      </c>
      <c r="F55" s="386">
        <f>'Source Data'!G55</f>
        <v>574.43999999999994</v>
      </c>
      <c r="G55" s="386">
        <f t="shared" si="6"/>
        <v>0</v>
      </c>
      <c r="H55" s="387">
        <f t="shared" si="7"/>
        <v>0</v>
      </c>
      <c r="I55" s="136">
        <f>[2]Oct_NOCCA!$G55</f>
        <v>0</v>
      </c>
      <c r="J55" s="136">
        <f>[3]Feb_NOCCA!$G55</f>
        <v>0</v>
      </c>
      <c r="K55" s="140">
        <f t="shared" si="10"/>
        <v>0</v>
      </c>
      <c r="L55" s="387">
        <f t="shared" si="2"/>
        <v>0</v>
      </c>
      <c r="M55" s="385">
        <f>'[1]5A4_NOCCA'!$J55</f>
        <v>0</v>
      </c>
      <c r="N55" s="139">
        <f t="shared" si="8"/>
        <v>0</v>
      </c>
      <c r="O55" s="136">
        <f>('[4]5A4_NOCCA'!Q55*6)+('[7]5A4_NOCCA'!Q55*2)</f>
        <v>0</v>
      </c>
      <c r="P55" s="136">
        <f t="shared" si="9"/>
        <v>0</v>
      </c>
      <c r="Q55" s="139">
        <f t="shared" si="11"/>
        <v>0</v>
      </c>
      <c r="R55" s="139">
        <f t="shared" si="12"/>
        <v>0</v>
      </c>
    </row>
    <row r="56" spans="1:18" ht="15.6" customHeight="1" x14ac:dyDescent="0.2">
      <c r="A56" s="388">
        <v>50</v>
      </c>
      <c r="B56" s="148" t="s">
        <v>53</v>
      </c>
      <c r="C56" s="389">
        <f>'8_2.1.19 SIS'!BG56</f>
        <v>0</v>
      </c>
      <c r="D56" s="390">
        <f>'Source Data'!Q56</f>
        <v>8654.4847320365225</v>
      </c>
      <c r="E56" s="391">
        <f t="shared" si="5"/>
        <v>0</v>
      </c>
      <c r="F56" s="391">
        <f>'Source Data'!G56</f>
        <v>634.46</v>
      </c>
      <c r="G56" s="391">
        <f t="shared" si="6"/>
        <v>0</v>
      </c>
      <c r="H56" s="392">
        <f t="shared" si="7"/>
        <v>0</v>
      </c>
      <c r="I56" s="150">
        <f>[2]Oct_NOCCA!$G56</f>
        <v>0</v>
      </c>
      <c r="J56" s="150">
        <f>[3]Feb_NOCCA!$G56</f>
        <v>0</v>
      </c>
      <c r="K56" s="154">
        <f t="shared" si="10"/>
        <v>0</v>
      </c>
      <c r="L56" s="392">
        <f t="shared" si="2"/>
        <v>0</v>
      </c>
      <c r="M56" s="390">
        <f>'[1]5A4_NOCCA'!$J56</f>
        <v>0</v>
      </c>
      <c r="N56" s="153">
        <f t="shared" si="8"/>
        <v>0</v>
      </c>
      <c r="O56" s="156">
        <f>('[4]5A4_NOCCA'!Q56*6)+('[7]5A4_NOCCA'!Q56*2)</f>
        <v>0</v>
      </c>
      <c r="P56" s="150">
        <f t="shared" si="9"/>
        <v>0</v>
      </c>
      <c r="Q56" s="157">
        <f t="shared" si="11"/>
        <v>0</v>
      </c>
      <c r="R56" s="157">
        <f t="shared" si="12"/>
        <v>0</v>
      </c>
    </row>
    <row r="57" spans="1:18" ht="15.6" customHeight="1" x14ac:dyDescent="0.2">
      <c r="A57" s="378">
        <v>51</v>
      </c>
      <c r="B57" s="116" t="s">
        <v>54</v>
      </c>
      <c r="C57" s="379">
        <f>'8_2.1.19 SIS'!BG57</f>
        <v>0</v>
      </c>
      <c r="D57" s="380">
        <f>'Source Data'!Q57</f>
        <v>9136.9046492501202</v>
      </c>
      <c r="E57" s="381">
        <f t="shared" si="5"/>
        <v>0</v>
      </c>
      <c r="F57" s="381">
        <f>'Source Data'!G57</f>
        <v>706.66</v>
      </c>
      <c r="G57" s="381">
        <f t="shared" si="6"/>
        <v>0</v>
      </c>
      <c r="H57" s="382">
        <f t="shared" si="7"/>
        <v>0</v>
      </c>
      <c r="I57" s="118">
        <f>[2]Oct_NOCCA!$G57</f>
        <v>0</v>
      </c>
      <c r="J57" s="118">
        <f>[3]Feb_NOCCA!$G57</f>
        <v>0</v>
      </c>
      <c r="K57" s="122">
        <f t="shared" si="10"/>
        <v>0</v>
      </c>
      <c r="L57" s="382">
        <f t="shared" si="2"/>
        <v>0</v>
      </c>
      <c r="M57" s="380">
        <f>'[1]5A4_NOCCA'!$J57</f>
        <v>0</v>
      </c>
      <c r="N57" s="121">
        <f t="shared" si="8"/>
        <v>0</v>
      </c>
      <c r="O57" s="118">
        <f>('[4]5A4_NOCCA'!Q57*6)+('[7]5A4_NOCCA'!Q57*2)</f>
        <v>0</v>
      </c>
      <c r="P57" s="118">
        <f t="shared" si="9"/>
        <v>0</v>
      </c>
      <c r="Q57" s="121">
        <f t="shared" si="11"/>
        <v>0</v>
      </c>
      <c r="R57" s="123">
        <f t="shared" si="12"/>
        <v>0</v>
      </c>
    </row>
    <row r="58" spans="1:18" ht="15.6" customHeight="1" x14ac:dyDescent="0.2">
      <c r="A58" s="383">
        <v>52</v>
      </c>
      <c r="B58" s="134" t="s">
        <v>55</v>
      </c>
      <c r="C58" s="384">
        <f>'8_2.1.19 SIS'!BG58</f>
        <v>44</v>
      </c>
      <c r="D58" s="385">
        <f>'Source Data'!Q58</f>
        <v>9000.4864854976404</v>
      </c>
      <c r="E58" s="386">
        <f t="shared" si="5"/>
        <v>396021.40536189615</v>
      </c>
      <c r="F58" s="386">
        <f>'Source Data'!G58</f>
        <v>658.37</v>
      </c>
      <c r="G58" s="386">
        <f t="shared" si="6"/>
        <v>28968.28</v>
      </c>
      <c r="H58" s="387">
        <f t="shared" si="7"/>
        <v>424990</v>
      </c>
      <c r="I58" s="136">
        <f>[2]Oct_NOCCA!$G58</f>
        <v>-38635</v>
      </c>
      <c r="J58" s="136">
        <f>[3]Feb_NOCCA!$G58</f>
        <v>-4829</v>
      </c>
      <c r="K58" s="140">
        <f t="shared" si="10"/>
        <v>-43464</v>
      </c>
      <c r="L58" s="387">
        <f t="shared" si="2"/>
        <v>381526</v>
      </c>
      <c r="M58" s="385">
        <f>'[1]5A4_NOCCA'!$J58</f>
        <v>0</v>
      </c>
      <c r="N58" s="139">
        <f t="shared" si="8"/>
        <v>381526</v>
      </c>
      <c r="O58" s="136">
        <f>('[4]5A4_NOCCA'!Q58*6)+('[7]5A4_NOCCA'!Q58*2)</f>
        <v>283328</v>
      </c>
      <c r="P58" s="136">
        <f t="shared" si="9"/>
        <v>98198</v>
      </c>
      <c r="Q58" s="139">
        <f t="shared" si="11"/>
        <v>24550</v>
      </c>
      <c r="R58" s="139">
        <f t="shared" si="12"/>
        <v>381526</v>
      </c>
    </row>
    <row r="59" spans="1:18" ht="15.6" customHeight="1" x14ac:dyDescent="0.2">
      <c r="A59" s="383">
        <v>53</v>
      </c>
      <c r="B59" s="134" t="s">
        <v>56</v>
      </c>
      <c r="C59" s="384">
        <f>'8_2.1.19 SIS'!BG59</f>
        <v>8</v>
      </c>
      <c r="D59" s="385">
        <f>'Source Data'!Q59</f>
        <v>7942.1319708403926</v>
      </c>
      <c r="E59" s="386">
        <f t="shared" si="5"/>
        <v>63537.055766723141</v>
      </c>
      <c r="F59" s="386">
        <f>'Source Data'!G59</f>
        <v>689.74</v>
      </c>
      <c r="G59" s="386">
        <f t="shared" si="6"/>
        <v>5517.92</v>
      </c>
      <c r="H59" s="387">
        <f t="shared" si="7"/>
        <v>69055</v>
      </c>
      <c r="I59" s="136">
        <f>[2]Oct_NOCCA!$G59</f>
        <v>0</v>
      </c>
      <c r="J59" s="136">
        <f>[3]Feb_NOCCA!$G59</f>
        <v>0</v>
      </c>
      <c r="K59" s="140">
        <f t="shared" si="10"/>
        <v>0</v>
      </c>
      <c r="L59" s="387">
        <f t="shared" si="2"/>
        <v>69055</v>
      </c>
      <c r="M59" s="385">
        <f>'[1]5A4_NOCCA'!$J59</f>
        <v>0</v>
      </c>
      <c r="N59" s="139">
        <f t="shared" si="8"/>
        <v>69055</v>
      </c>
      <c r="O59" s="136">
        <f>('[4]5A4_NOCCA'!Q59*6)+('[7]5A4_NOCCA'!Q59*2)</f>
        <v>46038</v>
      </c>
      <c r="P59" s="136">
        <f t="shared" si="9"/>
        <v>23017</v>
      </c>
      <c r="Q59" s="139">
        <f t="shared" si="11"/>
        <v>5754</v>
      </c>
      <c r="R59" s="139">
        <f t="shared" si="12"/>
        <v>69055</v>
      </c>
    </row>
    <row r="60" spans="1:18" ht="15.6" customHeight="1" x14ac:dyDescent="0.2">
      <c r="A60" s="383">
        <v>54</v>
      </c>
      <c r="B60" s="134" t="s">
        <v>57</v>
      </c>
      <c r="C60" s="384">
        <f>'8_2.1.19 SIS'!BG60</f>
        <v>0</v>
      </c>
      <c r="D60" s="385">
        <f>'Source Data'!Q60</f>
        <v>10473.672222222223</v>
      </c>
      <c r="E60" s="386">
        <f t="shared" si="5"/>
        <v>0</v>
      </c>
      <c r="F60" s="386">
        <f>'Source Data'!G60</f>
        <v>951.45</v>
      </c>
      <c r="G60" s="386">
        <f t="shared" si="6"/>
        <v>0</v>
      </c>
      <c r="H60" s="387">
        <f t="shared" si="7"/>
        <v>0</v>
      </c>
      <c r="I60" s="136">
        <f>[2]Oct_NOCCA!$G60</f>
        <v>0</v>
      </c>
      <c r="J60" s="136">
        <f>[3]Feb_NOCCA!$G60</f>
        <v>0</v>
      </c>
      <c r="K60" s="140">
        <f t="shared" si="10"/>
        <v>0</v>
      </c>
      <c r="L60" s="387">
        <f t="shared" si="2"/>
        <v>0</v>
      </c>
      <c r="M60" s="385">
        <f>'[1]5A4_NOCCA'!$J60</f>
        <v>0</v>
      </c>
      <c r="N60" s="139">
        <f t="shared" si="8"/>
        <v>0</v>
      </c>
      <c r="O60" s="136">
        <f>('[4]5A4_NOCCA'!Q60*6)+('[7]5A4_NOCCA'!Q60*2)</f>
        <v>0</v>
      </c>
      <c r="P60" s="136">
        <f t="shared" si="9"/>
        <v>0</v>
      </c>
      <c r="Q60" s="139">
        <f t="shared" si="11"/>
        <v>0</v>
      </c>
      <c r="R60" s="139">
        <f t="shared" si="12"/>
        <v>0</v>
      </c>
    </row>
    <row r="61" spans="1:18" ht="15.6" customHeight="1" x14ac:dyDescent="0.2">
      <c r="A61" s="388">
        <v>55</v>
      </c>
      <c r="B61" s="148" t="s">
        <v>58</v>
      </c>
      <c r="C61" s="389">
        <f>'8_2.1.19 SIS'!BG61</f>
        <v>0</v>
      </c>
      <c r="D61" s="390">
        <f>'Source Data'!Q61</f>
        <v>8488.8722470904213</v>
      </c>
      <c r="E61" s="391">
        <f t="shared" si="5"/>
        <v>0</v>
      </c>
      <c r="F61" s="391">
        <f>'Source Data'!G61</f>
        <v>795.14</v>
      </c>
      <c r="G61" s="391">
        <f t="shared" si="6"/>
        <v>0</v>
      </c>
      <c r="H61" s="392">
        <f t="shared" si="7"/>
        <v>0</v>
      </c>
      <c r="I61" s="150">
        <f>[2]Oct_NOCCA!$G61</f>
        <v>0</v>
      </c>
      <c r="J61" s="150">
        <f>[3]Feb_NOCCA!$G61</f>
        <v>0</v>
      </c>
      <c r="K61" s="154">
        <f t="shared" si="10"/>
        <v>0</v>
      </c>
      <c r="L61" s="392">
        <f t="shared" si="2"/>
        <v>0</v>
      </c>
      <c r="M61" s="390">
        <f>'[1]5A4_NOCCA'!$J61</f>
        <v>0</v>
      </c>
      <c r="N61" s="153">
        <f t="shared" si="8"/>
        <v>0</v>
      </c>
      <c r="O61" s="156">
        <f>('[4]5A4_NOCCA'!Q61*6)+('[7]5A4_NOCCA'!Q61*2)</f>
        <v>0</v>
      </c>
      <c r="P61" s="150">
        <f t="shared" si="9"/>
        <v>0</v>
      </c>
      <c r="Q61" s="157">
        <f t="shared" si="11"/>
        <v>0</v>
      </c>
      <c r="R61" s="157">
        <f t="shared" si="12"/>
        <v>0</v>
      </c>
    </row>
    <row r="62" spans="1:18" ht="15.6" customHeight="1" x14ac:dyDescent="0.2">
      <c r="A62" s="378">
        <v>56</v>
      </c>
      <c r="B62" s="116" t="s">
        <v>59</v>
      </c>
      <c r="C62" s="379">
        <f>'8_2.1.19 SIS'!BG62</f>
        <v>0</v>
      </c>
      <c r="D62" s="380">
        <f>'Source Data'!Q62</f>
        <v>9570.5786577181207</v>
      </c>
      <c r="E62" s="381">
        <f t="shared" si="5"/>
        <v>0</v>
      </c>
      <c r="F62" s="381">
        <f>'Source Data'!G62</f>
        <v>614.66000000000008</v>
      </c>
      <c r="G62" s="381">
        <f t="shared" si="6"/>
        <v>0</v>
      </c>
      <c r="H62" s="382">
        <f t="shared" si="7"/>
        <v>0</v>
      </c>
      <c r="I62" s="118">
        <f>[2]Oct_NOCCA!$G62</f>
        <v>0</v>
      </c>
      <c r="J62" s="118">
        <f>[3]Feb_NOCCA!$G62</f>
        <v>0</v>
      </c>
      <c r="K62" s="122">
        <f t="shared" si="10"/>
        <v>0</v>
      </c>
      <c r="L62" s="382">
        <f t="shared" si="2"/>
        <v>0</v>
      </c>
      <c r="M62" s="380">
        <f>'[1]5A4_NOCCA'!$J62</f>
        <v>0</v>
      </c>
      <c r="N62" s="121">
        <f t="shared" si="8"/>
        <v>0</v>
      </c>
      <c r="O62" s="118">
        <f>('[4]5A4_NOCCA'!Q62*6)+('[7]5A4_NOCCA'!Q62*2)</f>
        <v>0</v>
      </c>
      <c r="P62" s="118">
        <f t="shared" si="9"/>
        <v>0</v>
      </c>
      <c r="Q62" s="121">
        <f t="shared" si="11"/>
        <v>0</v>
      </c>
      <c r="R62" s="123">
        <f t="shared" si="12"/>
        <v>0</v>
      </c>
    </row>
    <row r="63" spans="1:18" ht="15.6" customHeight="1" x14ac:dyDescent="0.2">
      <c r="A63" s="383">
        <v>57</v>
      </c>
      <c r="B63" s="134" t="s">
        <v>60</v>
      </c>
      <c r="C63" s="384">
        <f>'8_2.1.19 SIS'!BG63</f>
        <v>0</v>
      </c>
      <c r="D63" s="385">
        <f>'Source Data'!Q63</f>
        <v>7930.6146761658028</v>
      </c>
      <c r="E63" s="386">
        <f t="shared" si="5"/>
        <v>0</v>
      </c>
      <c r="F63" s="386">
        <f>'Source Data'!G63</f>
        <v>764.51</v>
      </c>
      <c r="G63" s="386">
        <f t="shared" si="6"/>
        <v>0</v>
      </c>
      <c r="H63" s="387">
        <f t="shared" si="7"/>
        <v>0</v>
      </c>
      <c r="I63" s="136">
        <f>[2]Oct_NOCCA!$G63</f>
        <v>0</v>
      </c>
      <c r="J63" s="136">
        <f>[3]Feb_NOCCA!$G63</f>
        <v>0</v>
      </c>
      <c r="K63" s="140">
        <f t="shared" si="10"/>
        <v>0</v>
      </c>
      <c r="L63" s="387">
        <f t="shared" si="2"/>
        <v>0</v>
      </c>
      <c r="M63" s="385">
        <f>'[1]5A4_NOCCA'!$J63</f>
        <v>0</v>
      </c>
      <c r="N63" s="139">
        <f t="shared" si="8"/>
        <v>0</v>
      </c>
      <c r="O63" s="136">
        <f>('[4]5A4_NOCCA'!Q63*6)+('[7]5A4_NOCCA'!Q63*2)</f>
        <v>0</v>
      </c>
      <c r="P63" s="136">
        <f t="shared" si="9"/>
        <v>0</v>
      </c>
      <c r="Q63" s="139">
        <f t="shared" si="11"/>
        <v>0</v>
      </c>
      <c r="R63" s="139">
        <f t="shared" si="12"/>
        <v>0</v>
      </c>
    </row>
    <row r="64" spans="1:18" ht="15.6" customHeight="1" x14ac:dyDescent="0.2">
      <c r="A64" s="383">
        <v>58</v>
      </c>
      <c r="B64" s="134" t="s">
        <v>61</v>
      </c>
      <c r="C64" s="384">
        <f>'8_2.1.19 SIS'!BG64</f>
        <v>0</v>
      </c>
      <c r="D64" s="385">
        <f>'Source Data'!Q64</f>
        <v>8446.5168634732017</v>
      </c>
      <c r="E64" s="386">
        <f t="shared" si="5"/>
        <v>0</v>
      </c>
      <c r="F64" s="386">
        <f>'Source Data'!G64</f>
        <v>697.04</v>
      </c>
      <c r="G64" s="386">
        <f t="shared" si="6"/>
        <v>0</v>
      </c>
      <c r="H64" s="387">
        <f t="shared" si="7"/>
        <v>0</v>
      </c>
      <c r="I64" s="136">
        <f>[2]Oct_NOCCA!$G64</f>
        <v>0</v>
      </c>
      <c r="J64" s="136">
        <f>[3]Feb_NOCCA!$G64</f>
        <v>0</v>
      </c>
      <c r="K64" s="140">
        <f t="shared" si="10"/>
        <v>0</v>
      </c>
      <c r="L64" s="387">
        <f t="shared" si="2"/>
        <v>0</v>
      </c>
      <c r="M64" s="385">
        <f>'[1]5A4_NOCCA'!$J64</f>
        <v>0</v>
      </c>
      <c r="N64" s="139">
        <f t="shared" si="8"/>
        <v>0</v>
      </c>
      <c r="O64" s="136">
        <f>('[4]5A4_NOCCA'!Q64*6)+('[7]5A4_NOCCA'!Q64*2)</f>
        <v>0</v>
      </c>
      <c r="P64" s="136">
        <f t="shared" si="9"/>
        <v>0</v>
      </c>
      <c r="Q64" s="139">
        <f t="shared" si="11"/>
        <v>0</v>
      </c>
      <c r="R64" s="139">
        <f t="shared" si="12"/>
        <v>0</v>
      </c>
    </row>
    <row r="65" spans="1:18" ht="15.6" customHeight="1" x14ac:dyDescent="0.2">
      <c r="A65" s="383">
        <v>59</v>
      </c>
      <c r="B65" s="134" t="s">
        <v>62</v>
      </c>
      <c r="C65" s="384">
        <f>'8_2.1.19 SIS'!BG65</f>
        <v>0</v>
      </c>
      <c r="D65" s="385">
        <f>'Source Data'!Q65</f>
        <v>8217.7514762567062</v>
      </c>
      <c r="E65" s="386">
        <f t="shared" si="5"/>
        <v>0</v>
      </c>
      <c r="F65" s="386">
        <f>'Source Data'!G65</f>
        <v>689.52</v>
      </c>
      <c r="G65" s="386">
        <f t="shared" si="6"/>
        <v>0</v>
      </c>
      <c r="H65" s="387">
        <f t="shared" si="7"/>
        <v>0</v>
      </c>
      <c r="I65" s="136">
        <f>[2]Oct_NOCCA!$G65</f>
        <v>0</v>
      </c>
      <c r="J65" s="136">
        <f>[3]Feb_NOCCA!$G65</f>
        <v>0</v>
      </c>
      <c r="K65" s="140">
        <f t="shared" si="10"/>
        <v>0</v>
      </c>
      <c r="L65" s="387">
        <f t="shared" si="2"/>
        <v>0</v>
      </c>
      <c r="M65" s="385">
        <f>'[1]5A4_NOCCA'!$J65</f>
        <v>0</v>
      </c>
      <c r="N65" s="139">
        <f t="shared" si="8"/>
        <v>0</v>
      </c>
      <c r="O65" s="136">
        <f>('[4]5A4_NOCCA'!Q65*6)+('[7]5A4_NOCCA'!Q65*2)</f>
        <v>0</v>
      </c>
      <c r="P65" s="136">
        <f t="shared" si="9"/>
        <v>0</v>
      </c>
      <c r="Q65" s="139">
        <f t="shared" si="11"/>
        <v>0</v>
      </c>
      <c r="R65" s="139">
        <f t="shared" si="12"/>
        <v>0</v>
      </c>
    </row>
    <row r="66" spans="1:18" ht="15.6" customHeight="1" x14ac:dyDescent="0.2">
      <c r="A66" s="388">
        <v>60</v>
      </c>
      <c r="B66" s="148" t="s">
        <v>63</v>
      </c>
      <c r="C66" s="389">
        <f>'8_2.1.19 SIS'!BG66</f>
        <v>0</v>
      </c>
      <c r="D66" s="390">
        <f>'Source Data'!Q66</f>
        <v>9190.3055793703952</v>
      </c>
      <c r="E66" s="391">
        <f t="shared" si="5"/>
        <v>0</v>
      </c>
      <c r="F66" s="391">
        <f>'Source Data'!G66</f>
        <v>594.04</v>
      </c>
      <c r="G66" s="391">
        <f t="shared" si="6"/>
        <v>0</v>
      </c>
      <c r="H66" s="392">
        <f t="shared" si="7"/>
        <v>0</v>
      </c>
      <c r="I66" s="150">
        <f>[2]Oct_NOCCA!$G66</f>
        <v>0</v>
      </c>
      <c r="J66" s="150">
        <f>[3]Feb_NOCCA!$G66</f>
        <v>0</v>
      </c>
      <c r="K66" s="154">
        <f t="shared" si="10"/>
        <v>0</v>
      </c>
      <c r="L66" s="392">
        <f t="shared" si="2"/>
        <v>0</v>
      </c>
      <c r="M66" s="390">
        <f>'[1]5A4_NOCCA'!$J66</f>
        <v>0</v>
      </c>
      <c r="N66" s="153">
        <f t="shared" si="8"/>
        <v>0</v>
      </c>
      <c r="O66" s="156">
        <f>('[4]5A4_NOCCA'!Q66*6)+('[7]5A4_NOCCA'!Q66*2)</f>
        <v>0</v>
      </c>
      <c r="P66" s="150">
        <f t="shared" si="9"/>
        <v>0</v>
      </c>
      <c r="Q66" s="157">
        <f t="shared" si="11"/>
        <v>0</v>
      </c>
      <c r="R66" s="157">
        <f t="shared" si="12"/>
        <v>0</v>
      </c>
    </row>
    <row r="67" spans="1:18" ht="15.6" customHeight="1" x14ac:dyDescent="0.2">
      <c r="A67" s="378">
        <v>61</v>
      </c>
      <c r="B67" s="116" t="s">
        <v>64</v>
      </c>
      <c r="C67" s="379">
        <f>'8_2.1.19 SIS'!BG67</f>
        <v>0</v>
      </c>
      <c r="D67" s="380">
        <f>'Source Data'!Q67</f>
        <v>8368.0957865786568</v>
      </c>
      <c r="E67" s="381">
        <f t="shared" si="5"/>
        <v>0</v>
      </c>
      <c r="F67" s="381">
        <f>'Source Data'!G67</f>
        <v>833.70999999999992</v>
      </c>
      <c r="G67" s="381">
        <f t="shared" si="6"/>
        <v>0</v>
      </c>
      <c r="H67" s="382">
        <f t="shared" si="7"/>
        <v>0</v>
      </c>
      <c r="I67" s="118">
        <f>[2]Oct_NOCCA!$G67</f>
        <v>0</v>
      </c>
      <c r="J67" s="118">
        <f>[3]Feb_NOCCA!$G67</f>
        <v>0</v>
      </c>
      <c r="K67" s="122">
        <f t="shared" si="10"/>
        <v>0</v>
      </c>
      <c r="L67" s="382">
        <f t="shared" si="2"/>
        <v>0</v>
      </c>
      <c r="M67" s="380">
        <f>'[1]5A4_NOCCA'!$J67</f>
        <v>0</v>
      </c>
      <c r="N67" s="121">
        <f t="shared" si="8"/>
        <v>0</v>
      </c>
      <c r="O67" s="118">
        <f>('[4]5A4_NOCCA'!Q67*6)+('[7]5A4_NOCCA'!Q67*2)</f>
        <v>0</v>
      </c>
      <c r="P67" s="118">
        <f t="shared" si="9"/>
        <v>0</v>
      </c>
      <c r="Q67" s="121">
        <f t="shared" si="11"/>
        <v>0</v>
      </c>
      <c r="R67" s="123">
        <f t="shared" si="12"/>
        <v>0</v>
      </c>
    </row>
    <row r="68" spans="1:18" ht="15.6" customHeight="1" x14ac:dyDescent="0.2">
      <c r="A68" s="383">
        <v>62</v>
      </c>
      <c r="B68" s="134" t="s">
        <v>65</v>
      </c>
      <c r="C68" s="384">
        <f>'8_2.1.19 SIS'!BG68</f>
        <v>0</v>
      </c>
      <c r="D68" s="385">
        <f>'Source Data'!Q68</f>
        <v>8527.1602638254699</v>
      </c>
      <c r="E68" s="386">
        <f t="shared" si="5"/>
        <v>0</v>
      </c>
      <c r="F68" s="386">
        <f>'Source Data'!G68</f>
        <v>516.08000000000004</v>
      </c>
      <c r="G68" s="386">
        <f t="shared" si="6"/>
        <v>0</v>
      </c>
      <c r="H68" s="387">
        <f t="shared" si="7"/>
        <v>0</v>
      </c>
      <c r="I68" s="136">
        <f>[2]Oct_NOCCA!$G68</f>
        <v>0</v>
      </c>
      <c r="J68" s="136">
        <f>[3]Feb_NOCCA!$G68</f>
        <v>0</v>
      </c>
      <c r="K68" s="140">
        <f t="shared" si="10"/>
        <v>0</v>
      </c>
      <c r="L68" s="387">
        <f t="shared" si="2"/>
        <v>0</v>
      </c>
      <c r="M68" s="385">
        <f>'[1]5A4_NOCCA'!$J68</f>
        <v>0</v>
      </c>
      <c r="N68" s="139">
        <f t="shared" si="8"/>
        <v>0</v>
      </c>
      <c r="O68" s="136">
        <f>('[4]5A4_NOCCA'!Q68*6)+('[7]5A4_NOCCA'!Q68*2)</f>
        <v>0</v>
      </c>
      <c r="P68" s="136">
        <f t="shared" si="9"/>
        <v>0</v>
      </c>
      <c r="Q68" s="139">
        <f t="shared" si="11"/>
        <v>0</v>
      </c>
      <c r="R68" s="139">
        <f t="shared" si="12"/>
        <v>0</v>
      </c>
    </row>
    <row r="69" spans="1:18" ht="15.6" customHeight="1" x14ac:dyDescent="0.2">
      <c r="A69" s="383">
        <v>63</v>
      </c>
      <c r="B69" s="134" t="s">
        <v>66</v>
      </c>
      <c r="C69" s="384">
        <f>'8_2.1.19 SIS'!BG69</f>
        <v>0</v>
      </c>
      <c r="D69" s="385">
        <f>'Source Data'!Q69</f>
        <v>8996.9544990548202</v>
      </c>
      <c r="E69" s="386">
        <f t="shared" si="5"/>
        <v>0</v>
      </c>
      <c r="F69" s="386">
        <f>'Source Data'!G69</f>
        <v>756.79</v>
      </c>
      <c r="G69" s="386">
        <f t="shared" si="6"/>
        <v>0</v>
      </c>
      <c r="H69" s="387">
        <f t="shared" si="7"/>
        <v>0</v>
      </c>
      <c r="I69" s="136">
        <f>[2]Oct_NOCCA!$G69</f>
        <v>0</v>
      </c>
      <c r="J69" s="136">
        <f>[3]Feb_NOCCA!$G69</f>
        <v>0</v>
      </c>
      <c r="K69" s="140">
        <f t="shared" si="10"/>
        <v>0</v>
      </c>
      <c r="L69" s="387">
        <f t="shared" si="2"/>
        <v>0</v>
      </c>
      <c r="M69" s="385">
        <f>'[1]5A4_NOCCA'!$J69</f>
        <v>0</v>
      </c>
      <c r="N69" s="139">
        <f t="shared" si="8"/>
        <v>0</v>
      </c>
      <c r="O69" s="136">
        <f>('[4]5A4_NOCCA'!Q69*6)+('[7]5A4_NOCCA'!Q69*2)</f>
        <v>0</v>
      </c>
      <c r="P69" s="136">
        <f t="shared" si="9"/>
        <v>0</v>
      </c>
      <c r="Q69" s="139">
        <f t="shared" si="11"/>
        <v>0</v>
      </c>
      <c r="R69" s="139">
        <f t="shared" si="12"/>
        <v>0</v>
      </c>
    </row>
    <row r="70" spans="1:18" ht="15.6" customHeight="1" x14ac:dyDescent="0.2">
      <c r="A70" s="383">
        <v>64</v>
      </c>
      <c r="B70" s="134" t="s">
        <v>67</v>
      </c>
      <c r="C70" s="384">
        <f>'8_2.1.19 SIS'!BG70</f>
        <v>0</v>
      </c>
      <c r="D70" s="385">
        <f>'Source Data'!Q70</f>
        <v>9727.9971906354513</v>
      </c>
      <c r="E70" s="386">
        <f t="shared" si="5"/>
        <v>0</v>
      </c>
      <c r="F70" s="386">
        <f>'Source Data'!G70</f>
        <v>592.66</v>
      </c>
      <c r="G70" s="386">
        <f t="shared" si="6"/>
        <v>0</v>
      </c>
      <c r="H70" s="387">
        <f t="shared" si="7"/>
        <v>0</v>
      </c>
      <c r="I70" s="136">
        <f>[2]Oct_NOCCA!$G70</f>
        <v>0</v>
      </c>
      <c r="J70" s="136">
        <f>[3]Feb_NOCCA!$G70</f>
        <v>0</v>
      </c>
      <c r="K70" s="140">
        <f t="shared" si="10"/>
        <v>0</v>
      </c>
      <c r="L70" s="387">
        <f t="shared" si="2"/>
        <v>0</v>
      </c>
      <c r="M70" s="385">
        <f>'[1]5A4_NOCCA'!$J70</f>
        <v>0</v>
      </c>
      <c r="N70" s="139">
        <f t="shared" si="8"/>
        <v>0</v>
      </c>
      <c r="O70" s="136">
        <f>('[4]5A4_NOCCA'!Q70*6)+('[7]5A4_NOCCA'!Q70*2)</f>
        <v>0</v>
      </c>
      <c r="P70" s="136">
        <f t="shared" si="9"/>
        <v>0</v>
      </c>
      <c r="Q70" s="139">
        <f t="shared" si="11"/>
        <v>0</v>
      </c>
      <c r="R70" s="139">
        <f t="shared" si="12"/>
        <v>0</v>
      </c>
    </row>
    <row r="71" spans="1:18" ht="15.6" customHeight="1" x14ac:dyDescent="0.2">
      <c r="A71" s="388">
        <v>65</v>
      </c>
      <c r="B71" s="148" t="s">
        <v>68</v>
      </c>
      <c r="C71" s="389">
        <f>'8_2.1.19 SIS'!BG71</f>
        <v>0</v>
      </c>
      <c r="D71" s="390">
        <f>'Source Data'!Q71</f>
        <v>9143.4234235368167</v>
      </c>
      <c r="E71" s="391">
        <f t="shared" si="5"/>
        <v>0</v>
      </c>
      <c r="F71" s="391">
        <f>'Source Data'!G71</f>
        <v>829.12</v>
      </c>
      <c r="G71" s="391">
        <f t="shared" si="6"/>
        <v>0</v>
      </c>
      <c r="H71" s="392">
        <f t="shared" si="7"/>
        <v>0</v>
      </c>
      <c r="I71" s="150">
        <f>[2]Oct_NOCCA!$G71</f>
        <v>0</v>
      </c>
      <c r="J71" s="150">
        <f>[3]Feb_NOCCA!$G71</f>
        <v>0</v>
      </c>
      <c r="K71" s="154">
        <f>I71+J71</f>
        <v>0</v>
      </c>
      <c r="L71" s="392">
        <f>K71+H71</f>
        <v>0</v>
      </c>
      <c r="M71" s="390">
        <f>'[1]5A4_NOCCA'!$J71</f>
        <v>0</v>
      </c>
      <c r="N71" s="153">
        <f t="shared" si="8"/>
        <v>0</v>
      </c>
      <c r="O71" s="156">
        <f>('[4]5A4_NOCCA'!Q71*6)+('[7]5A4_NOCCA'!Q71*2)</f>
        <v>0</v>
      </c>
      <c r="P71" s="150">
        <f t="shared" si="9"/>
        <v>0</v>
      </c>
      <c r="Q71" s="157">
        <f>ROUND(P71/$Q$86,0)</f>
        <v>0</v>
      </c>
      <c r="R71" s="157">
        <f t="shared" si="12"/>
        <v>0</v>
      </c>
    </row>
    <row r="72" spans="1:18" ht="15.6" customHeight="1" x14ac:dyDescent="0.2">
      <c r="A72" s="383">
        <v>66</v>
      </c>
      <c r="B72" s="134" t="s">
        <v>69</v>
      </c>
      <c r="C72" s="393">
        <f>'8_2.1.19 SIS'!BG72</f>
        <v>0</v>
      </c>
      <c r="D72" s="394">
        <f>'Source Data'!Q72</f>
        <v>11075.208361344539</v>
      </c>
      <c r="E72" s="395">
        <f>C72*D72</f>
        <v>0</v>
      </c>
      <c r="F72" s="395">
        <f>'Source Data'!G72</f>
        <v>730.06</v>
      </c>
      <c r="G72" s="395">
        <f>C72*F72</f>
        <v>0</v>
      </c>
      <c r="H72" s="396">
        <f>ROUND(E72+G72,0)</f>
        <v>0</v>
      </c>
      <c r="I72" s="397">
        <f>[2]Oct_NOCCA!$G72</f>
        <v>0</v>
      </c>
      <c r="J72" s="397">
        <f>[3]Feb_NOCCA!$G72</f>
        <v>0</v>
      </c>
      <c r="K72" s="398">
        <f>I72+J72</f>
        <v>0</v>
      </c>
      <c r="L72" s="396">
        <f>K72+H72</f>
        <v>0</v>
      </c>
      <c r="M72" s="394">
        <f>'[1]5A4_NOCCA'!$J72</f>
        <v>0</v>
      </c>
      <c r="N72" s="399">
        <f>ROUND(SUM(L72:M72),0)</f>
        <v>0</v>
      </c>
      <c r="O72" s="136">
        <f>('[4]5A4_NOCCA'!Q72*6)+('[7]5A4_NOCCA'!Q72*2)</f>
        <v>0</v>
      </c>
      <c r="P72" s="397">
        <f>N72-O72</f>
        <v>0</v>
      </c>
      <c r="Q72" s="139">
        <f>ROUND(P72/$Q$86,0)</f>
        <v>0</v>
      </c>
      <c r="R72" s="139">
        <f t="shared" si="12"/>
        <v>0</v>
      </c>
    </row>
    <row r="73" spans="1:18" ht="15.6" customHeight="1" x14ac:dyDescent="0.2">
      <c r="A73" s="383">
        <v>67</v>
      </c>
      <c r="B73" s="134" t="s">
        <v>2</v>
      </c>
      <c r="C73" s="393">
        <f>'8_2.1.19 SIS'!BG73</f>
        <v>0</v>
      </c>
      <c r="D73" s="394">
        <f>'Source Data'!Q73</f>
        <v>8660.052680412371</v>
      </c>
      <c r="E73" s="395">
        <f>C73*D73</f>
        <v>0</v>
      </c>
      <c r="F73" s="395">
        <f>'Source Data'!G73</f>
        <v>715.61</v>
      </c>
      <c r="G73" s="395">
        <f>C73*F73</f>
        <v>0</v>
      </c>
      <c r="H73" s="396">
        <f>ROUND(E73+G73,0)</f>
        <v>0</v>
      </c>
      <c r="I73" s="397">
        <f>[2]Oct_NOCCA!$G73</f>
        <v>0</v>
      </c>
      <c r="J73" s="397">
        <f>[3]Feb_NOCCA!$G73</f>
        <v>0</v>
      </c>
      <c r="K73" s="398">
        <f>I73+J73</f>
        <v>0</v>
      </c>
      <c r="L73" s="396">
        <f>K73+H73</f>
        <v>0</v>
      </c>
      <c r="M73" s="394">
        <f>'[1]5A4_NOCCA'!$J73</f>
        <v>0</v>
      </c>
      <c r="N73" s="399">
        <f>ROUND(SUM(L73:M73),0)</f>
        <v>0</v>
      </c>
      <c r="O73" s="136">
        <f>('[4]5A4_NOCCA'!Q73*6)+('[7]5A4_NOCCA'!Q73*2)</f>
        <v>0</v>
      </c>
      <c r="P73" s="397">
        <f>N73-O73</f>
        <v>0</v>
      </c>
      <c r="Q73" s="139">
        <f>ROUND(P73/$Q$86,0)</f>
        <v>0</v>
      </c>
      <c r="R73" s="139">
        <f t="shared" si="12"/>
        <v>0</v>
      </c>
    </row>
    <row r="74" spans="1:18" ht="15.6" customHeight="1" x14ac:dyDescent="0.2">
      <c r="A74" s="383">
        <v>68</v>
      </c>
      <c r="B74" s="134" t="s">
        <v>1</v>
      </c>
      <c r="C74" s="393">
        <f>'8_2.1.19 SIS'!BG74</f>
        <v>0</v>
      </c>
      <c r="D74" s="394">
        <f>'Source Data'!Q74</f>
        <v>9631.6081267217633</v>
      </c>
      <c r="E74" s="395">
        <f>C74*D74</f>
        <v>0</v>
      </c>
      <c r="F74" s="395">
        <f>'Source Data'!G74</f>
        <v>798.7</v>
      </c>
      <c r="G74" s="395">
        <f>C74*F74</f>
        <v>0</v>
      </c>
      <c r="H74" s="396">
        <f>ROUND(E74+G74,0)</f>
        <v>0</v>
      </c>
      <c r="I74" s="397">
        <f>[2]Oct_NOCCA!$G74</f>
        <v>0</v>
      </c>
      <c r="J74" s="397">
        <f>[3]Feb_NOCCA!$G74</f>
        <v>0</v>
      </c>
      <c r="K74" s="398">
        <f>I74+J74</f>
        <v>0</v>
      </c>
      <c r="L74" s="396">
        <f>K74+H74</f>
        <v>0</v>
      </c>
      <c r="M74" s="394">
        <f>'[1]5A4_NOCCA'!$J74</f>
        <v>0</v>
      </c>
      <c r="N74" s="399">
        <f>ROUND(SUM(L74:M74),0)</f>
        <v>0</v>
      </c>
      <c r="O74" s="136">
        <f>('[4]5A4_NOCCA'!Q74*6)+('[7]5A4_NOCCA'!Q74*2)</f>
        <v>0</v>
      </c>
      <c r="P74" s="397">
        <f>N74-O74</f>
        <v>0</v>
      </c>
      <c r="Q74" s="139">
        <f>ROUND(P74/$Q$86,0)</f>
        <v>0</v>
      </c>
      <c r="R74" s="139">
        <f t="shared" si="12"/>
        <v>0</v>
      </c>
    </row>
    <row r="75" spans="1:18" ht="15.6" customHeight="1" x14ac:dyDescent="0.2">
      <c r="A75" s="400">
        <v>69</v>
      </c>
      <c r="B75" s="401" t="s">
        <v>74</v>
      </c>
      <c r="C75" s="402">
        <f>'8_2.1.19 SIS'!BG75</f>
        <v>0</v>
      </c>
      <c r="D75" s="403">
        <f>'Source Data'!Q75</f>
        <v>8983.2278574459051</v>
      </c>
      <c r="E75" s="404">
        <f>C75*D75</f>
        <v>0</v>
      </c>
      <c r="F75" s="404">
        <f>'Source Data'!G75</f>
        <v>705.67</v>
      </c>
      <c r="G75" s="404">
        <f>C75*F75</f>
        <v>0</v>
      </c>
      <c r="H75" s="405">
        <f>ROUND(E75+G75,0)</f>
        <v>0</v>
      </c>
      <c r="I75" s="406">
        <f>[2]Oct_NOCCA!$G75</f>
        <v>0</v>
      </c>
      <c r="J75" s="406">
        <f>[3]Feb_NOCCA!$G75</f>
        <v>0</v>
      </c>
      <c r="K75" s="407">
        <f>I75+J75</f>
        <v>0</v>
      </c>
      <c r="L75" s="405">
        <f>K75+H75</f>
        <v>0</v>
      </c>
      <c r="M75" s="403">
        <f>'[1]5A4_NOCCA'!$J75</f>
        <v>0</v>
      </c>
      <c r="N75" s="408">
        <f>ROUND(SUM(L75:M75),0)</f>
        <v>0</v>
      </c>
      <c r="O75" s="409">
        <f>('[4]5A4_NOCCA'!Q75*6)+('[7]5A4_NOCCA'!Q75*2)</f>
        <v>0</v>
      </c>
      <c r="P75" s="406">
        <f>N75-O75</f>
        <v>0</v>
      </c>
      <c r="Q75" s="410">
        <f>ROUND(P75/$Q$86,0)</f>
        <v>0</v>
      </c>
      <c r="R75" s="410">
        <f t="shared" si="12"/>
        <v>0</v>
      </c>
    </row>
    <row r="76" spans="1:18" s="30" customFormat="1" ht="15.6" customHeight="1" thickBot="1" x14ac:dyDescent="0.25">
      <c r="A76" s="1408" t="s">
        <v>397</v>
      </c>
      <c r="B76" s="1409"/>
      <c r="C76" s="411">
        <f>SUM(C7:C75)</f>
        <v>236</v>
      </c>
      <c r="D76" s="412">
        <f>'Source Data'!Q76</f>
        <v>8521.3829481652883</v>
      </c>
      <c r="E76" s="413">
        <f>SUM(E7:E75)</f>
        <v>2010159.1577225102</v>
      </c>
      <c r="F76" s="413">
        <f>'Source Data'!G76</f>
        <v>706.16</v>
      </c>
      <c r="G76" s="413">
        <f t="shared" ref="G76:O76" si="13">SUM(G7:G75)</f>
        <v>176732.74000000002</v>
      </c>
      <c r="H76" s="414">
        <f t="shared" si="13"/>
        <v>2186893</v>
      </c>
      <c r="I76" s="415">
        <f t="shared" si="13"/>
        <v>-18460</v>
      </c>
      <c r="J76" s="415">
        <f>SUM(J7:J75)</f>
        <v>-23302</v>
      </c>
      <c r="K76" s="416">
        <f t="shared" si="13"/>
        <v>-41762</v>
      </c>
      <c r="L76" s="417">
        <f>SUM(L7:L75)</f>
        <v>2145131</v>
      </c>
      <c r="M76" s="418">
        <f t="shared" si="13"/>
        <v>0</v>
      </c>
      <c r="N76" s="414">
        <f t="shared" si="13"/>
        <v>2145131</v>
      </c>
      <c r="O76" s="418">
        <f t="shared" si="13"/>
        <v>1457936</v>
      </c>
      <c r="P76" s="418">
        <f>SUM(P7:P75)</f>
        <v>687195</v>
      </c>
      <c r="Q76" s="419">
        <f>SUM(Q7:Q75)</f>
        <v>171800</v>
      </c>
      <c r="R76" s="419">
        <f>SUM(R7:R75)</f>
        <v>2145131</v>
      </c>
    </row>
    <row r="77" spans="1:18" s="30" customFormat="1" ht="15.6" customHeight="1" thickTop="1" x14ac:dyDescent="0.2">
      <c r="A77" s="1454" t="s">
        <v>1273</v>
      </c>
      <c r="B77" s="1455"/>
      <c r="C77" s="970"/>
      <c r="D77" s="971"/>
      <c r="E77" s="971"/>
      <c r="F77" s="971"/>
      <c r="G77" s="971"/>
      <c r="H77" s="972">
        <v>90521</v>
      </c>
      <c r="I77" s="973"/>
      <c r="J77" s="973"/>
      <c r="K77" s="973"/>
      <c r="L77" s="972">
        <f>K77+H77</f>
        <v>90521</v>
      </c>
      <c r="M77" s="971"/>
      <c r="N77" s="974">
        <f>ROUND(SUM(L77:M77),0)</f>
        <v>90521</v>
      </c>
      <c r="O77" s="975">
        <f>('[4]5A4_NOCCA'!Q77*6)+('[7]5A4_NOCCA'!Q77*2)</f>
        <v>54546</v>
      </c>
      <c r="P77" s="973">
        <f>N77-O77</f>
        <v>35975</v>
      </c>
      <c r="Q77" s="976">
        <f>ROUND(P77/$Q$86,0)</f>
        <v>8994</v>
      </c>
      <c r="R77" s="976">
        <f>N77</f>
        <v>90521</v>
      </c>
    </row>
    <row r="78" spans="1:18" ht="15.6" customHeight="1" x14ac:dyDescent="0.2">
      <c r="A78" s="1429" t="s">
        <v>357</v>
      </c>
      <c r="B78" s="1462"/>
      <c r="C78" s="969"/>
      <c r="D78" s="421"/>
      <c r="E78" s="421"/>
      <c r="F78" s="421"/>
      <c r="G78" s="421"/>
      <c r="H78" s="421"/>
      <c r="I78" s="423"/>
      <c r="J78" s="423"/>
      <c r="K78" s="423"/>
      <c r="L78" s="423"/>
      <c r="M78" s="423"/>
      <c r="N78" s="791"/>
      <c r="O78" s="791"/>
      <c r="P78" s="790"/>
      <c r="Q78" s="791"/>
      <c r="R78" s="791"/>
    </row>
    <row r="79" spans="1:18" ht="15.6" customHeight="1" x14ac:dyDescent="0.2">
      <c r="A79" s="1427" t="s">
        <v>358</v>
      </c>
      <c r="B79" s="1428"/>
      <c r="C79" s="420"/>
      <c r="D79" s="421"/>
      <c r="E79" s="422"/>
      <c r="F79" s="422"/>
      <c r="G79" s="422"/>
      <c r="H79" s="422"/>
      <c r="I79" s="423"/>
      <c r="J79" s="423"/>
      <c r="K79" s="423"/>
      <c r="L79" s="423"/>
      <c r="M79" s="423"/>
      <c r="N79" s="142">
        <v>0</v>
      </c>
      <c r="O79" s="791">
        <f>('[4]5A4_NOCCA'!Q79*6)+('[7]5A4_NOCCA'!Q79*2)</f>
        <v>0</v>
      </c>
      <c r="P79" s="790">
        <f>N79-O79</f>
        <v>0</v>
      </c>
      <c r="Q79" s="142">
        <f>ROUND(P79/$Q$86,0)</f>
        <v>0</v>
      </c>
      <c r="R79" s="142">
        <v>0</v>
      </c>
    </row>
    <row r="80" spans="1:18" ht="15.6" customHeight="1" x14ac:dyDescent="0.2">
      <c r="A80" s="1425" t="s">
        <v>373</v>
      </c>
      <c r="B80" s="1426"/>
      <c r="C80" s="424"/>
      <c r="D80" s="425"/>
      <c r="E80" s="426"/>
      <c r="F80" s="426"/>
      <c r="G80" s="426"/>
      <c r="H80" s="426"/>
      <c r="I80" s="427"/>
      <c r="J80" s="427"/>
      <c r="K80" s="427"/>
      <c r="L80" s="427"/>
      <c r="M80" s="427"/>
      <c r="N80" s="793"/>
      <c r="O80" s="791"/>
      <c r="P80" s="790"/>
      <c r="Q80" s="793"/>
      <c r="R80" s="142">
        <v>0</v>
      </c>
    </row>
    <row r="81" spans="1:18" ht="15.6" customHeight="1" x14ac:dyDescent="0.2">
      <c r="A81" s="1437" t="s">
        <v>1368</v>
      </c>
      <c r="B81" s="1438"/>
      <c r="C81" s="424"/>
      <c r="D81" s="425"/>
      <c r="E81" s="426"/>
      <c r="F81" s="426"/>
      <c r="G81" s="426"/>
      <c r="H81" s="426"/>
      <c r="I81" s="427"/>
      <c r="J81" s="427"/>
      <c r="K81" s="427"/>
      <c r="L81" s="427"/>
      <c r="M81" s="427"/>
      <c r="N81" s="791"/>
      <c r="O81" s="791"/>
      <c r="P81" s="790"/>
      <c r="Q81" s="791"/>
      <c r="R81" s="142">
        <v>10000</v>
      </c>
    </row>
    <row r="82" spans="1:18" ht="15.6" customHeight="1" x14ac:dyDescent="0.2">
      <c r="A82" s="1437" t="s">
        <v>372</v>
      </c>
      <c r="B82" s="1438"/>
      <c r="C82" s="424"/>
      <c r="D82" s="425"/>
      <c r="E82" s="426"/>
      <c r="F82" s="426"/>
      <c r="G82" s="426"/>
      <c r="H82" s="426"/>
      <c r="I82" s="427"/>
      <c r="J82" s="427"/>
      <c r="K82" s="427"/>
      <c r="L82" s="427"/>
      <c r="M82" s="427"/>
      <c r="N82" s="793"/>
      <c r="O82" s="791"/>
      <c r="P82" s="790"/>
      <c r="Q82" s="793"/>
      <c r="R82" s="142">
        <v>0</v>
      </c>
    </row>
    <row r="83" spans="1:18" ht="15.6" customHeight="1" x14ac:dyDescent="0.2">
      <c r="A83" s="1435" t="s">
        <v>253</v>
      </c>
      <c r="B83" s="1436"/>
      <c r="C83" s="428"/>
      <c r="D83" s="429"/>
      <c r="E83" s="430"/>
      <c r="F83" s="430"/>
      <c r="G83" s="430"/>
      <c r="H83" s="430"/>
      <c r="I83" s="431"/>
      <c r="J83" s="431"/>
      <c r="K83" s="431"/>
      <c r="L83" s="431"/>
      <c r="M83" s="431"/>
      <c r="N83" s="157">
        <v>13924</v>
      </c>
      <c r="O83" s="156">
        <f>('[4]5A4_NOCCA'!Q83*6)+('[7]5A4_NOCCA'!Q83*2)</f>
        <v>9282</v>
      </c>
      <c r="P83" s="795">
        <f>N83-O83</f>
        <v>4642</v>
      </c>
      <c r="Q83" s="157">
        <f>ROUND(P83/$Q$86,0)</f>
        <v>1161</v>
      </c>
      <c r="R83" s="157">
        <v>13924</v>
      </c>
    </row>
    <row r="84" spans="1:18" s="30" customFormat="1" ht="15.6" customHeight="1" thickBot="1" x14ac:dyDescent="0.25">
      <c r="A84" s="1408" t="s">
        <v>398</v>
      </c>
      <c r="B84" s="1461"/>
      <c r="C84" s="411">
        <f>SUM(C76)</f>
        <v>236</v>
      </c>
      <c r="D84" s="412">
        <f>D76</f>
        <v>8521.3829481652883</v>
      </c>
      <c r="E84" s="413">
        <f>SUM(E76:E83)</f>
        <v>2010159.1577225102</v>
      </c>
      <c r="F84" s="413">
        <f>F76</f>
        <v>706.16</v>
      </c>
      <c r="G84" s="413">
        <f t="shared" ref="G84:R84" si="14">SUM(G76:G83)</f>
        <v>176732.74000000002</v>
      </c>
      <c r="H84" s="414">
        <f t="shared" si="14"/>
        <v>2277414</v>
      </c>
      <c r="I84" s="415">
        <f t="shared" si="14"/>
        <v>-18460</v>
      </c>
      <c r="J84" s="415">
        <f t="shared" si="14"/>
        <v>-23302</v>
      </c>
      <c r="K84" s="416">
        <f t="shared" si="14"/>
        <v>-41762</v>
      </c>
      <c r="L84" s="417">
        <f t="shared" si="14"/>
        <v>2235652</v>
      </c>
      <c r="M84" s="432">
        <f t="shared" si="14"/>
        <v>0</v>
      </c>
      <c r="N84" s="419">
        <f t="shared" si="14"/>
        <v>2249576</v>
      </c>
      <c r="O84" s="418">
        <f t="shared" si="14"/>
        <v>1521764</v>
      </c>
      <c r="P84" s="418">
        <f t="shared" si="14"/>
        <v>727812</v>
      </c>
      <c r="Q84" s="419">
        <f t="shared" si="14"/>
        <v>181955</v>
      </c>
      <c r="R84" s="419">
        <f t="shared" si="14"/>
        <v>2259576</v>
      </c>
    </row>
    <row r="85" spans="1:18" ht="13.5" thickTop="1" x14ac:dyDescent="0.2"/>
    <row r="86" spans="1:18" x14ac:dyDescent="0.2">
      <c r="G86" s="884"/>
      <c r="Q86" s="7">
        <v>4</v>
      </c>
    </row>
    <row r="87" spans="1:18" x14ac:dyDescent="0.2">
      <c r="C87" s="496"/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6"/>
      <c r="O87" s="496"/>
      <c r="P87" s="496"/>
      <c r="Q87" s="496"/>
      <c r="R87" s="4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&amp;L&amp;"Arial,Bold"&amp;20&amp;K000000FY2019-20 Budget Letter
March 2020&amp;R&amp;"Arial,Bold"&amp;12&amp;KFF0000
</oddHeader>
    <oddFooter>&amp;R&amp;9&amp;P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6.28515625" style="7" customWidth="1"/>
    <col min="3" max="3" width="13.140625" style="7" customWidth="1"/>
    <col min="4" max="4" width="12.85546875" style="7" customWidth="1"/>
    <col min="5" max="5" width="13.7109375" style="7" customWidth="1"/>
    <col min="6" max="6" width="12.5703125" style="7" bestFit="1" customWidth="1"/>
    <col min="7" max="8" width="13.7109375" style="7" customWidth="1"/>
    <col min="9" max="10" width="14.85546875" style="7" customWidth="1"/>
    <col min="11" max="11" width="13.7109375" style="7" customWidth="1"/>
    <col min="12" max="12" width="14.140625" style="7" customWidth="1"/>
    <col min="13" max="13" width="13.42578125" style="7" bestFit="1" customWidth="1"/>
    <col min="14" max="14" width="17.85546875" style="7" customWidth="1"/>
    <col min="15" max="17" width="14.5703125" style="7" customWidth="1"/>
    <col min="18" max="18" width="19.140625" style="7" customWidth="1"/>
    <col min="19" max="16384" width="8.85546875" style="7"/>
  </cols>
  <sheetData>
    <row r="1" spans="1:18" ht="17.45" customHeight="1" x14ac:dyDescent="0.2">
      <c r="A1" s="1463" t="s">
        <v>507</v>
      </c>
      <c r="B1" s="1463"/>
      <c r="C1" s="1458" t="s">
        <v>310</v>
      </c>
      <c r="D1" s="1459"/>
      <c r="E1" s="1459"/>
      <c r="F1" s="1459"/>
      <c r="G1" s="1459"/>
      <c r="H1" s="1459"/>
      <c r="I1" s="1459"/>
      <c r="J1" s="1459"/>
      <c r="K1" s="1460"/>
      <c r="L1" s="1458" t="s">
        <v>310</v>
      </c>
      <c r="M1" s="1459"/>
      <c r="N1" s="1459"/>
      <c r="O1" s="1459"/>
      <c r="P1" s="1459"/>
      <c r="Q1" s="1459"/>
      <c r="R1" s="1460"/>
    </row>
    <row r="2" spans="1:18" s="433" customFormat="1" ht="17.45" customHeight="1" x14ac:dyDescent="0.2">
      <c r="A2" s="1463"/>
      <c r="B2" s="1463"/>
      <c r="C2" s="25"/>
      <c r="D2" s="26"/>
      <c r="E2" s="26"/>
      <c r="F2" s="26"/>
      <c r="G2" s="26"/>
      <c r="H2" s="26"/>
      <c r="I2" s="1464" t="s">
        <v>228</v>
      </c>
      <c r="J2" s="1465"/>
      <c r="K2" s="1466"/>
      <c r="L2" s="25"/>
      <c r="M2" s="26"/>
      <c r="N2" s="26"/>
      <c r="O2" s="26"/>
      <c r="P2" s="26"/>
      <c r="Q2" s="26"/>
      <c r="R2" s="27"/>
    </row>
    <row r="3" spans="1:18" ht="138" customHeight="1" x14ac:dyDescent="0.2">
      <c r="A3" s="1463"/>
      <c r="B3" s="1463"/>
      <c r="C3" s="177" t="s">
        <v>1195</v>
      </c>
      <c r="D3" s="176" t="s">
        <v>508</v>
      </c>
      <c r="E3" s="176" t="s">
        <v>509</v>
      </c>
      <c r="F3" s="176" t="s">
        <v>362</v>
      </c>
      <c r="G3" s="176" t="s">
        <v>308</v>
      </c>
      <c r="H3" s="176" t="s">
        <v>1319</v>
      </c>
      <c r="I3" s="22" t="s">
        <v>1186</v>
      </c>
      <c r="J3" s="22" t="s">
        <v>1187</v>
      </c>
      <c r="K3" s="22" t="s">
        <v>230</v>
      </c>
      <c r="L3" s="176" t="s">
        <v>510</v>
      </c>
      <c r="M3" s="1145" t="s">
        <v>1430</v>
      </c>
      <c r="N3" s="24" t="s">
        <v>981</v>
      </c>
      <c r="O3" s="24" t="s">
        <v>268</v>
      </c>
      <c r="P3" s="24" t="s">
        <v>271</v>
      </c>
      <c r="Q3" s="24" t="s">
        <v>229</v>
      </c>
      <c r="R3" s="24" t="s">
        <v>982</v>
      </c>
    </row>
    <row r="4" spans="1:18" ht="14.25" customHeight="1" x14ac:dyDescent="0.2">
      <c r="A4" s="434"/>
      <c r="B4" s="435"/>
      <c r="C4" s="436">
        <v>1</v>
      </c>
      <c r="D4" s="436">
        <f>C4+1</f>
        <v>2</v>
      </c>
      <c r="E4" s="436">
        <f>D4+1</f>
        <v>3</v>
      </c>
      <c r="F4" s="436">
        <f t="shared" ref="F4:L4" si="0">E4+1</f>
        <v>4</v>
      </c>
      <c r="G4" s="436">
        <f t="shared" si="0"/>
        <v>5</v>
      </c>
      <c r="H4" s="436">
        <f t="shared" si="0"/>
        <v>6</v>
      </c>
      <c r="I4" s="436">
        <f t="shared" si="0"/>
        <v>7</v>
      </c>
      <c r="J4" s="436">
        <f t="shared" si="0"/>
        <v>8</v>
      </c>
      <c r="K4" s="436">
        <f t="shared" si="0"/>
        <v>9</v>
      </c>
      <c r="L4" s="436">
        <f t="shared" si="0"/>
        <v>10</v>
      </c>
      <c r="M4" s="436">
        <f t="shared" ref="M4:R4" si="1">L4+1</f>
        <v>11</v>
      </c>
      <c r="N4" s="436">
        <f t="shared" si="1"/>
        <v>12</v>
      </c>
      <c r="O4" s="436">
        <f t="shared" si="1"/>
        <v>13</v>
      </c>
      <c r="P4" s="436">
        <f t="shared" si="1"/>
        <v>14</v>
      </c>
      <c r="Q4" s="436">
        <f t="shared" si="1"/>
        <v>15</v>
      </c>
      <c r="R4" s="436">
        <f t="shared" si="1"/>
        <v>16</v>
      </c>
    </row>
    <row r="5" spans="1:18" s="495" customFormat="1" ht="27.75" customHeight="1" x14ac:dyDescent="0.2">
      <c r="A5" s="739"/>
      <c r="B5" s="739"/>
      <c r="C5" s="598" t="s">
        <v>813</v>
      </c>
      <c r="D5" s="598" t="s">
        <v>1320</v>
      </c>
      <c r="E5" s="598" t="s">
        <v>814</v>
      </c>
      <c r="F5" s="598" t="s">
        <v>733</v>
      </c>
      <c r="G5" s="598" t="s">
        <v>708</v>
      </c>
      <c r="H5" s="598" t="s">
        <v>1404</v>
      </c>
      <c r="I5" s="598" t="s">
        <v>951</v>
      </c>
      <c r="J5" s="598" t="s">
        <v>952</v>
      </c>
      <c r="K5" s="598" t="s">
        <v>815</v>
      </c>
      <c r="L5" s="598" t="s">
        <v>816</v>
      </c>
      <c r="M5" s="601" t="s">
        <v>818</v>
      </c>
      <c r="N5" s="598" t="s">
        <v>1390</v>
      </c>
      <c r="O5" s="598" t="s">
        <v>984</v>
      </c>
      <c r="P5" s="598" t="s">
        <v>842</v>
      </c>
      <c r="Q5" s="598" t="s">
        <v>983</v>
      </c>
      <c r="R5" s="598" t="s">
        <v>1391</v>
      </c>
    </row>
    <row r="6" spans="1:18" s="495" customFormat="1" ht="22.5" hidden="1" x14ac:dyDescent="0.2">
      <c r="A6" s="740"/>
      <c r="B6" s="740"/>
      <c r="C6" s="601" t="s">
        <v>603</v>
      </c>
      <c r="D6" s="601" t="s">
        <v>603</v>
      </c>
      <c r="E6" s="601" t="s">
        <v>604</v>
      </c>
      <c r="F6" s="601" t="s">
        <v>843</v>
      </c>
      <c r="G6" s="601" t="s">
        <v>604</v>
      </c>
      <c r="H6" s="601" t="s">
        <v>604</v>
      </c>
      <c r="I6" s="601" t="s">
        <v>817</v>
      </c>
      <c r="J6" s="601" t="s">
        <v>817</v>
      </c>
      <c r="K6" s="601" t="s">
        <v>604</v>
      </c>
      <c r="L6" s="601" t="s">
        <v>604</v>
      </c>
      <c r="M6" s="601" t="s">
        <v>818</v>
      </c>
      <c r="N6" s="601" t="s">
        <v>836</v>
      </c>
      <c r="O6" s="601" t="s">
        <v>844</v>
      </c>
      <c r="P6" s="601" t="s">
        <v>604</v>
      </c>
      <c r="Q6" s="601" t="s">
        <v>604</v>
      </c>
      <c r="R6" s="601" t="s">
        <v>837</v>
      </c>
    </row>
    <row r="7" spans="1:18" ht="15.6" customHeight="1" x14ac:dyDescent="0.2">
      <c r="A7" s="378">
        <v>1</v>
      </c>
      <c r="B7" s="116" t="s">
        <v>5</v>
      </c>
      <c r="C7" s="379">
        <f>'8_2.1.19 SIS'!BF7</f>
        <v>7</v>
      </c>
      <c r="D7" s="380">
        <f>'Source Data'!Q7</f>
        <v>7587.5341296060997</v>
      </c>
      <c r="E7" s="381">
        <f>C7*D7</f>
        <v>53112.738907242696</v>
      </c>
      <c r="F7" s="381">
        <f>'Source Data'!G7</f>
        <v>777.48</v>
      </c>
      <c r="G7" s="381">
        <f>C7*F7</f>
        <v>5442.3600000000006</v>
      </c>
      <c r="H7" s="382">
        <f>ROUND(E7+G7,0)</f>
        <v>58555</v>
      </c>
      <c r="I7" s="118">
        <f>[2]Oct_LSMSA!$G7</f>
        <v>8365</v>
      </c>
      <c r="J7" s="118">
        <f>[3]Feb_LSMSA!$G7</f>
        <v>-12548</v>
      </c>
      <c r="K7" s="122">
        <f t="shared" ref="K7:K38" si="2">I7+J7</f>
        <v>-4183</v>
      </c>
      <c r="L7" s="382">
        <f t="shared" ref="L7:L70" si="3">K7+H7</f>
        <v>54372</v>
      </c>
      <c r="M7" s="380">
        <f>'[1]5A5_LSMSA'!$J7</f>
        <v>0</v>
      </c>
      <c r="N7" s="121">
        <f>ROUND(SUM(L7:M7),0)</f>
        <v>54372</v>
      </c>
      <c r="O7" s="118">
        <f>('[4]5A5_LSMSA'!Q7*6)+('[7]5A5_LSMSA'!Q7*2)</f>
        <v>39038</v>
      </c>
      <c r="P7" s="118">
        <f>N7-O7</f>
        <v>15334</v>
      </c>
      <c r="Q7" s="121">
        <f t="shared" ref="Q7:Q38" si="4">ROUND(P7/$Q$86,0)</f>
        <v>3834</v>
      </c>
      <c r="R7" s="123">
        <f t="shared" ref="R7:R38" si="5">N7</f>
        <v>54372</v>
      </c>
    </row>
    <row r="8" spans="1:18" ht="15.6" customHeight="1" x14ac:dyDescent="0.2">
      <c r="A8" s="383">
        <v>2</v>
      </c>
      <c r="B8" s="134" t="s">
        <v>6</v>
      </c>
      <c r="C8" s="384">
        <f>'8_2.1.19 SIS'!BF8</f>
        <v>4</v>
      </c>
      <c r="D8" s="385">
        <f>'Source Data'!Q8</f>
        <v>9483.6340239940018</v>
      </c>
      <c r="E8" s="386">
        <f t="shared" ref="E8:E71" si="6">C8*D8</f>
        <v>37934.536095976007</v>
      </c>
      <c r="F8" s="386">
        <f>'Source Data'!G8</f>
        <v>842.32</v>
      </c>
      <c r="G8" s="386">
        <f t="shared" ref="G8:G71" si="7">C8*F8</f>
        <v>3369.28</v>
      </c>
      <c r="H8" s="387">
        <f t="shared" ref="H8:H71" si="8">ROUND(E8+G8,0)</f>
        <v>41304</v>
      </c>
      <c r="I8" s="136">
        <f>[2]Oct_LSMSA!$G8</f>
        <v>-20652</v>
      </c>
      <c r="J8" s="136">
        <f>[3]Feb_LSMSA!$G8</f>
        <v>-5163</v>
      </c>
      <c r="K8" s="140">
        <f t="shared" si="2"/>
        <v>-25815</v>
      </c>
      <c r="L8" s="387">
        <f t="shared" si="3"/>
        <v>15489</v>
      </c>
      <c r="M8" s="385">
        <f>'[1]5A5_LSMSA'!$J8</f>
        <v>0</v>
      </c>
      <c r="N8" s="139">
        <f t="shared" ref="N8:N71" si="9">ROUND(SUM(L8:M8),0)</f>
        <v>15489</v>
      </c>
      <c r="O8" s="136">
        <f>('[4]5A5_LSMSA'!Q8*6)+('[7]5A5_LSMSA'!Q8*2)</f>
        <v>27536</v>
      </c>
      <c r="P8" s="136">
        <f t="shared" ref="P8:P71" si="10">N8-O8</f>
        <v>-12047</v>
      </c>
      <c r="Q8" s="139">
        <f t="shared" si="4"/>
        <v>-3012</v>
      </c>
      <c r="R8" s="139">
        <f t="shared" si="5"/>
        <v>15489</v>
      </c>
    </row>
    <row r="9" spans="1:18" ht="15.6" customHeight="1" x14ac:dyDescent="0.2">
      <c r="A9" s="383">
        <v>3</v>
      </c>
      <c r="B9" s="134" t="s">
        <v>7</v>
      </c>
      <c r="C9" s="384">
        <f>'8_2.1.19 SIS'!BF9</f>
        <v>11</v>
      </c>
      <c r="D9" s="385">
        <f>'Source Data'!Q9</f>
        <v>7888.5784098624263</v>
      </c>
      <c r="E9" s="386">
        <f t="shared" si="6"/>
        <v>86774.362508486694</v>
      </c>
      <c r="F9" s="386">
        <f>'Source Data'!G9</f>
        <v>596.84</v>
      </c>
      <c r="G9" s="386">
        <f t="shared" si="7"/>
        <v>6565.2400000000007</v>
      </c>
      <c r="H9" s="387">
        <f t="shared" si="8"/>
        <v>93340</v>
      </c>
      <c r="I9" s="136">
        <f>[2]Oct_LSMSA!$G9</f>
        <v>0</v>
      </c>
      <c r="J9" s="136">
        <f>[3]Feb_LSMSA!$G9</f>
        <v>0</v>
      </c>
      <c r="K9" s="140">
        <f t="shared" si="2"/>
        <v>0</v>
      </c>
      <c r="L9" s="387">
        <f t="shared" si="3"/>
        <v>93340</v>
      </c>
      <c r="M9" s="385">
        <f>'[1]5A5_LSMSA'!$J9</f>
        <v>0</v>
      </c>
      <c r="N9" s="139">
        <f t="shared" si="9"/>
        <v>93340</v>
      </c>
      <c r="O9" s="136">
        <f>('[4]5A5_LSMSA'!Q9*6)+('[7]5A5_LSMSA'!Q9*2)</f>
        <v>62226</v>
      </c>
      <c r="P9" s="136">
        <f t="shared" si="10"/>
        <v>31114</v>
      </c>
      <c r="Q9" s="139">
        <f t="shared" si="4"/>
        <v>7779</v>
      </c>
      <c r="R9" s="139">
        <f t="shared" si="5"/>
        <v>93340</v>
      </c>
    </row>
    <row r="10" spans="1:18" ht="15.6" customHeight="1" x14ac:dyDescent="0.2">
      <c r="A10" s="383">
        <v>4</v>
      </c>
      <c r="B10" s="134" t="s">
        <v>8</v>
      </c>
      <c r="C10" s="384">
        <f>'8_2.1.19 SIS'!BF10</f>
        <v>2</v>
      </c>
      <c r="D10" s="385">
        <f>'Source Data'!Q10</f>
        <v>9693.2804096538584</v>
      </c>
      <c r="E10" s="386">
        <f t="shared" si="6"/>
        <v>19386.560819307717</v>
      </c>
      <c r="F10" s="386">
        <f>'Source Data'!G10</f>
        <v>585.76</v>
      </c>
      <c r="G10" s="386">
        <f t="shared" si="7"/>
        <v>1171.52</v>
      </c>
      <c r="H10" s="387">
        <f t="shared" si="8"/>
        <v>20558</v>
      </c>
      <c r="I10" s="136">
        <f>[2]Oct_LSMSA!$G10</f>
        <v>0</v>
      </c>
      <c r="J10" s="136">
        <f>[3]Feb_LSMSA!$G10</f>
        <v>0</v>
      </c>
      <c r="K10" s="140">
        <f t="shared" si="2"/>
        <v>0</v>
      </c>
      <c r="L10" s="387">
        <f t="shared" si="3"/>
        <v>20558</v>
      </c>
      <c r="M10" s="385">
        <f>'[1]5A5_LSMSA'!$J10</f>
        <v>0</v>
      </c>
      <c r="N10" s="139">
        <f t="shared" si="9"/>
        <v>20558</v>
      </c>
      <c r="O10" s="136">
        <f>('[4]5A5_LSMSA'!Q10*6)+('[7]5A5_LSMSA'!Q10*2)</f>
        <v>13704</v>
      </c>
      <c r="P10" s="136">
        <f t="shared" si="10"/>
        <v>6854</v>
      </c>
      <c r="Q10" s="139">
        <f t="shared" si="4"/>
        <v>1714</v>
      </c>
      <c r="R10" s="139">
        <f t="shared" si="5"/>
        <v>20558</v>
      </c>
    </row>
    <row r="11" spans="1:18" ht="15.6" customHeight="1" x14ac:dyDescent="0.2">
      <c r="A11" s="388">
        <v>5</v>
      </c>
      <c r="B11" s="148" t="s">
        <v>9</v>
      </c>
      <c r="C11" s="389">
        <f>'8_2.1.19 SIS'!BF11</f>
        <v>2</v>
      </c>
      <c r="D11" s="390">
        <f>'Source Data'!Q11</f>
        <v>7894.1332215942311</v>
      </c>
      <c r="E11" s="391">
        <f t="shared" si="6"/>
        <v>15788.266443188462</v>
      </c>
      <c r="F11" s="391">
        <f>'Source Data'!G11</f>
        <v>555.91</v>
      </c>
      <c r="G11" s="391">
        <f t="shared" si="7"/>
        <v>1111.82</v>
      </c>
      <c r="H11" s="392">
        <f t="shared" si="8"/>
        <v>16900</v>
      </c>
      <c r="I11" s="150">
        <f>[2]Oct_LSMSA!$G11</f>
        <v>8450</v>
      </c>
      <c r="J11" s="150">
        <f>[3]Feb_LSMSA!$G11</f>
        <v>0</v>
      </c>
      <c r="K11" s="154">
        <f t="shared" si="2"/>
        <v>8450</v>
      </c>
      <c r="L11" s="392">
        <f t="shared" si="3"/>
        <v>25350</v>
      </c>
      <c r="M11" s="390">
        <f>'[1]5A5_LSMSA'!$J11</f>
        <v>0</v>
      </c>
      <c r="N11" s="153">
        <f t="shared" si="9"/>
        <v>25350</v>
      </c>
      <c r="O11" s="156">
        <f>('[4]5A5_LSMSA'!Q11*6)+('[7]5A5_LSMSA'!Q11*2)</f>
        <v>11266</v>
      </c>
      <c r="P11" s="150">
        <f t="shared" si="10"/>
        <v>14084</v>
      </c>
      <c r="Q11" s="157">
        <f t="shared" si="4"/>
        <v>3521</v>
      </c>
      <c r="R11" s="153">
        <f t="shared" si="5"/>
        <v>25350</v>
      </c>
    </row>
    <row r="12" spans="1:18" ht="15.6" customHeight="1" x14ac:dyDescent="0.2">
      <c r="A12" s="378">
        <v>6</v>
      </c>
      <c r="B12" s="116" t="s">
        <v>10</v>
      </c>
      <c r="C12" s="379">
        <f>'8_2.1.19 SIS'!BF12</f>
        <v>3</v>
      </c>
      <c r="D12" s="380">
        <f>'Source Data'!Q12</f>
        <v>9116.9637929842756</v>
      </c>
      <c r="E12" s="381">
        <f t="shared" si="6"/>
        <v>27350.891378952827</v>
      </c>
      <c r="F12" s="381">
        <f>'Source Data'!G12</f>
        <v>545.4799999999999</v>
      </c>
      <c r="G12" s="381">
        <f t="shared" si="7"/>
        <v>1636.4399999999996</v>
      </c>
      <c r="H12" s="382">
        <f t="shared" si="8"/>
        <v>28987</v>
      </c>
      <c r="I12" s="118">
        <f>[2]Oct_LSMSA!$G12</f>
        <v>-19325</v>
      </c>
      <c r="J12" s="118">
        <f>[3]Feb_LSMSA!$G12</f>
        <v>0</v>
      </c>
      <c r="K12" s="122">
        <f t="shared" si="2"/>
        <v>-19325</v>
      </c>
      <c r="L12" s="382">
        <f t="shared" si="3"/>
        <v>9662</v>
      </c>
      <c r="M12" s="380">
        <f>'[1]5A5_LSMSA'!$J12</f>
        <v>0</v>
      </c>
      <c r="N12" s="121">
        <f t="shared" si="9"/>
        <v>9662</v>
      </c>
      <c r="O12" s="118">
        <f>('[4]5A5_LSMSA'!Q12*6)+('[7]5A5_LSMSA'!Q12*2)</f>
        <v>19326</v>
      </c>
      <c r="P12" s="118">
        <f t="shared" si="10"/>
        <v>-9664</v>
      </c>
      <c r="Q12" s="121">
        <f t="shared" si="4"/>
        <v>-2416</v>
      </c>
      <c r="R12" s="123">
        <f t="shared" si="5"/>
        <v>9662</v>
      </c>
    </row>
    <row r="13" spans="1:18" ht="15.6" customHeight="1" x14ac:dyDescent="0.2">
      <c r="A13" s="383">
        <v>7</v>
      </c>
      <c r="B13" s="134" t="s">
        <v>11</v>
      </c>
      <c r="C13" s="384">
        <f>'8_2.1.19 SIS'!BF13</f>
        <v>1</v>
      </c>
      <c r="D13" s="385">
        <f>'Source Data'!Q13</f>
        <v>8630.2421093000958</v>
      </c>
      <c r="E13" s="386">
        <f t="shared" si="6"/>
        <v>8630.2421093000958</v>
      </c>
      <c r="F13" s="386">
        <f>'Source Data'!G13</f>
        <v>756.91999999999985</v>
      </c>
      <c r="G13" s="386">
        <f t="shared" si="7"/>
        <v>756.91999999999985</v>
      </c>
      <c r="H13" s="387">
        <f t="shared" si="8"/>
        <v>9387</v>
      </c>
      <c r="I13" s="136">
        <f>[2]Oct_LSMSA!$G13</f>
        <v>0</v>
      </c>
      <c r="J13" s="136">
        <f>[3]Feb_LSMSA!$G13</f>
        <v>0</v>
      </c>
      <c r="K13" s="140">
        <f t="shared" si="2"/>
        <v>0</v>
      </c>
      <c r="L13" s="387">
        <f t="shared" si="3"/>
        <v>9387</v>
      </c>
      <c r="M13" s="385">
        <f>'[1]5A5_LSMSA'!$J13</f>
        <v>0</v>
      </c>
      <c r="N13" s="139">
        <f t="shared" si="9"/>
        <v>9387</v>
      </c>
      <c r="O13" s="136">
        <f>('[4]5A5_LSMSA'!Q13*6)+('[7]5A5_LSMSA'!Q13*2)</f>
        <v>6258</v>
      </c>
      <c r="P13" s="136">
        <f t="shared" si="10"/>
        <v>3129</v>
      </c>
      <c r="Q13" s="139">
        <f t="shared" si="4"/>
        <v>782</v>
      </c>
      <c r="R13" s="139">
        <f t="shared" si="5"/>
        <v>9387</v>
      </c>
    </row>
    <row r="14" spans="1:18" ht="15.6" customHeight="1" x14ac:dyDescent="0.2">
      <c r="A14" s="383">
        <v>8</v>
      </c>
      <c r="B14" s="134" t="s">
        <v>12</v>
      </c>
      <c r="C14" s="384">
        <f>'8_2.1.19 SIS'!BF14</f>
        <v>9</v>
      </c>
      <c r="D14" s="385">
        <f>'Source Data'!Q14</f>
        <v>8622.6556992695532</v>
      </c>
      <c r="E14" s="386">
        <f t="shared" si="6"/>
        <v>77603.901293425981</v>
      </c>
      <c r="F14" s="386">
        <f>'Source Data'!G14</f>
        <v>725.76</v>
      </c>
      <c r="G14" s="386">
        <f t="shared" si="7"/>
        <v>6531.84</v>
      </c>
      <c r="H14" s="387">
        <f t="shared" si="8"/>
        <v>84136</v>
      </c>
      <c r="I14" s="136">
        <f>[2]Oct_LSMSA!$G14</f>
        <v>9348</v>
      </c>
      <c r="J14" s="136">
        <f>[3]Feb_LSMSA!$G14</f>
        <v>0</v>
      </c>
      <c r="K14" s="140">
        <f t="shared" si="2"/>
        <v>9348</v>
      </c>
      <c r="L14" s="387">
        <f t="shared" si="3"/>
        <v>93484</v>
      </c>
      <c r="M14" s="385">
        <f>'[1]5A5_LSMSA'!$J14</f>
        <v>0</v>
      </c>
      <c r="N14" s="139">
        <f t="shared" si="9"/>
        <v>93484</v>
      </c>
      <c r="O14" s="136">
        <f>('[4]5A5_LSMSA'!Q14*6)+('[7]5A5_LSMSA'!Q14*2)</f>
        <v>56090</v>
      </c>
      <c r="P14" s="136">
        <f t="shared" si="10"/>
        <v>37394</v>
      </c>
      <c r="Q14" s="139">
        <f t="shared" si="4"/>
        <v>9349</v>
      </c>
      <c r="R14" s="139">
        <f t="shared" si="5"/>
        <v>93484</v>
      </c>
    </row>
    <row r="15" spans="1:18" ht="15.6" customHeight="1" x14ac:dyDescent="0.2">
      <c r="A15" s="383">
        <v>9</v>
      </c>
      <c r="B15" s="134" t="s">
        <v>13</v>
      </c>
      <c r="C15" s="384">
        <f>'8_2.1.19 SIS'!BF15</f>
        <v>12</v>
      </c>
      <c r="D15" s="385">
        <f>'Source Data'!Q15</f>
        <v>8415.8393824117084</v>
      </c>
      <c r="E15" s="386">
        <f t="shared" si="6"/>
        <v>100990.0725889405</v>
      </c>
      <c r="F15" s="386">
        <f>'Source Data'!G15</f>
        <v>744.76</v>
      </c>
      <c r="G15" s="386">
        <f t="shared" si="7"/>
        <v>8937.119999999999</v>
      </c>
      <c r="H15" s="387">
        <f t="shared" si="8"/>
        <v>109927</v>
      </c>
      <c r="I15" s="136">
        <f>[2]Oct_LSMSA!$G15</f>
        <v>0</v>
      </c>
      <c r="J15" s="136">
        <f>[3]Feb_LSMSA!$G15</f>
        <v>0</v>
      </c>
      <c r="K15" s="140">
        <f t="shared" si="2"/>
        <v>0</v>
      </c>
      <c r="L15" s="387">
        <f t="shared" si="3"/>
        <v>109927</v>
      </c>
      <c r="M15" s="385">
        <f>'[1]5A5_LSMSA'!$J15</f>
        <v>0</v>
      </c>
      <c r="N15" s="139">
        <f t="shared" si="9"/>
        <v>109927</v>
      </c>
      <c r="O15" s="136">
        <f>('[4]5A5_LSMSA'!Q15*6)+('[7]5A5_LSMSA'!Q15*2)</f>
        <v>73286</v>
      </c>
      <c r="P15" s="136">
        <f t="shared" si="10"/>
        <v>36641</v>
      </c>
      <c r="Q15" s="139">
        <f t="shared" si="4"/>
        <v>9160</v>
      </c>
      <c r="R15" s="139">
        <f t="shared" si="5"/>
        <v>109927</v>
      </c>
    </row>
    <row r="16" spans="1:18" ht="15.6" customHeight="1" x14ac:dyDescent="0.2">
      <c r="A16" s="388">
        <v>10</v>
      </c>
      <c r="B16" s="148" t="s">
        <v>14</v>
      </c>
      <c r="C16" s="389">
        <f>'8_2.1.19 SIS'!BF16</f>
        <v>23</v>
      </c>
      <c r="D16" s="390">
        <f>'Source Data'!Q16</f>
        <v>8154.5704225776335</v>
      </c>
      <c r="E16" s="391">
        <f t="shared" si="6"/>
        <v>187555.11971928558</v>
      </c>
      <c r="F16" s="391">
        <f>'Source Data'!G16</f>
        <v>608.04000000000008</v>
      </c>
      <c r="G16" s="391">
        <f t="shared" si="7"/>
        <v>13984.920000000002</v>
      </c>
      <c r="H16" s="392">
        <f t="shared" si="8"/>
        <v>201540</v>
      </c>
      <c r="I16" s="150">
        <f>[2]Oct_LSMSA!$G16</f>
        <v>70101</v>
      </c>
      <c r="J16" s="150">
        <f>[3]Feb_LSMSA!$G16</f>
        <v>-4381</v>
      </c>
      <c r="K16" s="154">
        <f t="shared" si="2"/>
        <v>65720</v>
      </c>
      <c r="L16" s="392">
        <f t="shared" si="3"/>
        <v>267260</v>
      </c>
      <c r="M16" s="390">
        <f>'[1]5A5_LSMSA'!$J16</f>
        <v>0</v>
      </c>
      <c r="N16" s="153">
        <f t="shared" si="9"/>
        <v>267260</v>
      </c>
      <c r="O16" s="156">
        <f>('[4]5A5_LSMSA'!Q16*6)+('[7]5A5_LSMSA'!Q16*2)</f>
        <v>134360</v>
      </c>
      <c r="P16" s="150">
        <f t="shared" si="10"/>
        <v>132900</v>
      </c>
      <c r="Q16" s="157">
        <f t="shared" si="4"/>
        <v>33225</v>
      </c>
      <c r="R16" s="153">
        <f t="shared" si="5"/>
        <v>267260</v>
      </c>
    </row>
    <row r="17" spans="1:18" ht="15.6" customHeight="1" x14ac:dyDescent="0.2">
      <c r="A17" s="378">
        <v>11</v>
      </c>
      <c r="B17" s="116" t="s">
        <v>15</v>
      </c>
      <c r="C17" s="379">
        <f>'8_2.1.19 SIS'!BF17</f>
        <v>1</v>
      </c>
      <c r="D17" s="380">
        <f>'Source Data'!Q17</f>
        <v>10617.838758085381</v>
      </c>
      <c r="E17" s="381">
        <f t="shared" si="6"/>
        <v>10617.838758085381</v>
      </c>
      <c r="F17" s="381">
        <f>'Source Data'!G17</f>
        <v>706.55</v>
      </c>
      <c r="G17" s="381">
        <f t="shared" si="7"/>
        <v>706.55</v>
      </c>
      <c r="H17" s="382">
        <f t="shared" si="8"/>
        <v>11324</v>
      </c>
      <c r="I17" s="118">
        <f>[2]Oct_LSMSA!$G17</f>
        <v>0</v>
      </c>
      <c r="J17" s="118">
        <f>[3]Feb_LSMSA!$G17</f>
        <v>0</v>
      </c>
      <c r="K17" s="122">
        <f t="shared" si="2"/>
        <v>0</v>
      </c>
      <c r="L17" s="382">
        <f t="shared" si="3"/>
        <v>11324</v>
      </c>
      <c r="M17" s="380">
        <f>'[1]5A5_LSMSA'!$J17</f>
        <v>0</v>
      </c>
      <c r="N17" s="121">
        <f t="shared" si="9"/>
        <v>11324</v>
      </c>
      <c r="O17" s="118">
        <f>('[4]5A5_LSMSA'!Q17*6)+('[7]5A5_LSMSA'!Q17*2)</f>
        <v>7550</v>
      </c>
      <c r="P17" s="118">
        <f t="shared" si="10"/>
        <v>3774</v>
      </c>
      <c r="Q17" s="121">
        <f t="shared" si="4"/>
        <v>944</v>
      </c>
      <c r="R17" s="123">
        <f t="shared" si="5"/>
        <v>11324</v>
      </c>
    </row>
    <row r="18" spans="1:18" ht="15.6" customHeight="1" x14ac:dyDescent="0.2">
      <c r="A18" s="383">
        <v>12</v>
      </c>
      <c r="B18" s="134" t="s">
        <v>16</v>
      </c>
      <c r="C18" s="384">
        <f>'8_2.1.19 SIS'!BF18</f>
        <v>0</v>
      </c>
      <c r="D18" s="385">
        <f>'Source Data'!Q18</f>
        <v>8282.0106463878328</v>
      </c>
      <c r="E18" s="386">
        <f t="shared" si="6"/>
        <v>0</v>
      </c>
      <c r="F18" s="386">
        <f>'Source Data'!G18</f>
        <v>1063.31</v>
      </c>
      <c r="G18" s="386">
        <f t="shared" si="7"/>
        <v>0</v>
      </c>
      <c r="H18" s="387">
        <f t="shared" si="8"/>
        <v>0</v>
      </c>
      <c r="I18" s="136">
        <f>[2]Oct_LSMSA!$G18</f>
        <v>0</v>
      </c>
      <c r="J18" s="136">
        <f>[3]Feb_LSMSA!$G18</f>
        <v>0</v>
      </c>
      <c r="K18" s="140">
        <f t="shared" si="2"/>
        <v>0</v>
      </c>
      <c r="L18" s="387">
        <f t="shared" si="3"/>
        <v>0</v>
      </c>
      <c r="M18" s="385">
        <f>'[1]5A5_LSMSA'!$J18</f>
        <v>0</v>
      </c>
      <c r="N18" s="139">
        <f t="shared" si="9"/>
        <v>0</v>
      </c>
      <c r="O18" s="136">
        <f>('[4]5A5_LSMSA'!Q18*6)+('[7]5A5_LSMSA'!Q18*2)</f>
        <v>0</v>
      </c>
      <c r="P18" s="136">
        <f t="shared" si="10"/>
        <v>0</v>
      </c>
      <c r="Q18" s="139">
        <f t="shared" si="4"/>
        <v>0</v>
      </c>
      <c r="R18" s="139">
        <f t="shared" si="5"/>
        <v>0</v>
      </c>
    </row>
    <row r="19" spans="1:18" ht="15.6" customHeight="1" x14ac:dyDescent="0.2">
      <c r="A19" s="383">
        <v>13</v>
      </c>
      <c r="B19" s="134" t="s">
        <v>17</v>
      </c>
      <c r="C19" s="384">
        <f>'8_2.1.19 SIS'!BF19</f>
        <v>0</v>
      </c>
      <c r="D19" s="385">
        <f>'Source Data'!Q19</f>
        <v>9581.8570750988147</v>
      </c>
      <c r="E19" s="386">
        <f t="shared" si="6"/>
        <v>0</v>
      </c>
      <c r="F19" s="386">
        <f>'Source Data'!G19</f>
        <v>749.43000000000006</v>
      </c>
      <c r="G19" s="386">
        <f t="shared" si="7"/>
        <v>0</v>
      </c>
      <c r="H19" s="387">
        <f t="shared" si="8"/>
        <v>0</v>
      </c>
      <c r="I19" s="136">
        <f>[2]Oct_LSMSA!$G19</f>
        <v>0</v>
      </c>
      <c r="J19" s="136">
        <f>[3]Feb_LSMSA!$G19</f>
        <v>0</v>
      </c>
      <c r="K19" s="140">
        <f t="shared" si="2"/>
        <v>0</v>
      </c>
      <c r="L19" s="387">
        <f t="shared" si="3"/>
        <v>0</v>
      </c>
      <c r="M19" s="385">
        <f>'[1]5A5_LSMSA'!$J19</f>
        <v>0</v>
      </c>
      <c r="N19" s="139">
        <f t="shared" si="9"/>
        <v>0</v>
      </c>
      <c r="O19" s="136">
        <f>('[4]5A5_LSMSA'!Q19*6)+('[7]5A5_LSMSA'!Q19*2)</f>
        <v>0</v>
      </c>
      <c r="P19" s="136">
        <f t="shared" si="10"/>
        <v>0</v>
      </c>
      <c r="Q19" s="139">
        <f t="shared" si="4"/>
        <v>0</v>
      </c>
      <c r="R19" s="139">
        <f t="shared" si="5"/>
        <v>0</v>
      </c>
    </row>
    <row r="20" spans="1:18" ht="15.6" customHeight="1" x14ac:dyDescent="0.2">
      <c r="A20" s="383">
        <v>14</v>
      </c>
      <c r="B20" s="134" t="s">
        <v>18</v>
      </c>
      <c r="C20" s="384">
        <f>'8_2.1.19 SIS'!BF20</f>
        <v>2</v>
      </c>
      <c r="D20" s="385">
        <f>'Source Data'!Q20</f>
        <v>9820.2871797817352</v>
      </c>
      <c r="E20" s="386">
        <f t="shared" si="6"/>
        <v>19640.57435956347</v>
      </c>
      <c r="F20" s="386">
        <f>'Source Data'!G20</f>
        <v>809.9799999999999</v>
      </c>
      <c r="G20" s="386">
        <f t="shared" si="7"/>
        <v>1619.9599999999998</v>
      </c>
      <c r="H20" s="387">
        <f t="shared" si="8"/>
        <v>21261</v>
      </c>
      <c r="I20" s="136">
        <f>[2]Oct_LSMSA!$G20</f>
        <v>0</v>
      </c>
      <c r="J20" s="136">
        <f>[3]Feb_LSMSA!$G20</f>
        <v>-5315</v>
      </c>
      <c r="K20" s="140">
        <f t="shared" si="2"/>
        <v>-5315</v>
      </c>
      <c r="L20" s="387">
        <f t="shared" si="3"/>
        <v>15946</v>
      </c>
      <c r="M20" s="385">
        <f>'[1]5A5_LSMSA'!$J20</f>
        <v>0</v>
      </c>
      <c r="N20" s="139">
        <f t="shared" si="9"/>
        <v>15946</v>
      </c>
      <c r="O20" s="136">
        <f>('[4]5A5_LSMSA'!Q20*6)+('[7]5A5_LSMSA'!Q20*2)</f>
        <v>14176</v>
      </c>
      <c r="P20" s="136">
        <f t="shared" si="10"/>
        <v>1770</v>
      </c>
      <c r="Q20" s="139">
        <f t="shared" si="4"/>
        <v>443</v>
      </c>
      <c r="R20" s="139">
        <f t="shared" si="5"/>
        <v>15946</v>
      </c>
    </row>
    <row r="21" spans="1:18" ht="15.6" customHeight="1" x14ac:dyDescent="0.2">
      <c r="A21" s="388">
        <v>15</v>
      </c>
      <c r="B21" s="148" t="s">
        <v>19</v>
      </c>
      <c r="C21" s="389">
        <f>'8_2.1.19 SIS'!BF21</f>
        <v>0</v>
      </c>
      <c r="D21" s="390">
        <f>'Source Data'!Q21</f>
        <v>9323.3158295964131</v>
      </c>
      <c r="E21" s="391">
        <f t="shared" si="6"/>
        <v>0</v>
      </c>
      <c r="F21" s="391">
        <f>'Source Data'!G21</f>
        <v>553.79999999999995</v>
      </c>
      <c r="G21" s="391">
        <f t="shared" si="7"/>
        <v>0</v>
      </c>
      <c r="H21" s="392">
        <f t="shared" si="8"/>
        <v>0</v>
      </c>
      <c r="I21" s="150">
        <f>[2]Oct_LSMSA!$G21</f>
        <v>19754</v>
      </c>
      <c r="J21" s="150">
        <f>[3]Feb_LSMSA!$G21</f>
        <v>0</v>
      </c>
      <c r="K21" s="154">
        <f t="shared" si="2"/>
        <v>19754</v>
      </c>
      <c r="L21" s="392">
        <f t="shared" si="3"/>
        <v>19754</v>
      </c>
      <c r="M21" s="390">
        <f>'[1]5A5_LSMSA'!$J21</f>
        <v>0</v>
      </c>
      <c r="N21" s="153">
        <f t="shared" si="9"/>
        <v>19754</v>
      </c>
      <c r="O21" s="156">
        <f>('[4]5A5_LSMSA'!Q21*6)+('[7]5A5_LSMSA'!Q21*2)</f>
        <v>0</v>
      </c>
      <c r="P21" s="150">
        <f t="shared" si="10"/>
        <v>19754</v>
      </c>
      <c r="Q21" s="157">
        <f t="shared" si="4"/>
        <v>4939</v>
      </c>
      <c r="R21" s="153">
        <f t="shared" si="5"/>
        <v>19754</v>
      </c>
    </row>
    <row r="22" spans="1:18" ht="15.6" customHeight="1" x14ac:dyDescent="0.2">
      <c r="A22" s="378">
        <v>16</v>
      </c>
      <c r="B22" s="116" t="s">
        <v>20</v>
      </c>
      <c r="C22" s="379">
        <f>'8_2.1.19 SIS'!BF22</f>
        <v>3</v>
      </c>
      <c r="D22" s="380">
        <f>'Source Data'!Q22</f>
        <v>7852.0809326424878</v>
      </c>
      <c r="E22" s="381">
        <f t="shared" si="6"/>
        <v>23556.242797927465</v>
      </c>
      <c r="F22" s="381">
        <f>'Source Data'!G22</f>
        <v>686.73</v>
      </c>
      <c r="G22" s="381">
        <f t="shared" si="7"/>
        <v>2060.19</v>
      </c>
      <c r="H22" s="382">
        <f t="shared" si="8"/>
        <v>25616</v>
      </c>
      <c r="I22" s="118">
        <f>[2]Oct_LSMSA!$G22</f>
        <v>-8539</v>
      </c>
      <c r="J22" s="118">
        <f>[3]Feb_LSMSA!$G22</f>
        <v>0</v>
      </c>
      <c r="K22" s="122">
        <f t="shared" si="2"/>
        <v>-8539</v>
      </c>
      <c r="L22" s="382">
        <f t="shared" si="3"/>
        <v>17077</v>
      </c>
      <c r="M22" s="380">
        <f>'[1]5A5_LSMSA'!$J22</f>
        <v>0</v>
      </c>
      <c r="N22" s="121">
        <f t="shared" si="9"/>
        <v>17077</v>
      </c>
      <c r="O22" s="118">
        <f>('[4]5A5_LSMSA'!Q22*6)+('[7]5A5_LSMSA'!Q22*2)</f>
        <v>17078</v>
      </c>
      <c r="P22" s="118">
        <f t="shared" si="10"/>
        <v>-1</v>
      </c>
      <c r="Q22" s="121">
        <f t="shared" si="4"/>
        <v>0</v>
      </c>
      <c r="R22" s="123">
        <f t="shared" si="5"/>
        <v>17077</v>
      </c>
    </row>
    <row r="23" spans="1:18" ht="15.6" customHeight="1" x14ac:dyDescent="0.2">
      <c r="A23" s="383">
        <v>17</v>
      </c>
      <c r="B23" s="134" t="s">
        <v>21</v>
      </c>
      <c r="C23" s="384">
        <f>'8_2.1.19 SIS'!BF23</f>
        <v>24</v>
      </c>
      <c r="D23" s="385">
        <f>'Source Data'!Q23</f>
        <v>8150.7008961895181</v>
      </c>
      <c r="E23" s="386">
        <f t="shared" si="6"/>
        <v>195616.82150854843</v>
      </c>
      <c r="F23" s="386">
        <f>'Source Data'!G23</f>
        <v>801.48</v>
      </c>
      <c r="G23" s="386">
        <f t="shared" si="7"/>
        <v>19235.52</v>
      </c>
      <c r="H23" s="387">
        <f t="shared" si="8"/>
        <v>214852</v>
      </c>
      <c r="I23" s="136">
        <f>[2]Oct_LSMSA!$G23</f>
        <v>-125331</v>
      </c>
      <c r="J23" s="136">
        <f>[3]Feb_LSMSA!$G23</f>
        <v>-4476</v>
      </c>
      <c r="K23" s="140">
        <f t="shared" si="2"/>
        <v>-129807</v>
      </c>
      <c r="L23" s="387">
        <f t="shared" si="3"/>
        <v>85045</v>
      </c>
      <c r="M23" s="385">
        <f>'[1]5A5_LSMSA'!$J23</f>
        <v>0</v>
      </c>
      <c r="N23" s="139">
        <f t="shared" si="9"/>
        <v>85045</v>
      </c>
      <c r="O23" s="136">
        <f>('[4]5A5_LSMSA'!Q23*6)+('[7]5A5_LSMSA'!Q23*2)</f>
        <v>143234</v>
      </c>
      <c r="P23" s="136">
        <f t="shared" si="10"/>
        <v>-58189</v>
      </c>
      <c r="Q23" s="139">
        <f t="shared" si="4"/>
        <v>-14547</v>
      </c>
      <c r="R23" s="139">
        <f t="shared" si="5"/>
        <v>85045</v>
      </c>
    </row>
    <row r="24" spans="1:18" ht="15.6" customHeight="1" x14ac:dyDescent="0.2">
      <c r="A24" s="383">
        <v>18</v>
      </c>
      <c r="B24" s="134" t="s">
        <v>22</v>
      </c>
      <c r="C24" s="384">
        <f>'8_2.1.19 SIS'!BF24</f>
        <v>0</v>
      </c>
      <c r="D24" s="385">
        <f>'Source Data'!Q24</f>
        <v>10018.317884187083</v>
      </c>
      <c r="E24" s="386">
        <f t="shared" si="6"/>
        <v>0</v>
      </c>
      <c r="F24" s="386">
        <f>'Source Data'!G24</f>
        <v>845.94999999999993</v>
      </c>
      <c r="G24" s="386">
        <f t="shared" si="7"/>
        <v>0</v>
      </c>
      <c r="H24" s="387">
        <f t="shared" si="8"/>
        <v>0</v>
      </c>
      <c r="I24" s="136">
        <f>[2]Oct_LSMSA!$G24</f>
        <v>0</v>
      </c>
      <c r="J24" s="136">
        <f>[3]Feb_LSMSA!$G24</f>
        <v>0</v>
      </c>
      <c r="K24" s="140">
        <f t="shared" si="2"/>
        <v>0</v>
      </c>
      <c r="L24" s="387">
        <f t="shared" si="3"/>
        <v>0</v>
      </c>
      <c r="M24" s="385">
        <f>'[1]5A5_LSMSA'!$J24</f>
        <v>0</v>
      </c>
      <c r="N24" s="139">
        <f t="shared" si="9"/>
        <v>0</v>
      </c>
      <c r="O24" s="136">
        <f>('[4]5A5_LSMSA'!Q24*6)+('[7]5A5_LSMSA'!Q24*2)</f>
        <v>0</v>
      </c>
      <c r="P24" s="136">
        <f t="shared" si="10"/>
        <v>0</v>
      </c>
      <c r="Q24" s="139">
        <f t="shared" si="4"/>
        <v>0</v>
      </c>
      <c r="R24" s="139">
        <f t="shared" si="5"/>
        <v>0</v>
      </c>
    </row>
    <row r="25" spans="1:18" ht="15.6" customHeight="1" x14ac:dyDescent="0.2">
      <c r="A25" s="383">
        <v>19</v>
      </c>
      <c r="B25" s="134" t="s">
        <v>23</v>
      </c>
      <c r="C25" s="384">
        <f>'8_2.1.19 SIS'!BF25</f>
        <v>1</v>
      </c>
      <c r="D25" s="385">
        <f>'Source Data'!Q25</f>
        <v>8644.4808436324547</v>
      </c>
      <c r="E25" s="386">
        <f t="shared" si="6"/>
        <v>8644.4808436324547</v>
      </c>
      <c r="F25" s="386">
        <f>'Source Data'!G25</f>
        <v>905.43</v>
      </c>
      <c r="G25" s="386">
        <f t="shared" si="7"/>
        <v>905.43</v>
      </c>
      <c r="H25" s="387">
        <f t="shared" si="8"/>
        <v>9550</v>
      </c>
      <c r="I25" s="136">
        <f>[2]Oct_LSMSA!$G25</f>
        <v>19100</v>
      </c>
      <c r="J25" s="136">
        <f>[3]Feb_LSMSA!$G25</f>
        <v>0</v>
      </c>
      <c r="K25" s="140">
        <f t="shared" si="2"/>
        <v>19100</v>
      </c>
      <c r="L25" s="387">
        <f t="shared" si="3"/>
        <v>28650</v>
      </c>
      <c r="M25" s="385">
        <f>'[1]5A5_LSMSA'!$J25</f>
        <v>0</v>
      </c>
      <c r="N25" s="139">
        <f t="shared" si="9"/>
        <v>28650</v>
      </c>
      <c r="O25" s="136">
        <f>('[4]5A5_LSMSA'!Q25*6)+('[7]5A5_LSMSA'!Q25*2)</f>
        <v>6368</v>
      </c>
      <c r="P25" s="136">
        <f t="shared" si="10"/>
        <v>22282</v>
      </c>
      <c r="Q25" s="139">
        <f t="shared" si="4"/>
        <v>5571</v>
      </c>
      <c r="R25" s="139">
        <f t="shared" si="5"/>
        <v>28650</v>
      </c>
    </row>
    <row r="26" spans="1:18" ht="15.6" customHeight="1" x14ac:dyDescent="0.2">
      <c r="A26" s="388">
        <v>20</v>
      </c>
      <c r="B26" s="148" t="s">
        <v>24</v>
      </c>
      <c r="C26" s="389">
        <f>'8_2.1.19 SIS'!BF26</f>
        <v>1</v>
      </c>
      <c r="D26" s="390">
        <f>'Source Data'!Q26</f>
        <v>8404.2197593153869</v>
      </c>
      <c r="E26" s="391">
        <f t="shared" si="6"/>
        <v>8404.2197593153869</v>
      </c>
      <c r="F26" s="391">
        <f>'Source Data'!G26</f>
        <v>586.16999999999996</v>
      </c>
      <c r="G26" s="391">
        <f t="shared" si="7"/>
        <v>586.16999999999996</v>
      </c>
      <c r="H26" s="392">
        <f t="shared" si="8"/>
        <v>8990</v>
      </c>
      <c r="I26" s="150">
        <f>[2]Oct_LSMSA!$G26</f>
        <v>8990</v>
      </c>
      <c r="J26" s="150">
        <f>[3]Feb_LSMSA!$G26</f>
        <v>0</v>
      </c>
      <c r="K26" s="154">
        <f t="shared" si="2"/>
        <v>8990</v>
      </c>
      <c r="L26" s="392">
        <f t="shared" si="3"/>
        <v>17980</v>
      </c>
      <c r="M26" s="390">
        <f>'[1]5A5_LSMSA'!$J26</f>
        <v>0</v>
      </c>
      <c r="N26" s="153">
        <f t="shared" si="9"/>
        <v>17980</v>
      </c>
      <c r="O26" s="156">
        <f>('[4]5A5_LSMSA'!Q26*6)+('[7]5A5_LSMSA'!Q26*2)</f>
        <v>5992</v>
      </c>
      <c r="P26" s="150">
        <f t="shared" si="10"/>
        <v>11988</v>
      </c>
      <c r="Q26" s="157">
        <f t="shared" si="4"/>
        <v>2997</v>
      </c>
      <c r="R26" s="153">
        <f t="shared" si="5"/>
        <v>17980</v>
      </c>
    </row>
    <row r="27" spans="1:18" ht="15.6" customHeight="1" x14ac:dyDescent="0.2">
      <c r="A27" s="378">
        <v>21</v>
      </c>
      <c r="B27" s="116" t="s">
        <v>25</v>
      </c>
      <c r="C27" s="379">
        <f>'8_2.1.19 SIS'!BF27</f>
        <v>2</v>
      </c>
      <c r="D27" s="380">
        <f>'Source Data'!Q27</f>
        <v>9013.7568064952648</v>
      </c>
      <c r="E27" s="381">
        <f t="shared" si="6"/>
        <v>18027.51361299053</v>
      </c>
      <c r="F27" s="381">
        <f>'Source Data'!G27</f>
        <v>610.35</v>
      </c>
      <c r="G27" s="381">
        <f t="shared" si="7"/>
        <v>1220.7</v>
      </c>
      <c r="H27" s="382">
        <f t="shared" si="8"/>
        <v>19248</v>
      </c>
      <c r="I27" s="118">
        <f>[2]Oct_LSMSA!$G27</f>
        <v>9624</v>
      </c>
      <c r="J27" s="118">
        <f>[3]Feb_LSMSA!$G27</f>
        <v>0</v>
      </c>
      <c r="K27" s="122">
        <f t="shared" si="2"/>
        <v>9624</v>
      </c>
      <c r="L27" s="382">
        <f t="shared" si="3"/>
        <v>28872</v>
      </c>
      <c r="M27" s="380">
        <f>'[1]5A5_LSMSA'!$J27</f>
        <v>0</v>
      </c>
      <c r="N27" s="121">
        <f t="shared" si="9"/>
        <v>28872</v>
      </c>
      <c r="O27" s="118">
        <f>('[4]5A5_LSMSA'!Q27*6)+('[7]5A5_LSMSA'!Q27*2)</f>
        <v>12832</v>
      </c>
      <c r="P27" s="118">
        <f t="shared" si="10"/>
        <v>16040</v>
      </c>
      <c r="Q27" s="121">
        <f t="shared" si="4"/>
        <v>4010</v>
      </c>
      <c r="R27" s="123">
        <f t="shared" si="5"/>
        <v>28872</v>
      </c>
    </row>
    <row r="28" spans="1:18" ht="15.6" customHeight="1" x14ac:dyDescent="0.2">
      <c r="A28" s="383">
        <v>22</v>
      </c>
      <c r="B28" s="134" t="s">
        <v>26</v>
      </c>
      <c r="C28" s="384">
        <f>'8_2.1.19 SIS'!BF28</f>
        <v>1</v>
      </c>
      <c r="D28" s="385">
        <f>'Source Data'!Q28</f>
        <v>8966.678524871355</v>
      </c>
      <c r="E28" s="386">
        <f t="shared" si="6"/>
        <v>8966.678524871355</v>
      </c>
      <c r="F28" s="386">
        <f>'Source Data'!G28</f>
        <v>496.36</v>
      </c>
      <c r="G28" s="386">
        <f t="shared" si="7"/>
        <v>496.36</v>
      </c>
      <c r="H28" s="387">
        <f t="shared" si="8"/>
        <v>9463</v>
      </c>
      <c r="I28" s="136">
        <f>[2]Oct_LSMSA!$G28</f>
        <v>18926</v>
      </c>
      <c r="J28" s="136">
        <f>[3]Feb_LSMSA!$G28</f>
        <v>0</v>
      </c>
      <c r="K28" s="140">
        <f t="shared" si="2"/>
        <v>18926</v>
      </c>
      <c r="L28" s="387">
        <f t="shared" si="3"/>
        <v>28389</v>
      </c>
      <c r="M28" s="385">
        <f>'[1]5A5_LSMSA'!$J28</f>
        <v>0</v>
      </c>
      <c r="N28" s="139">
        <f t="shared" si="9"/>
        <v>28389</v>
      </c>
      <c r="O28" s="136">
        <f>('[4]5A5_LSMSA'!Q28*6)+('[7]5A5_LSMSA'!Q28*2)</f>
        <v>6310</v>
      </c>
      <c r="P28" s="136">
        <f t="shared" si="10"/>
        <v>22079</v>
      </c>
      <c r="Q28" s="139">
        <f t="shared" si="4"/>
        <v>5520</v>
      </c>
      <c r="R28" s="139">
        <f t="shared" si="5"/>
        <v>28389</v>
      </c>
    </row>
    <row r="29" spans="1:18" ht="15.6" customHeight="1" x14ac:dyDescent="0.2">
      <c r="A29" s="383">
        <v>23</v>
      </c>
      <c r="B29" s="134" t="s">
        <v>27</v>
      </c>
      <c r="C29" s="384">
        <f>'8_2.1.19 SIS'!BF29</f>
        <v>9</v>
      </c>
      <c r="D29" s="385">
        <f>'Source Data'!Q29</f>
        <v>8906.389789232906</v>
      </c>
      <c r="E29" s="386">
        <f t="shared" si="6"/>
        <v>80157.508103096159</v>
      </c>
      <c r="F29" s="386">
        <f>'Source Data'!G29</f>
        <v>688.58</v>
      </c>
      <c r="G29" s="386">
        <f t="shared" si="7"/>
        <v>6197.22</v>
      </c>
      <c r="H29" s="387">
        <f t="shared" si="8"/>
        <v>86355</v>
      </c>
      <c r="I29" s="136">
        <f>[2]Oct_LSMSA!$G29</f>
        <v>-28785</v>
      </c>
      <c r="J29" s="136">
        <f>[3]Feb_LSMSA!$G29</f>
        <v>0</v>
      </c>
      <c r="K29" s="140">
        <f t="shared" si="2"/>
        <v>-28785</v>
      </c>
      <c r="L29" s="387">
        <f t="shared" si="3"/>
        <v>57570</v>
      </c>
      <c r="M29" s="385">
        <f>'[1]5A5_LSMSA'!$J29</f>
        <v>0</v>
      </c>
      <c r="N29" s="139">
        <f t="shared" si="9"/>
        <v>57570</v>
      </c>
      <c r="O29" s="136">
        <f>('[4]5A5_LSMSA'!Q29*6)+('[7]5A5_LSMSA'!Q29*2)</f>
        <v>57570</v>
      </c>
      <c r="P29" s="136">
        <f t="shared" si="10"/>
        <v>0</v>
      </c>
      <c r="Q29" s="139">
        <f t="shared" si="4"/>
        <v>0</v>
      </c>
      <c r="R29" s="139">
        <f t="shared" si="5"/>
        <v>57570</v>
      </c>
    </row>
    <row r="30" spans="1:18" ht="15.6" customHeight="1" x14ac:dyDescent="0.2">
      <c r="A30" s="383">
        <v>24</v>
      </c>
      <c r="B30" s="134" t="s">
        <v>28</v>
      </c>
      <c r="C30" s="384">
        <f>'8_2.1.19 SIS'!BF30</f>
        <v>2</v>
      </c>
      <c r="D30" s="385">
        <f>'Source Data'!Q30</f>
        <v>8299.1035455543351</v>
      </c>
      <c r="E30" s="386">
        <f t="shared" si="6"/>
        <v>16598.20709110867</v>
      </c>
      <c r="F30" s="386">
        <f>'Source Data'!G30</f>
        <v>854.24999999999989</v>
      </c>
      <c r="G30" s="386">
        <f t="shared" si="7"/>
        <v>1708.4999999999998</v>
      </c>
      <c r="H30" s="387">
        <f t="shared" si="8"/>
        <v>18307</v>
      </c>
      <c r="I30" s="136">
        <f>[2]Oct_LSMSA!$G30</f>
        <v>0</v>
      </c>
      <c r="J30" s="136">
        <f>[3]Feb_LSMSA!$G30</f>
        <v>0</v>
      </c>
      <c r="K30" s="140">
        <f t="shared" si="2"/>
        <v>0</v>
      </c>
      <c r="L30" s="387">
        <f t="shared" si="3"/>
        <v>18307</v>
      </c>
      <c r="M30" s="385">
        <f>'[1]5A5_LSMSA'!$J30</f>
        <v>0</v>
      </c>
      <c r="N30" s="139">
        <f t="shared" si="9"/>
        <v>18307</v>
      </c>
      <c r="O30" s="136">
        <f>('[4]5A5_LSMSA'!Q30*6)+('[7]5A5_LSMSA'!Q30*2)</f>
        <v>12206</v>
      </c>
      <c r="P30" s="136">
        <f t="shared" si="10"/>
        <v>6101</v>
      </c>
      <c r="Q30" s="139">
        <f t="shared" si="4"/>
        <v>1525</v>
      </c>
      <c r="R30" s="139">
        <f t="shared" si="5"/>
        <v>18307</v>
      </c>
    </row>
    <row r="31" spans="1:18" ht="15.6" customHeight="1" x14ac:dyDescent="0.2">
      <c r="A31" s="388">
        <v>25</v>
      </c>
      <c r="B31" s="148" t="s">
        <v>29</v>
      </c>
      <c r="C31" s="389">
        <f>'8_2.1.19 SIS'!BF31</f>
        <v>3</v>
      </c>
      <c r="D31" s="390">
        <f>'Source Data'!Q31</f>
        <v>9074.4512483281324</v>
      </c>
      <c r="E31" s="391">
        <f t="shared" si="6"/>
        <v>27223.353744984397</v>
      </c>
      <c r="F31" s="391">
        <f>'Source Data'!G31</f>
        <v>653.73</v>
      </c>
      <c r="G31" s="391">
        <f t="shared" si="7"/>
        <v>1961.19</v>
      </c>
      <c r="H31" s="392">
        <f t="shared" si="8"/>
        <v>29185</v>
      </c>
      <c r="I31" s="150">
        <f>[2]Oct_LSMSA!$G31</f>
        <v>0</v>
      </c>
      <c r="J31" s="150">
        <f>[3]Feb_LSMSA!$G31</f>
        <v>0</v>
      </c>
      <c r="K31" s="154">
        <f t="shared" si="2"/>
        <v>0</v>
      </c>
      <c r="L31" s="392">
        <f t="shared" si="3"/>
        <v>29185</v>
      </c>
      <c r="M31" s="390">
        <f>'[1]5A5_LSMSA'!$J31</f>
        <v>0</v>
      </c>
      <c r="N31" s="153">
        <f t="shared" si="9"/>
        <v>29185</v>
      </c>
      <c r="O31" s="156">
        <f>('[4]5A5_LSMSA'!Q31*6)+('[7]5A5_LSMSA'!Q31*2)</f>
        <v>19456</v>
      </c>
      <c r="P31" s="150">
        <f t="shared" si="10"/>
        <v>9729</v>
      </c>
      <c r="Q31" s="157">
        <f t="shared" si="4"/>
        <v>2432</v>
      </c>
      <c r="R31" s="153">
        <f t="shared" si="5"/>
        <v>29185</v>
      </c>
    </row>
    <row r="32" spans="1:18" ht="15.6" customHeight="1" x14ac:dyDescent="0.2">
      <c r="A32" s="378">
        <v>26</v>
      </c>
      <c r="B32" s="116" t="s">
        <v>30</v>
      </c>
      <c r="C32" s="379">
        <f>'8_2.1.19 SIS'!BF32</f>
        <v>5</v>
      </c>
      <c r="D32" s="380">
        <f>'Source Data'!Q32</f>
        <v>8543.7164514436754</v>
      </c>
      <c r="E32" s="381">
        <f t="shared" si="6"/>
        <v>42718.582257218375</v>
      </c>
      <c r="F32" s="381">
        <f>'Source Data'!G32</f>
        <v>836.83</v>
      </c>
      <c r="G32" s="381">
        <f t="shared" si="7"/>
        <v>4184.1500000000005</v>
      </c>
      <c r="H32" s="382">
        <f t="shared" si="8"/>
        <v>46903</v>
      </c>
      <c r="I32" s="118">
        <f>[2]Oct_LSMSA!$G32</f>
        <v>9381</v>
      </c>
      <c r="J32" s="118">
        <f>[3]Feb_LSMSA!$G32</f>
        <v>0</v>
      </c>
      <c r="K32" s="122">
        <f t="shared" si="2"/>
        <v>9381</v>
      </c>
      <c r="L32" s="382">
        <f t="shared" si="3"/>
        <v>56284</v>
      </c>
      <c r="M32" s="380">
        <f>'[1]5A5_LSMSA'!$J32</f>
        <v>0</v>
      </c>
      <c r="N32" s="121">
        <f t="shared" si="9"/>
        <v>56284</v>
      </c>
      <c r="O32" s="118">
        <f>('[4]5A5_LSMSA'!Q32*6)+('[7]5A5_LSMSA'!Q32*2)</f>
        <v>31270</v>
      </c>
      <c r="P32" s="118">
        <f t="shared" si="10"/>
        <v>25014</v>
      </c>
      <c r="Q32" s="121">
        <f t="shared" si="4"/>
        <v>6254</v>
      </c>
      <c r="R32" s="123">
        <f t="shared" si="5"/>
        <v>56284</v>
      </c>
    </row>
    <row r="33" spans="1:18" ht="15.6" customHeight="1" x14ac:dyDescent="0.2">
      <c r="A33" s="383">
        <v>27</v>
      </c>
      <c r="B33" s="134" t="s">
        <v>31</v>
      </c>
      <c r="C33" s="384">
        <f>'8_2.1.19 SIS'!BF33</f>
        <v>3</v>
      </c>
      <c r="D33" s="385">
        <f>'Source Data'!Q33</f>
        <v>9244.9526943942128</v>
      </c>
      <c r="E33" s="386">
        <f t="shared" si="6"/>
        <v>27734.85808318264</v>
      </c>
      <c r="F33" s="386">
        <f>'Source Data'!G33</f>
        <v>693.06</v>
      </c>
      <c r="G33" s="386">
        <f t="shared" si="7"/>
        <v>2079.1799999999998</v>
      </c>
      <c r="H33" s="387">
        <f t="shared" si="8"/>
        <v>29814</v>
      </c>
      <c r="I33" s="136">
        <f>[2]Oct_LSMSA!$G33</f>
        <v>0</v>
      </c>
      <c r="J33" s="136">
        <f>[3]Feb_LSMSA!$G33</f>
        <v>-9938</v>
      </c>
      <c r="K33" s="140">
        <f t="shared" si="2"/>
        <v>-9938</v>
      </c>
      <c r="L33" s="387">
        <f t="shared" si="3"/>
        <v>19876</v>
      </c>
      <c r="M33" s="385">
        <f>'[1]5A5_LSMSA'!$J33</f>
        <v>0</v>
      </c>
      <c r="N33" s="139">
        <f t="shared" si="9"/>
        <v>19876</v>
      </c>
      <c r="O33" s="136">
        <f>('[4]5A5_LSMSA'!Q33*6)+('[7]5A5_LSMSA'!Q33*2)</f>
        <v>19878</v>
      </c>
      <c r="P33" s="136">
        <f t="shared" si="10"/>
        <v>-2</v>
      </c>
      <c r="Q33" s="139">
        <f t="shared" si="4"/>
        <v>-1</v>
      </c>
      <c r="R33" s="139">
        <f t="shared" si="5"/>
        <v>19876</v>
      </c>
    </row>
    <row r="34" spans="1:18" ht="15.6" customHeight="1" x14ac:dyDescent="0.2">
      <c r="A34" s="383">
        <v>28</v>
      </c>
      <c r="B34" s="134" t="s">
        <v>32</v>
      </c>
      <c r="C34" s="384">
        <f>'8_2.1.19 SIS'!BF34</f>
        <v>13</v>
      </c>
      <c r="D34" s="385">
        <f>'Source Data'!Q34</f>
        <v>7851.1201503667107</v>
      </c>
      <c r="E34" s="386">
        <f t="shared" si="6"/>
        <v>102064.56195476724</v>
      </c>
      <c r="F34" s="386">
        <f>'Source Data'!G34</f>
        <v>694.4</v>
      </c>
      <c r="G34" s="386">
        <f t="shared" si="7"/>
        <v>9027.1999999999989</v>
      </c>
      <c r="H34" s="387">
        <f t="shared" si="8"/>
        <v>111092</v>
      </c>
      <c r="I34" s="136">
        <f>[2]Oct_LSMSA!$G34</f>
        <v>17091</v>
      </c>
      <c r="J34" s="136">
        <f>[3]Feb_LSMSA!$G34</f>
        <v>-4273</v>
      </c>
      <c r="K34" s="140">
        <f t="shared" si="2"/>
        <v>12818</v>
      </c>
      <c r="L34" s="387">
        <f t="shared" si="3"/>
        <v>123910</v>
      </c>
      <c r="M34" s="385">
        <f>'[1]5A5_LSMSA'!$J34</f>
        <v>0</v>
      </c>
      <c r="N34" s="139">
        <f t="shared" si="9"/>
        <v>123910</v>
      </c>
      <c r="O34" s="136">
        <f>('[4]5A5_LSMSA'!Q34*6)+('[7]5A5_LSMSA'!Q34*2)</f>
        <v>74062</v>
      </c>
      <c r="P34" s="136">
        <f t="shared" si="10"/>
        <v>49848</v>
      </c>
      <c r="Q34" s="139">
        <f t="shared" si="4"/>
        <v>12462</v>
      </c>
      <c r="R34" s="139">
        <f t="shared" si="5"/>
        <v>123910</v>
      </c>
    </row>
    <row r="35" spans="1:18" ht="15.6" customHeight="1" x14ac:dyDescent="0.2">
      <c r="A35" s="383">
        <v>29</v>
      </c>
      <c r="B35" s="134" t="s">
        <v>33</v>
      </c>
      <c r="C35" s="384">
        <f>'8_2.1.19 SIS'!BF35</f>
        <v>12</v>
      </c>
      <c r="D35" s="385">
        <f>'Source Data'!Q35</f>
        <v>8101.5394635685598</v>
      </c>
      <c r="E35" s="386">
        <f t="shared" si="6"/>
        <v>97218.473562822721</v>
      </c>
      <c r="F35" s="386">
        <f>'Source Data'!G35</f>
        <v>754.94999999999993</v>
      </c>
      <c r="G35" s="386">
        <f t="shared" si="7"/>
        <v>9059.4</v>
      </c>
      <c r="H35" s="387">
        <f t="shared" si="8"/>
        <v>106278</v>
      </c>
      <c r="I35" s="136">
        <f>[2]Oct_LSMSA!$G35</f>
        <v>-17713</v>
      </c>
      <c r="J35" s="136">
        <f>[3]Feb_LSMSA!$G35</f>
        <v>0</v>
      </c>
      <c r="K35" s="140">
        <f t="shared" si="2"/>
        <v>-17713</v>
      </c>
      <c r="L35" s="387">
        <f t="shared" si="3"/>
        <v>88565</v>
      </c>
      <c r="M35" s="385">
        <f>'[1]5A5_LSMSA'!$J35</f>
        <v>0</v>
      </c>
      <c r="N35" s="139">
        <f t="shared" si="9"/>
        <v>88565</v>
      </c>
      <c r="O35" s="136">
        <f>('[4]5A5_LSMSA'!Q35*6)+('[7]5A5_LSMSA'!Q35*2)</f>
        <v>70854</v>
      </c>
      <c r="P35" s="136">
        <f t="shared" si="10"/>
        <v>17711</v>
      </c>
      <c r="Q35" s="139">
        <f t="shared" si="4"/>
        <v>4428</v>
      </c>
      <c r="R35" s="139">
        <f t="shared" si="5"/>
        <v>88565</v>
      </c>
    </row>
    <row r="36" spans="1:18" ht="15.6" customHeight="1" x14ac:dyDescent="0.2">
      <c r="A36" s="388">
        <v>30</v>
      </c>
      <c r="B36" s="148" t="s">
        <v>34</v>
      </c>
      <c r="C36" s="389">
        <f>'8_2.1.19 SIS'!BF36</f>
        <v>0</v>
      </c>
      <c r="D36" s="390">
        <f>'Source Data'!Q36</f>
        <v>9331.5241421073879</v>
      </c>
      <c r="E36" s="391">
        <f t="shared" si="6"/>
        <v>0</v>
      </c>
      <c r="F36" s="391">
        <f>'Source Data'!G36</f>
        <v>727.17</v>
      </c>
      <c r="G36" s="391">
        <f t="shared" si="7"/>
        <v>0</v>
      </c>
      <c r="H36" s="392">
        <f t="shared" si="8"/>
        <v>0</v>
      </c>
      <c r="I36" s="150">
        <f>[2]Oct_LSMSA!$G36</f>
        <v>0</v>
      </c>
      <c r="J36" s="150">
        <f>[3]Feb_LSMSA!$G36</f>
        <v>0</v>
      </c>
      <c r="K36" s="154">
        <f t="shared" si="2"/>
        <v>0</v>
      </c>
      <c r="L36" s="392">
        <f t="shared" si="3"/>
        <v>0</v>
      </c>
      <c r="M36" s="390">
        <f>'[1]5A5_LSMSA'!$J36</f>
        <v>0</v>
      </c>
      <c r="N36" s="153">
        <f t="shared" si="9"/>
        <v>0</v>
      </c>
      <c r="O36" s="156">
        <f>('[4]5A5_LSMSA'!Q36*6)+('[7]5A5_LSMSA'!Q36*2)</f>
        <v>0</v>
      </c>
      <c r="P36" s="150">
        <f t="shared" si="10"/>
        <v>0</v>
      </c>
      <c r="Q36" s="157">
        <f t="shared" si="4"/>
        <v>0</v>
      </c>
      <c r="R36" s="153">
        <f t="shared" si="5"/>
        <v>0</v>
      </c>
    </row>
    <row r="37" spans="1:18" ht="15.6" customHeight="1" x14ac:dyDescent="0.2">
      <c r="A37" s="378">
        <v>31</v>
      </c>
      <c r="B37" s="116" t="s">
        <v>35</v>
      </c>
      <c r="C37" s="379">
        <f>'8_2.1.19 SIS'!BF37</f>
        <v>2</v>
      </c>
      <c r="D37" s="380">
        <f>'Source Data'!Q37</f>
        <v>8803.9603147699763</v>
      </c>
      <c r="E37" s="381">
        <f t="shared" si="6"/>
        <v>17607.920629539953</v>
      </c>
      <c r="F37" s="381">
        <f>'Source Data'!G37</f>
        <v>620.83000000000004</v>
      </c>
      <c r="G37" s="381">
        <f t="shared" si="7"/>
        <v>1241.6600000000001</v>
      </c>
      <c r="H37" s="382">
        <f t="shared" si="8"/>
        <v>18850</v>
      </c>
      <c r="I37" s="118">
        <f>[2]Oct_LSMSA!$G37</f>
        <v>28274</v>
      </c>
      <c r="J37" s="118">
        <f>[3]Feb_LSMSA!$G37</f>
        <v>-4712</v>
      </c>
      <c r="K37" s="122">
        <f t="shared" si="2"/>
        <v>23562</v>
      </c>
      <c r="L37" s="382">
        <f t="shared" si="3"/>
        <v>42412</v>
      </c>
      <c r="M37" s="380">
        <f>'[1]5A5_LSMSA'!$J37</f>
        <v>0</v>
      </c>
      <c r="N37" s="121">
        <f t="shared" si="9"/>
        <v>42412</v>
      </c>
      <c r="O37" s="118">
        <f>('[4]5A5_LSMSA'!Q37*6)+('[7]5A5_LSMSA'!Q37*2)</f>
        <v>12568</v>
      </c>
      <c r="P37" s="118">
        <f t="shared" si="10"/>
        <v>29844</v>
      </c>
      <c r="Q37" s="121">
        <f t="shared" si="4"/>
        <v>7461</v>
      </c>
      <c r="R37" s="123">
        <f t="shared" si="5"/>
        <v>42412</v>
      </c>
    </row>
    <row r="38" spans="1:18" ht="15.6" customHeight="1" x14ac:dyDescent="0.2">
      <c r="A38" s="383">
        <v>32</v>
      </c>
      <c r="B38" s="134" t="s">
        <v>36</v>
      </c>
      <c r="C38" s="384">
        <f>'8_2.1.19 SIS'!BF38</f>
        <v>23</v>
      </c>
      <c r="D38" s="385">
        <f>'Source Data'!Q38</f>
        <v>8577.3814714773671</v>
      </c>
      <c r="E38" s="386">
        <f t="shared" si="6"/>
        <v>197279.77384397943</v>
      </c>
      <c r="F38" s="386">
        <f>'Source Data'!G38</f>
        <v>559.77</v>
      </c>
      <c r="G38" s="386">
        <f t="shared" si="7"/>
        <v>12874.71</v>
      </c>
      <c r="H38" s="387">
        <f t="shared" si="8"/>
        <v>210154</v>
      </c>
      <c r="I38" s="136">
        <f>[2]Oct_LSMSA!$G38</f>
        <v>-54823</v>
      </c>
      <c r="J38" s="136">
        <f>[3]Feb_LSMSA!$G38</f>
        <v>-4569</v>
      </c>
      <c r="K38" s="140">
        <f t="shared" si="2"/>
        <v>-59392</v>
      </c>
      <c r="L38" s="387">
        <f t="shared" si="3"/>
        <v>150762</v>
      </c>
      <c r="M38" s="385">
        <f>'[1]5A5_LSMSA'!$J38</f>
        <v>0</v>
      </c>
      <c r="N38" s="139">
        <f t="shared" si="9"/>
        <v>150762</v>
      </c>
      <c r="O38" s="136">
        <f>('[4]5A5_LSMSA'!Q38*6)+('[7]5A5_LSMSA'!Q38*2)</f>
        <v>140104</v>
      </c>
      <c r="P38" s="136">
        <f t="shared" si="10"/>
        <v>10658</v>
      </c>
      <c r="Q38" s="139">
        <f t="shared" si="4"/>
        <v>2665</v>
      </c>
      <c r="R38" s="139">
        <f t="shared" si="5"/>
        <v>150762</v>
      </c>
    </row>
    <row r="39" spans="1:18" ht="15.6" customHeight="1" x14ac:dyDescent="0.2">
      <c r="A39" s="383">
        <v>33</v>
      </c>
      <c r="B39" s="134" t="s">
        <v>37</v>
      </c>
      <c r="C39" s="384">
        <f>'8_2.1.19 SIS'!BF39</f>
        <v>1</v>
      </c>
      <c r="D39" s="385">
        <f>'Source Data'!Q39</f>
        <v>9697.9948429319375</v>
      </c>
      <c r="E39" s="386">
        <f t="shared" si="6"/>
        <v>9697.9948429319375</v>
      </c>
      <c r="F39" s="386">
        <f>'Source Data'!G39</f>
        <v>655.31000000000006</v>
      </c>
      <c r="G39" s="386">
        <f t="shared" si="7"/>
        <v>655.31000000000006</v>
      </c>
      <c r="H39" s="387">
        <f t="shared" si="8"/>
        <v>10353</v>
      </c>
      <c r="I39" s="136">
        <f>[2]Oct_LSMSA!$G39</f>
        <v>0</v>
      </c>
      <c r="J39" s="136">
        <f>[3]Feb_LSMSA!$G39</f>
        <v>0</v>
      </c>
      <c r="K39" s="140">
        <f t="shared" ref="K39:K70" si="11">I39+J39</f>
        <v>0</v>
      </c>
      <c r="L39" s="387">
        <f t="shared" si="3"/>
        <v>10353</v>
      </c>
      <c r="M39" s="385">
        <f>'[1]5A5_LSMSA'!$J39</f>
        <v>0</v>
      </c>
      <c r="N39" s="139">
        <f t="shared" si="9"/>
        <v>10353</v>
      </c>
      <c r="O39" s="136">
        <f>('[4]5A5_LSMSA'!Q39*6)+('[7]5A5_LSMSA'!Q39*2)</f>
        <v>6904</v>
      </c>
      <c r="P39" s="136">
        <f t="shared" si="10"/>
        <v>3449</v>
      </c>
      <c r="Q39" s="139">
        <f t="shared" ref="Q39:Q70" si="12">ROUND(P39/$Q$86,0)</f>
        <v>862</v>
      </c>
      <c r="R39" s="139">
        <f t="shared" ref="R39:R75" si="13">N39</f>
        <v>10353</v>
      </c>
    </row>
    <row r="40" spans="1:18" ht="15.6" customHeight="1" x14ac:dyDescent="0.2">
      <c r="A40" s="383">
        <v>34</v>
      </c>
      <c r="B40" s="134" t="s">
        <v>38</v>
      </c>
      <c r="C40" s="384">
        <f>'8_2.1.19 SIS'!BF40</f>
        <v>0</v>
      </c>
      <c r="D40" s="385">
        <f>'Source Data'!Q40</f>
        <v>9662.9807619562271</v>
      </c>
      <c r="E40" s="386">
        <f t="shared" si="6"/>
        <v>0</v>
      </c>
      <c r="F40" s="386">
        <f>'Source Data'!G40</f>
        <v>644.11000000000013</v>
      </c>
      <c r="G40" s="386">
        <f t="shared" si="7"/>
        <v>0</v>
      </c>
      <c r="H40" s="387">
        <f t="shared" si="8"/>
        <v>0</v>
      </c>
      <c r="I40" s="136">
        <f>[2]Oct_LSMSA!$G40</f>
        <v>0</v>
      </c>
      <c r="J40" s="136">
        <f>[3]Feb_LSMSA!$G40</f>
        <v>0</v>
      </c>
      <c r="K40" s="140">
        <f t="shared" si="11"/>
        <v>0</v>
      </c>
      <c r="L40" s="387">
        <f t="shared" si="3"/>
        <v>0</v>
      </c>
      <c r="M40" s="385">
        <f>'[1]5A5_LSMSA'!$J40</f>
        <v>0</v>
      </c>
      <c r="N40" s="139">
        <f t="shared" si="9"/>
        <v>0</v>
      </c>
      <c r="O40" s="136">
        <f>('[4]5A5_LSMSA'!Q40*6)+('[7]5A5_LSMSA'!Q40*2)</f>
        <v>0</v>
      </c>
      <c r="P40" s="136">
        <f t="shared" si="10"/>
        <v>0</v>
      </c>
      <c r="Q40" s="139">
        <f t="shared" si="12"/>
        <v>0</v>
      </c>
      <c r="R40" s="139">
        <f t="shared" si="13"/>
        <v>0</v>
      </c>
    </row>
    <row r="41" spans="1:18" ht="15.6" customHeight="1" x14ac:dyDescent="0.2">
      <c r="A41" s="388">
        <v>35</v>
      </c>
      <c r="B41" s="148" t="s">
        <v>39</v>
      </c>
      <c r="C41" s="389">
        <f>'8_2.1.19 SIS'!BF41</f>
        <v>27</v>
      </c>
      <c r="D41" s="390">
        <f>'Source Data'!Q41</f>
        <v>8833.0821272194444</v>
      </c>
      <c r="E41" s="391">
        <f t="shared" si="6"/>
        <v>238493.217434925</v>
      </c>
      <c r="F41" s="391">
        <f>'Source Data'!G41</f>
        <v>537.96</v>
      </c>
      <c r="G41" s="391">
        <f t="shared" si="7"/>
        <v>14524.920000000002</v>
      </c>
      <c r="H41" s="392">
        <f t="shared" si="8"/>
        <v>253018</v>
      </c>
      <c r="I41" s="150">
        <f>[2]Oct_LSMSA!$G41</f>
        <v>-37484</v>
      </c>
      <c r="J41" s="150">
        <f>[3]Feb_LSMSA!$G41</f>
        <v>-14057</v>
      </c>
      <c r="K41" s="154">
        <f t="shared" si="11"/>
        <v>-51541</v>
      </c>
      <c r="L41" s="392">
        <f t="shared" si="3"/>
        <v>201477</v>
      </c>
      <c r="M41" s="390">
        <f>'[1]5A5_LSMSA'!$J41</f>
        <v>0</v>
      </c>
      <c r="N41" s="153">
        <f t="shared" si="9"/>
        <v>201477</v>
      </c>
      <c r="O41" s="156">
        <f>('[4]5A5_LSMSA'!Q41*6)+('[7]5A5_LSMSA'!Q41*2)</f>
        <v>168680</v>
      </c>
      <c r="P41" s="150">
        <f t="shared" si="10"/>
        <v>32797</v>
      </c>
      <c r="Q41" s="157">
        <f t="shared" si="12"/>
        <v>8199</v>
      </c>
      <c r="R41" s="153">
        <f t="shared" si="13"/>
        <v>201477</v>
      </c>
    </row>
    <row r="42" spans="1:18" ht="15.6" customHeight="1" x14ac:dyDescent="0.2">
      <c r="A42" s="378">
        <v>36</v>
      </c>
      <c r="B42" s="116" t="s">
        <v>40</v>
      </c>
      <c r="C42" s="379">
        <f>'8_2.1.19 SIS'!BF42</f>
        <v>3</v>
      </c>
      <c r="D42" s="380">
        <f>'Source Data'!Q42</f>
        <v>8391.5668786376373</v>
      </c>
      <c r="E42" s="381">
        <f t="shared" si="6"/>
        <v>25174.700635912912</v>
      </c>
      <c r="F42" s="381">
        <f>'Source Data'!G42</f>
        <v>746.03</v>
      </c>
      <c r="G42" s="381">
        <f t="shared" si="7"/>
        <v>2238.09</v>
      </c>
      <c r="H42" s="382">
        <f t="shared" si="8"/>
        <v>27413</v>
      </c>
      <c r="I42" s="118">
        <f>[2]Oct_LSMSA!$G42</f>
        <v>0</v>
      </c>
      <c r="J42" s="118">
        <f>[3]Feb_LSMSA!$G42</f>
        <v>0</v>
      </c>
      <c r="K42" s="122">
        <f t="shared" si="11"/>
        <v>0</v>
      </c>
      <c r="L42" s="382">
        <f t="shared" si="3"/>
        <v>27413</v>
      </c>
      <c r="M42" s="380">
        <f>'[1]5A5_LSMSA'!$J42</f>
        <v>0</v>
      </c>
      <c r="N42" s="121">
        <f t="shared" si="9"/>
        <v>27413</v>
      </c>
      <c r="O42" s="118">
        <f>('[4]5A5_LSMSA'!Q42*6)+('[7]5A5_LSMSA'!Q42*2)</f>
        <v>18274</v>
      </c>
      <c r="P42" s="118">
        <f t="shared" si="10"/>
        <v>9139</v>
      </c>
      <c r="Q42" s="121">
        <f t="shared" si="12"/>
        <v>2285</v>
      </c>
      <c r="R42" s="123">
        <f t="shared" si="13"/>
        <v>27413</v>
      </c>
    </row>
    <row r="43" spans="1:18" ht="15.6" customHeight="1" x14ac:dyDescent="0.2">
      <c r="A43" s="383">
        <v>37</v>
      </c>
      <c r="B43" s="134" t="s">
        <v>41</v>
      </c>
      <c r="C43" s="384">
        <f>'8_2.1.19 SIS'!BF43</f>
        <v>4</v>
      </c>
      <c r="D43" s="385">
        <f>'Source Data'!Q43</f>
        <v>8950.0462254120139</v>
      </c>
      <c r="E43" s="386">
        <f t="shared" si="6"/>
        <v>35800.184901648056</v>
      </c>
      <c r="F43" s="386">
        <f>'Source Data'!G43</f>
        <v>653.61</v>
      </c>
      <c r="G43" s="386">
        <f t="shared" si="7"/>
        <v>2614.44</v>
      </c>
      <c r="H43" s="387">
        <f t="shared" si="8"/>
        <v>38415</v>
      </c>
      <c r="I43" s="136">
        <f>[2]Oct_LSMSA!$G43</f>
        <v>9604</v>
      </c>
      <c r="J43" s="136">
        <f>[3]Feb_LSMSA!$G43</f>
        <v>-4802</v>
      </c>
      <c r="K43" s="140">
        <f t="shared" si="11"/>
        <v>4802</v>
      </c>
      <c r="L43" s="387">
        <f t="shared" si="3"/>
        <v>43217</v>
      </c>
      <c r="M43" s="385">
        <f>'[1]5A5_LSMSA'!$J43</f>
        <v>0</v>
      </c>
      <c r="N43" s="139">
        <f t="shared" si="9"/>
        <v>43217</v>
      </c>
      <c r="O43" s="136">
        <f>('[4]5A5_LSMSA'!Q43*6)+('[7]5A5_LSMSA'!Q43*2)</f>
        <v>25610</v>
      </c>
      <c r="P43" s="136">
        <f t="shared" si="10"/>
        <v>17607</v>
      </c>
      <c r="Q43" s="139">
        <f t="shared" si="12"/>
        <v>4402</v>
      </c>
      <c r="R43" s="139">
        <f t="shared" si="13"/>
        <v>43217</v>
      </c>
    </row>
    <row r="44" spans="1:18" ht="15.6" customHeight="1" x14ac:dyDescent="0.2">
      <c r="A44" s="383">
        <v>38</v>
      </c>
      <c r="B44" s="134" t="s">
        <v>42</v>
      </c>
      <c r="C44" s="384">
        <f>'8_2.1.19 SIS'!BF44</f>
        <v>1</v>
      </c>
      <c r="D44" s="385">
        <f>'Source Data'!Q44</f>
        <v>8749.4810902545651</v>
      </c>
      <c r="E44" s="386">
        <f t="shared" si="6"/>
        <v>8749.4810902545651</v>
      </c>
      <c r="F44" s="386">
        <f>'Source Data'!G44</f>
        <v>829.92000000000007</v>
      </c>
      <c r="G44" s="386">
        <f t="shared" si="7"/>
        <v>829.92000000000007</v>
      </c>
      <c r="H44" s="387">
        <f t="shared" si="8"/>
        <v>9579</v>
      </c>
      <c r="I44" s="136">
        <f>[2]Oct_LSMSA!$G44</f>
        <v>0</v>
      </c>
      <c r="J44" s="136">
        <f>[3]Feb_LSMSA!$G44</f>
        <v>0</v>
      </c>
      <c r="K44" s="140">
        <f t="shared" si="11"/>
        <v>0</v>
      </c>
      <c r="L44" s="387">
        <f t="shared" si="3"/>
        <v>9579</v>
      </c>
      <c r="M44" s="385">
        <f>'[1]5A5_LSMSA'!$J44</f>
        <v>0</v>
      </c>
      <c r="N44" s="139">
        <f t="shared" si="9"/>
        <v>9579</v>
      </c>
      <c r="O44" s="136">
        <f>('[4]5A5_LSMSA'!Q44*6)+('[7]5A5_LSMSA'!Q44*2)</f>
        <v>6386</v>
      </c>
      <c r="P44" s="136">
        <f t="shared" si="10"/>
        <v>3193</v>
      </c>
      <c r="Q44" s="139">
        <f t="shared" si="12"/>
        <v>798</v>
      </c>
      <c r="R44" s="139">
        <f t="shared" si="13"/>
        <v>9579</v>
      </c>
    </row>
    <row r="45" spans="1:18" ht="15.6" customHeight="1" x14ac:dyDescent="0.2">
      <c r="A45" s="383">
        <v>39</v>
      </c>
      <c r="B45" s="134" t="s">
        <v>43</v>
      </c>
      <c r="C45" s="384">
        <f>'8_2.1.19 SIS'!BF45</f>
        <v>5</v>
      </c>
      <c r="D45" s="385">
        <f>'Source Data'!Q45</f>
        <v>8716.3889610389615</v>
      </c>
      <c r="E45" s="386">
        <f t="shared" si="6"/>
        <v>43581.944805194806</v>
      </c>
      <c r="F45" s="386">
        <f>'Source Data'!G45</f>
        <v>779.66</v>
      </c>
      <c r="G45" s="386">
        <f t="shared" si="7"/>
        <v>3898.2999999999997</v>
      </c>
      <c r="H45" s="387">
        <f t="shared" si="8"/>
        <v>47480</v>
      </c>
      <c r="I45" s="136">
        <f>[2]Oct_LSMSA!$G45</f>
        <v>9496</v>
      </c>
      <c r="J45" s="136">
        <f>[3]Feb_LSMSA!$G45</f>
        <v>0</v>
      </c>
      <c r="K45" s="140">
        <f t="shared" si="11"/>
        <v>9496</v>
      </c>
      <c r="L45" s="387">
        <f t="shared" si="3"/>
        <v>56976</v>
      </c>
      <c r="M45" s="385">
        <f>'[1]5A5_LSMSA'!$J45</f>
        <v>0</v>
      </c>
      <c r="N45" s="139">
        <f t="shared" si="9"/>
        <v>56976</v>
      </c>
      <c r="O45" s="136">
        <f>('[4]5A5_LSMSA'!Q45*6)+('[7]5A5_LSMSA'!Q45*2)</f>
        <v>31654</v>
      </c>
      <c r="P45" s="136">
        <f t="shared" si="10"/>
        <v>25322</v>
      </c>
      <c r="Q45" s="139">
        <f t="shared" si="12"/>
        <v>6331</v>
      </c>
      <c r="R45" s="139">
        <f t="shared" si="13"/>
        <v>56976</v>
      </c>
    </row>
    <row r="46" spans="1:18" ht="15.6" customHeight="1" x14ac:dyDescent="0.2">
      <c r="A46" s="388">
        <v>40</v>
      </c>
      <c r="B46" s="148" t="s">
        <v>44</v>
      </c>
      <c r="C46" s="389">
        <f>'8_2.1.19 SIS'!BF46</f>
        <v>9</v>
      </c>
      <c r="D46" s="390">
        <f>'Source Data'!Q46</f>
        <v>8804.577900113507</v>
      </c>
      <c r="E46" s="391">
        <f t="shared" si="6"/>
        <v>79241.201101021565</v>
      </c>
      <c r="F46" s="391">
        <f>'Source Data'!G46</f>
        <v>700.2700000000001</v>
      </c>
      <c r="G46" s="391">
        <f t="shared" si="7"/>
        <v>6302.4300000000012</v>
      </c>
      <c r="H46" s="392">
        <f t="shared" si="8"/>
        <v>85544</v>
      </c>
      <c r="I46" s="150">
        <f>[2]Oct_LSMSA!$G46</f>
        <v>47524</v>
      </c>
      <c r="J46" s="150">
        <f>[3]Feb_LSMSA!$G46</f>
        <v>-9505</v>
      </c>
      <c r="K46" s="154">
        <f t="shared" si="11"/>
        <v>38019</v>
      </c>
      <c r="L46" s="392">
        <f t="shared" si="3"/>
        <v>123563</v>
      </c>
      <c r="M46" s="390">
        <f>'[1]5A5_LSMSA'!$J46</f>
        <v>0</v>
      </c>
      <c r="N46" s="153">
        <f t="shared" si="9"/>
        <v>123563</v>
      </c>
      <c r="O46" s="156">
        <f>('[4]5A5_LSMSA'!Q46*6)+('[7]5A5_LSMSA'!Q46*2)</f>
        <v>57030</v>
      </c>
      <c r="P46" s="150">
        <f t="shared" si="10"/>
        <v>66533</v>
      </c>
      <c r="Q46" s="157">
        <f t="shared" si="12"/>
        <v>16633</v>
      </c>
      <c r="R46" s="153">
        <f t="shared" si="13"/>
        <v>123563</v>
      </c>
    </row>
    <row r="47" spans="1:18" ht="15.6" customHeight="1" x14ac:dyDescent="0.2">
      <c r="A47" s="378">
        <v>41</v>
      </c>
      <c r="B47" s="116" t="s">
        <v>45</v>
      </c>
      <c r="C47" s="379">
        <f>'8_2.1.19 SIS'!BF47</f>
        <v>0</v>
      </c>
      <c r="D47" s="380">
        <f>'Source Data'!Q47</f>
        <v>8874.8428994938549</v>
      </c>
      <c r="E47" s="381">
        <f t="shared" si="6"/>
        <v>0</v>
      </c>
      <c r="F47" s="381">
        <f>'Source Data'!G47</f>
        <v>886.22</v>
      </c>
      <c r="G47" s="381">
        <f t="shared" si="7"/>
        <v>0</v>
      </c>
      <c r="H47" s="382">
        <f t="shared" si="8"/>
        <v>0</v>
      </c>
      <c r="I47" s="118">
        <f>[2]Oct_LSMSA!$G47</f>
        <v>0</v>
      </c>
      <c r="J47" s="118">
        <f>[3]Feb_LSMSA!$G47</f>
        <v>0</v>
      </c>
      <c r="K47" s="122">
        <f t="shared" si="11"/>
        <v>0</v>
      </c>
      <c r="L47" s="382">
        <f t="shared" si="3"/>
        <v>0</v>
      </c>
      <c r="M47" s="380">
        <f>'[1]5A5_LSMSA'!$J47</f>
        <v>0</v>
      </c>
      <c r="N47" s="121">
        <f t="shared" si="9"/>
        <v>0</v>
      </c>
      <c r="O47" s="118">
        <f>('[4]5A5_LSMSA'!Q47*6)+('[7]5A5_LSMSA'!Q47*2)</f>
        <v>0</v>
      </c>
      <c r="P47" s="118">
        <f t="shared" si="10"/>
        <v>0</v>
      </c>
      <c r="Q47" s="121">
        <f t="shared" si="12"/>
        <v>0</v>
      </c>
      <c r="R47" s="123">
        <f t="shared" si="13"/>
        <v>0</v>
      </c>
    </row>
    <row r="48" spans="1:18" ht="15.6" customHeight="1" x14ac:dyDescent="0.2">
      <c r="A48" s="383">
        <v>42</v>
      </c>
      <c r="B48" s="134" t="s">
        <v>46</v>
      </c>
      <c r="C48" s="384">
        <f>'8_2.1.19 SIS'!BF48</f>
        <v>2</v>
      </c>
      <c r="D48" s="385">
        <f>'Source Data'!Q48</f>
        <v>9280.0423099308828</v>
      </c>
      <c r="E48" s="386">
        <f t="shared" si="6"/>
        <v>18560.084619861766</v>
      </c>
      <c r="F48" s="386">
        <f>'Source Data'!G48</f>
        <v>534.28</v>
      </c>
      <c r="G48" s="386">
        <f t="shared" si="7"/>
        <v>1068.56</v>
      </c>
      <c r="H48" s="387">
        <f t="shared" si="8"/>
        <v>19629</v>
      </c>
      <c r="I48" s="136">
        <f>[2]Oct_LSMSA!$G48</f>
        <v>9814</v>
      </c>
      <c r="J48" s="136">
        <f>[3]Feb_LSMSA!$G48</f>
        <v>0</v>
      </c>
      <c r="K48" s="140">
        <f t="shared" si="11"/>
        <v>9814</v>
      </c>
      <c r="L48" s="387">
        <f t="shared" si="3"/>
        <v>29443</v>
      </c>
      <c r="M48" s="385">
        <f>'[1]5A5_LSMSA'!$J48</f>
        <v>0</v>
      </c>
      <c r="N48" s="139">
        <f t="shared" si="9"/>
        <v>29443</v>
      </c>
      <c r="O48" s="136">
        <f>('[4]5A5_LSMSA'!Q48*6)+('[7]5A5_LSMSA'!Q48*2)</f>
        <v>13088</v>
      </c>
      <c r="P48" s="136">
        <f t="shared" si="10"/>
        <v>16355</v>
      </c>
      <c r="Q48" s="139">
        <f t="shared" si="12"/>
        <v>4089</v>
      </c>
      <c r="R48" s="139">
        <f t="shared" si="13"/>
        <v>29443</v>
      </c>
    </row>
    <row r="49" spans="1:18" ht="15.6" customHeight="1" x14ac:dyDescent="0.2">
      <c r="A49" s="383">
        <v>43</v>
      </c>
      <c r="B49" s="134" t="s">
        <v>47</v>
      </c>
      <c r="C49" s="384">
        <f>'8_2.1.19 SIS'!BF49</f>
        <v>9</v>
      </c>
      <c r="D49" s="385">
        <f>'Source Data'!Q49</f>
        <v>9609.9371213986706</v>
      </c>
      <c r="E49" s="386">
        <f t="shared" si="6"/>
        <v>86489.434092588039</v>
      </c>
      <c r="F49" s="386">
        <f>'Source Data'!G49</f>
        <v>574.6099999999999</v>
      </c>
      <c r="G49" s="386">
        <f t="shared" si="7"/>
        <v>5171.4899999999989</v>
      </c>
      <c r="H49" s="387">
        <f t="shared" si="8"/>
        <v>91661</v>
      </c>
      <c r="I49" s="136">
        <f>[2]Oct_LSMSA!$G49</f>
        <v>40738</v>
      </c>
      <c r="J49" s="136">
        <f>[3]Feb_LSMSA!$G49</f>
        <v>-5092</v>
      </c>
      <c r="K49" s="140">
        <f t="shared" si="11"/>
        <v>35646</v>
      </c>
      <c r="L49" s="387">
        <f t="shared" si="3"/>
        <v>127307</v>
      </c>
      <c r="M49" s="385">
        <f>'[1]5A5_LSMSA'!$J49</f>
        <v>0</v>
      </c>
      <c r="N49" s="139">
        <f t="shared" si="9"/>
        <v>127307</v>
      </c>
      <c r="O49" s="136">
        <f>('[4]5A5_LSMSA'!Q49*6)+('[7]5A5_LSMSA'!Q49*2)</f>
        <v>61106</v>
      </c>
      <c r="P49" s="136">
        <f t="shared" si="10"/>
        <v>66201</v>
      </c>
      <c r="Q49" s="139">
        <f t="shared" si="12"/>
        <v>16550</v>
      </c>
      <c r="R49" s="139">
        <f t="shared" si="13"/>
        <v>127307</v>
      </c>
    </row>
    <row r="50" spans="1:18" ht="15.6" customHeight="1" x14ac:dyDescent="0.2">
      <c r="A50" s="383">
        <v>44</v>
      </c>
      <c r="B50" s="134" t="s">
        <v>48</v>
      </c>
      <c r="C50" s="384">
        <f>'8_2.1.19 SIS'!BF50</f>
        <v>1</v>
      </c>
      <c r="D50" s="385">
        <f>'Source Data'!Q50</f>
        <v>8580.6088206785134</v>
      </c>
      <c r="E50" s="386">
        <f t="shared" si="6"/>
        <v>8580.6088206785134</v>
      </c>
      <c r="F50" s="386">
        <f>'Source Data'!G50</f>
        <v>663.16000000000008</v>
      </c>
      <c r="G50" s="386">
        <f t="shared" si="7"/>
        <v>663.16000000000008</v>
      </c>
      <c r="H50" s="387">
        <f t="shared" si="8"/>
        <v>9244</v>
      </c>
      <c r="I50" s="136">
        <f>[2]Oct_LSMSA!$G50</f>
        <v>27731</v>
      </c>
      <c r="J50" s="136">
        <f>[3]Feb_LSMSA!$G50</f>
        <v>0</v>
      </c>
      <c r="K50" s="140">
        <f t="shared" si="11"/>
        <v>27731</v>
      </c>
      <c r="L50" s="387">
        <f t="shared" si="3"/>
        <v>36975</v>
      </c>
      <c r="M50" s="385">
        <f>'[1]5A5_LSMSA'!$J50</f>
        <v>0</v>
      </c>
      <c r="N50" s="139">
        <f t="shared" si="9"/>
        <v>36975</v>
      </c>
      <c r="O50" s="136">
        <f>('[4]5A5_LSMSA'!Q50*6)+('[7]5A5_LSMSA'!Q50*2)</f>
        <v>6162</v>
      </c>
      <c r="P50" s="136">
        <f t="shared" si="10"/>
        <v>30813</v>
      </c>
      <c r="Q50" s="139">
        <f t="shared" si="12"/>
        <v>7703</v>
      </c>
      <c r="R50" s="139">
        <f t="shared" si="13"/>
        <v>36975</v>
      </c>
    </row>
    <row r="51" spans="1:18" ht="15.6" customHeight="1" x14ac:dyDescent="0.2">
      <c r="A51" s="388">
        <v>45</v>
      </c>
      <c r="B51" s="148" t="s">
        <v>49</v>
      </c>
      <c r="C51" s="389">
        <f>'8_2.1.19 SIS'!BF51</f>
        <v>3</v>
      </c>
      <c r="D51" s="390">
        <f>'Source Data'!Q51</f>
        <v>7811.5488430723217</v>
      </c>
      <c r="E51" s="391">
        <f t="shared" si="6"/>
        <v>23434.646529216967</v>
      </c>
      <c r="F51" s="391">
        <f>'Source Data'!G51</f>
        <v>753.96000000000015</v>
      </c>
      <c r="G51" s="391">
        <f t="shared" si="7"/>
        <v>2261.8800000000006</v>
      </c>
      <c r="H51" s="392">
        <f t="shared" si="8"/>
        <v>25697</v>
      </c>
      <c r="I51" s="150">
        <f>[2]Oct_LSMSA!$G51</f>
        <v>25697</v>
      </c>
      <c r="J51" s="150">
        <f>[3]Feb_LSMSA!$G51</f>
        <v>-4283</v>
      </c>
      <c r="K51" s="154">
        <f t="shared" si="11"/>
        <v>21414</v>
      </c>
      <c r="L51" s="392">
        <f t="shared" si="3"/>
        <v>47111</v>
      </c>
      <c r="M51" s="390">
        <f>'[1]5A5_LSMSA'!$J51</f>
        <v>0</v>
      </c>
      <c r="N51" s="153">
        <f t="shared" si="9"/>
        <v>47111</v>
      </c>
      <c r="O51" s="156">
        <f>('[4]5A5_LSMSA'!Q51*6)+('[7]5A5_LSMSA'!Q51*2)</f>
        <v>17130</v>
      </c>
      <c r="P51" s="150">
        <f t="shared" si="10"/>
        <v>29981</v>
      </c>
      <c r="Q51" s="157">
        <f t="shared" si="12"/>
        <v>7495</v>
      </c>
      <c r="R51" s="153">
        <f t="shared" si="13"/>
        <v>47111</v>
      </c>
    </row>
    <row r="52" spans="1:18" ht="15.6" customHeight="1" x14ac:dyDescent="0.2">
      <c r="A52" s="378">
        <v>46</v>
      </c>
      <c r="B52" s="116" t="s">
        <v>50</v>
      </c>
      <c r="C52" s="379">
        <f>'8_2.1.19 SIS'!BF52</f>
        <v>0</v>
      </c>
      <c r="D52" s="380">
        <f>'Source Data'!Q52</f>
        <v>10349.566861924686</v>
      </c>
      <c r="E52" s="381">
        <f t="shared" si="6"/>
        <v>0</v>
      </c>
      <c r="F52" s="381">
        <f>'Source Data'!G52</f>
        <v>728.06</v>
      </c>
      <c r="G52" s="381">
        <f t="shared" si="7"/>
        <v>0</v>
      </c>
      <c r="H52" s="382">
        <f t="shared" si="8"/>
        <v>0</v>
      </c>
      <c r="I52" s="118">
        <f>[2]Oct_LSMSA!$G52</f>
        <v>0</v>
      </c>
      <c r="J52" s="118">
        <f>[3]Feb_LSMSA!$G52</f>
        <v>0</v>
      </c>
      <c r="K52" s="122">
        <f t="shared" si="11"/>
        <v>0</v>
      </c>
      <c r="L52" s="382">
        <f t="shared" si="3"/>
        <v>0</v>
      </c>
      <c r="M52" s="380">
        <f>'[1]5A5_LSMSA'!$J52</f>
        <v>0</v>
      </c>
      <c r="N52" s="121">
        <f t="shared" si="9"/>
        <v>0</v>
      </c>
      <c r="O52" s="118">
        <f>('[4]5A5_LSMSA'!Q52*6)+('[7]5A5_LSMSA'!Q52*2)</f>
        <v>0</v>
      </c>
      <c r="P52" s="118">
        <f t="shared" si="10"/>
        <v>0</v>
      </c>
      <c r="Q52" s="121">
        <f t="shared" si="12"/>
        <v>0</v>
      </c>
      <c r="R52" s="123">
        <f t="shared" si="13"/>
        <v>0</v>
      </c>
    </row>
    <row r="53" spans="1:18" ht="15.6" customHeight="1" x14ac:dyDescent="0.2">
      <c r="A53" s="383">
        <v>47</v>
      </c>
      <c r="B53" s="134" t="s">
        <v>51</v>
      </c>
      <c r="C53" s="384">
        <f>'8_2.1.19 SIS'!BF53</f>
        <v>0</v>
      </c>
      <c r="D53" s="385">
        <f>'Source Data'!Q53</f>
        <v>8649.5976538353461</v>
      </c>
      <c r="E53" s="386">
        <f t="shared" si="6"/>
        <v>0</v>
      </c>
      <c r="F53" s="386">
        <f>'Source Data'!G53</f>
        <v>910.76</v>
      </c>
      <c r="G53" s="386">
        <f t="shared" si="7"/>
        <v>0</v>
      </c>
      <c r="H53" s="387">
        <f t="shared" si="8"/>
        <v>0</v>
      </c>
      <c r="I53" s="136">
        <f>[2]Oct_LSMSA!$G53</f>
        <v>9560</v>
      </c>
      <c r="J53" s="136">
        <f>[3]Feb_LSMSA!$G53</f>
        <v>0</v>
      </c>
      <c r="K53" s="140">
        <f t="shared" si="11"/>
        <v>9560</v>
      </c>
      <c r="L53" s="387">
        <f t="shared" si="3"/>
        <v>9560</v>
      </c>
      <c r="M53" s="385">
        <f>'[1]5A5_LSMSA'!$J53</f>
        <v>0</v>
      </c>
      <c r="N53" s="139">
        <f t="shared" si="9"/>
        <v>9560</v>
      </c>
      <c r="O53" s="136">
        <f>('[4]5A5_LSMSA'!Q53*6)+('[7]5A5_LSMSA'!Q53*2)</f>
        <v>0</v>
      </c>
      <c r="P53" s="136">
        <f t="shared" si="10"/>
        <v>9560</v>
      </c>
      <c r="Q53" s="139">
        <f t="shared" si="12"/>
        <v>2390</v>
      </c>
      <c r="R53" s="139">
        <f t="shared" si="13"/>
        <v>9560</v>
      </c>
    </row>
    <row r="54" spans="1:18" ht="15.6" customHeight="1" x14ac:dyDescent="0.2">
      <c r="A54" s="383">
        <v>48</v>
      </c>
      <c r="B54" s="134" t="s">
        <v>73</v>
      </c>
      <c r="C54" s="384">
        <f>'8_2.1.19 SIS'!BF54</f>
        <v>1</v>
      </c>
      <c r="D54" s="385">
        <f>'Source Data'!Q54</f>
        <v>8823.0869751499558</v>
      </c>
      <c r="E54" s="386">
        <f t="shared" si="6"/>
        <v>8823.0869751499558</v>
      </c>
      <c r="F54" s="386">
        <f>'Source Data'!G54</f>
        <v>871.07</v>
      </c>
      <c r="G54" s="386">
        <f t="shared" si="7"/>
        <v>871.07</v>
      </c>
      <c r="H54" s="387">
        <f t="shared" si="8"/>
        <v>9694</v>
      </c>
      <c r="I54" s="136">
        <f>[2]Oct_LSMSA!$G54</f>
        <v>19388</v>
      </c>
      <c r="J54" s="136">
        <f>[3]Feb_LSMSA!$G54</f>
        <v>-4847</v>
      </c>
      <c r="K54" s="140">
        <f t="shared" si="11"/>
        <v>14541</v>
      </c>
      <c r="L54" s="387">
        <f t="shared" si="3"/>
        <v>24235</v>
      </c>
      <c r="M54" s="385">
        <f>'[1]5A5_LSMSA'!$J54</f>
        <v>0</v>
      </c>
      <c r="N54" s="139">
        <f t="shared" si="9"/>
        <v>24235</v>
      </c>
      <c r="O54" s="136">
        <f>('[4]5A5_LSMSA'!Q54*6)+('[7]5A5_LSMSA'!Q54*2)</f>
        <v>6464</v>
      </c>
      <c r="P54" s="136">
        <f t="shared" si="10"/>
        <v>17771</v>
      </c>
      <c r="Q54" s="139">
        <f t="shared" si="12"/>
        <v>4443</v>
      </c>
      <c r="R54" s="139">
        <f t="shared" si="13"/>
        <v>24235</v>
      </c>
    </row>
    <row r="55" spans="1:18" ht="15.6" customHeight="1" x14ac:dyDescent="0.2">
      <c r="A55" s="383">
        <v>49</v>
      </c>
      <c r="B55" s="134" t="s">
        <v>52</v>
      </c>
      <c r="C55" s="384">
        <f>'8_2.1.19 SIS'!BF55</f>
        <v>6</v>
      </c>
      <c r="D55" s="385">
        <f>'Source Data'!Q55</f>
        <v>8141.9314105452904</v>
      </c>
      <c r="E55" s="386">
        <f t="shared" si="6"/>
        <v>48851.588463271743</v>
      </c>
      <c r="F55" s="386">
        <f>'Source Data'!G55</f>
        <v>574.43999999999994</v>
      </c>
      <c r="G55" s="386">
        <f t="shared" si="7"/>
        <v>3446.6399999999994</v>
      </c>
      <c r="H55" s="387">
        <f t="shared" si="8"/>
        <v>52298</v>
      </c>
      <c r="I55" s="136">
        <f>[2]Oct_LSMSA!$G55</f>
        <v>52298</v>
      </c>
      <c r="J55" s="136">
        <f>[3]Feb_LSMSA!$G55</f>
        <v>-8716</v>
      </c>
      <c r="K55" s="140">
        <f t="shared" si="11"/>
        <v>43582</v>
      </c>
      <c r="L55" s="387">
        <f t="shared" si="3"/>
        <v>95880</v>
      </c>
      <c r="M55" s="385">
        <f>'[1]5A5_LSMSA'!$J55</f>
        <v>0</v>
      </c>
      <c r="N55" s="139">
        <f t="shared" si="9"/>
        <v>95880</v>
      </c>
      <c r="O55" s="136">
        <f>('[4]5A5_LSMSA'!Q55*6)+('[7]5A5_LSMSA'!Q55*2)</f>
        <v>34864</v>
      </c>
      <c r="P55" s="136">
        <f t="shared" si="10"/>
        <v>61016</v>
      </c>
      <c r="Q55" s="139">
        <f t="shared" si="12"/>
        <v>15254</v>
      </c>
      <c r="R55" s="139">
        <f t="shared" si="13"/>
        <v>95880</v>
      </c>
    </row>
    <row r="56" spans="1:18" ht="15.6" customHeight="1" x14ac:dyDescent="0.2">
      <c r="A56" s="388">
        <v>50</v>
      </c>
      <c r="B56" s="148" t="s">
        <v>53</v>
      </c>
      <c r="C56" s="389">
        <f>'8_2.1.19 SIS'!BF56</f>
        <v>5</v>
      </c>
      <c r="D56" s="390">
        <f>'Source Data'!Q56</f>
        <v>8654.4847320365225</v>
      </c>
      <c r="E56" s="391">
        <f t="shared" si="6"/>
        <v>43272.423660182612</v>
      </c>
      <c r="F56" s="391">
        <f>'Source Data'!G56</f>
        <v>634.46</v>
      </c>
      <c r="G56" s="391">
        <f t="shared" si="7"/>
        <v>3172.3</v>
      </c>
      <c r="H56" s="392">
        <f t="shared" si="8"/>
        <v>46445</v>
      </c>
      <c r="I56" s="150">
        <f>[2]Oct_LSMSA!$G56</f>
        <v>0</v>
      </c>
      <c r="J56" s="150">
        <f>[3]Feb_LSMSA!$G56</f>
        <v>0</v>
      </c>
      <c r="K56" s="154">
        <f t="shared" si="11"/>
        <v>0</v>
      </c>
      <c r="L56" s="392">
        <f t="shared" si="3"/>
        <v>46445</v>
      </c>
      <c r="M56" s="390">
        <f>'[1]5A5_LSMSA'!$J56</f>
        <v>0</v>
      </c>
      <c r="N56" s="153">
        <f t="shared" si="9"/>
        <v>46445</v>
      </c>
      <c r="O56" s="156">
        <f>('[4]5A5_LSMSA'!Q56*6)+('[7]5A5_LSMSA'!Q56*2)</f>
        <v>30962</v>
      </c>
      <c r="P56" s="150">
        <f t="shared" si="10"/>
        <v>15483</v>
      </c>
      <c r="Q56" s="157">
        <f t="shared" si="12"/>
        <v>3871</v>
      </c>
      <c r="R56" s="153">
        <f t="shared" si="13"/>
        <v>46445</v>
      </c>
    </row>
    <row r="57" spans="1:18" ht="15.6" customHeight="1" x14ac:dyDescent="0.2">
      <c r="A57" s="378">
        <v>51</v>
      </c>
      <c r="B57" s="116" t="s">
        <v>54</v>
      </c>
      <c r="C57" s="379">
        <f>'8_2.1.19 SIS'!BF57</f>
        <v>2</v>
      </c>
      <c r="D57" s="380">
        <f>'Source Data'!Q57</f>
        <v>9136.9046492501202</v>
      </c>
      <c r="E57" s="381">
        <f t="shared" si="6"/>
        <v>18273.80929850024</v>
      </c>
      <c r="F57" s="381">
        <f>'Source Data'!G57</f>
        <v>706.66</v>
      </c>
      <c r="G57" s="381">
        <f t="shared" si="7"/>
        <v>1413.32</v>
      </c>
      <c r="H57" s="382">
        <f t="shared" si="8"/>
        <v>19687</v>
      </c>
      <c r="I57" s="118">
        <f>[2]Oct_LSMSA!$G57</f>
        <v>0</v>
      </c>
      <c r="J57" s="118">
        <f>[3]Feb_LSMSA!$G57</f>
        <v>-4922</v>
      </c>
      <c r="K57" s="122">
        <f t="shared" si="11"/>
        <v>-4922</v>
      </c>
      <c r="L57" s="382">
        <f t="shared" si="3"/>
        <v>14765</v>
      </c>
      <c r="M57" s="380">
        <f>'[1]5A5_LSMSA'!$J57</f>
        <v>0</v>
      </c>
      <c r="N57" s="121">
        <f t="shared" si="9"/>
        <v>14765</v>
      </c>
      <c r="O57" s="118">
        <f>('[4]5A5_LSMSA'!Q57*6)+('[7]5A5_LSMSA'!Q57*2)</f>
        <v>13126</v>
      </c>
      <c r="P57" s="118">
        <f t="shared" si="10"/>
        <v>1639</v>
      </c>
      <c r="Q57" s="121">
        <f t="shared" si="12"/>
        <v>410</v>
      </c>
      <c r="R57" s="123">
        <f t="shared" si="13"/>
        <v>14765</v>
      </c>
    </row>
    <row r="58" spans="1:18" ht="15.6" customHeight="1" x14ac:dyDescent="0.2">
      <c r="A58" s="383">
        <v>52</v>
      </c>
      <c r="B58" s="134" t="s">
        <v>55</v>
      </c>
      <c r="C58" s="384">
        <f>'8_2.1.19 SIS'!BF58</f>
        <v>33</v>
      </c>
      <c r="D58" s="385">
        <f>'Source Data'!Q58</f>
        <v>9000.4864854976404</v>
      </c>
      <c r="E58" s="386">
        <f t="shared" si="6"/>
        <v>297016.05402142211</v>
      </c>
      <c r="F58" s="386">
        <f>'Source Data'!G58</f>
        <v>658.37</v>
      </c>
      <c r="G58" s="386">
        <f t="shared" si="7"/>
        <v>21726.21</v>
      </c>
      <c r="H58" s="387">
        <f t="shared" si="8"/>
        <v>318742</v>
      </c>
      <c r="I58" s="136">
        <f>[2]Oct_LSMSA!$G58</f>
        <v>-28977</v>
      </c>
      <c r="J58" s="136">
        <f>[3]Feb_LSMSA!$G58</f>
        <v>0</v>
      </c>
      <c r="K58" s="140">
        <f t="shared" si="11"/>
        <v>-28977</v>
      </c>
      <c r="L58" s="387">
        <f t="shared" si="3"/>
        <v>289765</v>
      </c>
      <c r="M58" s="385">
        <f>'[1]5A5_LSMSA'!$J58</f>
        <v>0</v>
      </c>
      <c r="N58" s="139">
        <f t="shared" si="9"/>
        <v>289765</v>
      </c>
      <c r="O58" s="136">
        <f>('[4]5A5_LSMSA'!Q58*6)+('[7]5A5_LSMSA'!Q58*2)</f>
        <v>212496</v>
      </c>
      <c r="P58" s="136">
        <f t="shared" si="10"/>
        <v>77269</v>
      </c>
      <c r="Q58" s="139">
        <f t="shared" si="12"/>
        <v>19317</v>
      </c>
      <c r="R58" s="139">
        <f t="shared" si="13"/>
        <v>289765</v>
      </c>
    </row>
    <row r="59" spans="1:18" ht="15.6" customHeight="1" x14ac:dyDescent="0.2">
      <c r="A59" s="383">
        <v>53</v>
      </c>
      <c r="B59" s="134" t="s">
        <v>56</v>
      </c>
      <c r="C59" s="384">
        <f>'8_2.1.19 SIS'!BF59</f>
        <v>11</v>
      </c>
      <c r="D59" s="385">
        <f>'Source Data'!Q59</f>
        <v>7942.1319708403926</v>
      </c>
      <c r="E59" s="386">
        <f t="shared" si="6"/>
        <v>87363.451679244317</v>
      </c>
      <c r="F59" s="386">
        <f>'Source Data'!G59</f>
        <v>689.74</v>
      </c>
      <c r="G59" s="386">
        <f t="shared" si="7"/>
        <v>7587.14</v>
      </c>
      <c r="H59" s="387">
        <f t="shared" si="8"/>
        <v>94951</v>
      </c>
      <c r="I59" s="136">
        <f>[2]Oct_LSMSA!$G59</f>
        <v>25896</v>
      </c>
      <c r="J59" s="136">
        <f>[3]Feb_LSMSA!$G59</f>
        <v>-4316</v>
      </c>
      <c r="K59" s="140">
        <f t="shared" si="11"/>
        <v>21580</v>
      </c>
      <c r="L59" s="387">
        <f t="shared" si="3"/>
        <v>116531</v>
      </c>
      <c r="M59" s="385">
        <f>'[1]5A5_LSMSA'!$J59</f>
        <v>0</v>
      </c>
      <c r="N59" s="139">
        <f t="shared" si="9"/>
        <v>116531</v>
      </c>
      <c r="O59" s="136">
        <f>('[4]5A5_LSMSA'!Q59*6)+('[7]5A5_LSMSA'!Q59*2)</f>
        <v>63302</v>
      </c>
      <c r="P59" s="136">
        <f t="shared" si="10"/>
        <v>53229</v>
      </c>
      <c r="Q59" s="139">
        <f t="shared" si="12"/>
        <v>13307</v>
      </c>
      <c r="R59" s="139">
        <f t="shared" si="13"/>
        <v>116531</v>
      </c>
    </row>
    <row r="60" spans="1:18" ht="15.6" customHeight="1" x14ac:dyDescent="0.2">
      <c r="A60" s="383">
        <v>54</v>
      </c>
      <c r="B60" s="134" t="s">
        <v>57</v>
      </c>
      <c r="C60" s="384">
        <f>'8_2.1.19 SIS'!BF60</f>
        <v>0</v>
      </c>
      <c r="D60" s="385">
        <f>'Source Data'!Q60</f>
        <v>10473.672222222223</v>
      </c>
      <c r="E60" s="386">
        <f t="shared" si="6"/>
        <v>0</v>
      </c>
      <c r="F60" s="386">
        <f>'Source Data'!G60</f>
        <v>951.45</v>
      </c>
      <c r="G60" s="386">
        <f t="shared" si="7"/>
        <v>0</v>
      </c>
      <c r="H60" s="387">
        <f t="shared" si="8"/>
        <v>0</v>
      </c>
      <c r="I60" s="136">
        <f>[2]Oct_LSMSA!$G60</f>
        <v>0</v>
      </c>
      <c r="J60" s="136">
        <f>[3]Feb_LSMSA!$G60</f>
        <v>0</v>
      </c>
      <c r="K60" s="140">
        <f t="shared" si="11"/>
        <v>0</v>
      </c>
      <c r="L60" s="387">
        <f t="shared" si="3"/>
        <v>0</v>
      </c>
      <c r="M60" s="385">
        <f>'[1]5A5_LSMSA'!$J60</f>
        <v>0</v>
      </c>
      <c r="N60" s="139">
        <f t="shared" si="9"/>
        <v>0</v>
      </c>
      <c r="O60" s="136">
        <f>('[4]5A5_LSMSA'!Q60*6)+('[7]5A5_LSMSA'!Q60*2)</f>
        <v>0</v>
      </c>
      <c r="P60" s="136">
        <f t="shared" si="10"/>
        <v>0</v>
      </c>
      <c r="Q60" s="139">
        <f t="shared" si="12"/>
        <v>0</v>
      </c>
      <c r="R60" s="139">
        <f t="shared" si="13"/>
        <v>0</v>
      </c>
    </row>
    <row r="61" spans="1:18" ht="15.6" customHeight="1" x14ac:dyDescent="0.2">
      <c r="A61" s="388">
        <v>55</v>
      </c>
      <c r="B61" s="148" t="s">
        <v>58</v>
      </c>
      <c r="C61" s="389">
        <f>'8_2.1.19 SIS'!BF61</f>
        <v>8</v>
      </c>
      <c r="D61" s="390">
        <f>'Source Data'!Q61</f>
        <v>8488.8722470904213</v>
      </c>
      <c r="E61" s="391">
        <f t="shared" si="6"/>
        <v>67910.97797672337</v>
      </c>
      <c r="F61" s="391">
        <f>'Source Data'!G61</f>
        <v>795.14</v>
      </c>
      <c r="G61" s="391">
        <f t="shared" si="7"/>
        <v>6361.12</v>
      </c>
      <c r="H61" s="392">
        <f t="shared" si="8"/>
        <v>74272</v>
      </c>
      <c r="I61" s="150">
        <f>[2]Oct_LSMSA!$G61</f>
        <v>0</v>
      </c>
      <c r="J61" s="150">
        <f>[3]Feb_LSMSA!$G61</f>
        <v>-4642</v>
      </c>
      <c r="K61" s="154">
        <f t="shared" si="11"/>
        <v>-4642</v>
      </c>
      <c r="L61" s="392">
        <f t="shared" si="3"/>
        <v>69630</v>
      </c>
      <c r="M61" s="390">
        <f>'[1]5A5_LSMSA'!$J61</f>
        <v>0</v>
      </c>
      <c r="N61" s="153">
        <f t="shared" si="9"/>
        <v>69630</v>
      </c>
      <c r="O61" s="156">
        <f>('[4]5A5_LSMSA'!Q61*6)+('[7]5A5_LSMSA'!Q61*2)</f>
        <v>49514</v>
      </c>
      <c r="P61" s="150">
        <f t="shared" si="10"/>
        <v>20116</v>
      </c>
      <c r="Q61" s="157">
        <f t="shared" si="12"/>
        <v>5029</v>
      </c>
      <c r="R61" s="153">
        <f t="shared" si="13"/>
        <v>69630</v>
      </c>
    </row>
    <row r="62" spans="1:18" ht="15.6" customHeight="1" x14ac:dyDescent="0.2">
      <c r="A62" s="378">
        <v>56</v>
      </c>
      <c r="B62" s="116" t="s">
        <v>59</v>
      </c>
      <c r="C62" s="379">
        <f>'8_2.1.19 SIS'!BF62</f>
        <v>0</v>
      </c>
      <c r="D62" s="380">
        <f>'Source Data'!Q62</f>
        <v>9570.5786577181207</v>
      </c>
      <c r="E62" s="381">
        <f t="shared" si="6"/>
        <v>0</v>
      </c>
      <c r="F62" s="381">
        <f>'Source Data'!G62</f>
        <v>614.66000000000008</v>
      </c>
      <c r="G62" s="381">
        <f t="shared" si="7"/>
        <v>0</v>
      </c>
      <c r="H62" s="382">
        <f t="shared" si="8"/>
        <v>0</v>
      </c>
      <c r="I62" s="118">
        <f>[2]Oct_LSMSA!$G62</f>
        <v>10185</v>
      </c>
      <c r="J62" s="118">
        <f>[3]Feb_LSMSA!$G62</f>
        <v>-5093</v>
      </c>
      <c r="K62" s="122">
        <f t="shared" si="11"/>
        <v>5092</v>
      </c>
      <c r="L62" s="382">
        <f t="shared" si="3"/>
        <v>5092</v>
      </c>
      <c r="M62" s="380">
        <f>'[1]5A5_LSMSA'!$J62</f>
        <v>0</v>
      </c>
      <c r="N62" s="121">
        <f t="shared" si="9"/>
        <v>5092</v>
      </c>
      <c r="O62" s="118">
        <f>('[4]5A5_LSMSA'!Q62*6)+('[7]5A5_LSMSA'!Q62*2)</f>
        <v>0</v>
      </c>
      <c r="P62" s="118">
        <f t="shared" si="10"/>
        <v>5092</v>
      </c>
      <c r="Q62" s="121">
        <f t="shared" si="12"/>
        <v>1273</v>
      </c>
      <c r="R62" s="123">
        <f t="shared" si="13"/>
        <v>5092</v>
      </c>
    </row>
    <row r="63" spans="1:18" ht="15.6" customHeight="1" x14ac:dyDescent="0.2">
      <c r="A63" s="383">
        <v>57</v>
      </c>
      <c r="B63" s="134" t="s">
        <v>60</v>
      </c>
      <c r="C63" s="384">
        <f>'8_2.1.19 SIS'!BF63</f>
        <v>3</v>
      </c>
      <c r="D63" s="385">
        <f>'Source Data'!Q63</f>
        <v>7930.6146761658028</v>
      </c>
      <c r="E63" s="386">
        <f t="shared" si="6"/>
        <v>23791.844028497409</v>
      </c>
      <c r="F63" s="386">
        <f>'Source Data'!G63</f>
        <v>764.51</v>
      </c>
      <c r="G63" s="386">
        <f t="shared" si="7"/>
        <v>2293.5299999999997</v>
      </c>
      <c r="H63" s="387">
        <f t="shared" si="8"/>
        <v>26085</v>
      </c>
      <c r="I63" s="136">
        <f>[2]Oct_LSMSA!$G63</f>
        <v>-8695</v>
      </c>
      <c r="J63" s="136">
        <f>[3]Feb_LSMSA!$G63</f>
        <v>0</v>
      </c>
      <c r="K63" s="140">
        <f t="shared" si="11"/>
        <v>-8695</v>
      </c>
      <c r="L63" s="387">
        <f t="shared" si="3"/>
        <v>17390</v>
      </c>
      <c r="M63" s="385">
        <f>'[1]5A5_LSMSA'!$J63</f>
        <v>0</v>
      </c>
      <c r="N63" s="139">
        <f t="shared" si="9"/>
        <v>17390</v>
      </c>
      <c r="O63" s="136">
        <f>('[4]5A5_LSMSA'!Q63*6)+('[7]5A5_LSMSA'!Q63*2)</f>
        <v>17392</v>
      </c>
      <c r="P63" s="136">
        <f t="shared" si="10"/>
        <v>-2</v>
      </c>
      <c r="Q63" s="139">
        <f t="shared" si="12"/>
        <v>-1</v>
      </c>
      <c r="R63" s="139">
        <f t="shared" si="13"/>
        <v>17390</v>
      </c>
    </row>
    <row r="64" spans="1:18" ht="15.6" customHeight="1" x14ac:dyDescent="0.2">
      <c r="A64" s="383">
        <v>58</v>
      </c>
      <c r="B64" s="134" t="s">
        <v>61</v>
      </c>
      <c r="C64" s="384">
        <f>'8_2.1.19 SIS'!BF64</f>
        <v>11</v>
      </c>
      <c r="D64" s="385">
        <f>'Source Data'!Q64</f>
        <v>8446.5168634732017</v>
      </c>
      <c r="E64" s="386">
        <f t="shared" si="6"/>
        <v>92911.685498205217</v>
      </c>
      <c r="F64" s="386">
        <f>'Source Data'!G64</f>
        <v>697.04</v>
      </c>
      <c r="G64" s="386">
        <f t="shared" si="7"/>
        <v>7667.44</v>
      </c>
      <c r="H64" s="387">
        <f t="shared" si="8"/>
        <v>100579</v>
      </c>
      <c r="I64" s="136">
        <f>[2]Oct_LSMSA!$G64</f>
        <v>-36574</v>
      </c>
      <c r="J64" s="136">
        <f>[3]Feb_LSMSA!$G64</f>
        <v>-4572</v>
      </c>
      <c r="K64" s="140">
        <f t="shared" si="11"/>
        <v>-41146</v>
      </c>
      <c r="L64" s="387">
        <f t="shared" si="3"/>
        <v>59433</v>
      </c>
      <c r="M64" s="385">
        <f>'[1]5A5_LSMSA'!$J64</f>
        <v>0</v>
      </c>
      <c r="N64" s="139">
        <f t="shared" si="9"/>
        <v>59433</v>
      </c>
      <c r="O64" s="136">
        <f>('[4]5A5_LSMSA'!Q64*6)+('[7]5A5_LSMSA'!Q64*2)</f>
        <v>67054</v>
      </c>
      <c r="P64" s="136">
        <f t="shared" si="10"/>
        <v>-7621</v>
      </c>
      <c r="Q64" s="139">
        <f t="shared" si="12"/>
        <v>-1905</v>
      </c>
      <c r="R64" s="139">
        <f t="shared" si="13"/>
        <v>59433</v>
      </c>
    </row>
    <row r="65" spans="1:18" ht="15.6" customHeight="1" x14ac:dyDescent="0.2">
      <c r="A65" s="383">
        <v>59</v>
      </c>
      <c r="B65" s="134" t="s">
        <v>62</v>
      </c>
      <c r="C65" s="384">
        <f>'8_2.1.19 SIS'!BF65</f>
        <v>0</v>
      </c>
      <c r="D65" s="385">
        <f>'Source Data'!Q65</f>
        <v>8217.7514762567062</v>
      </c>
      <c r="E65" s="386">
        <f t="shared" si="6"/>
        <v>0</v>
      </c>
      <c r="F65" s="386">
        <f>'Source Data'!G65</f>
        <v>689.52</v>
      </c>
      <c r="G65" s="386">
        <f t="shared" si="7"/>
        <v>0</v>
      </c>
      <c r="H65" s="387">
        <f t="shared" si="8"/>
        <v>0</v>
      </c>
      <c r="I65" s="136">
        <f>[2]Oct_LSMSA!$G65</f>
        <v>0</v>
      </c>
      <c r="J65" s="136">
        <f>[3]Feb_LSMSA!$G65</f>
        <v>0</v>
      </c>
      <c r="K65" s="140">
        <f t="shared" si="11"/>
        <v>0</v>
      </c>
      <c r="L65" s="387">
        <f t="shared" si="3"/>
        <v>0</v>
      </c>
      <c r="M65" s="385">
        <f>'[1]5A5_LSMSA'!$J65</f>
        <v>0</v>
      </c>
      <c r="N65" s="139">
        <f t="shared" si="9"/>
        <v>0</v>
      </c>
      <c r="O65" s="136">
        <f>('[4]5A5_LSMSA'!Q65*6)+('[7]5A5_LSMSA'!Q65*2)</f>
        <v>0</v>
      </c>
      <c r="P65" s="136">
        <f t="shared" si="10"/>
        <v>0</v>
      </c>
      <c r="Q65" s="139">
        <f t="shared" si="12"/>
        <v>0</v>
      </c>
      <c r="R65" s="139">
        <f t="shared" si="13"/>
        <v>0</v>
      </c>
    </row>
    <row r="66" spans="1:18" ht="15.6" customHeight="1" x14ac:dyDescent="0.2">
      <c r="A66" s="388">
        <v>60</v>
      </c>
      <c r="B66" s="148" t="s">
        <v>63</v>
      </c>
      <c r="C66" s="389">
        <f>'8_2.1.19 SIS'!BF66</f>
        <v>2</v>
      </c>
      <c r="D66" s="390">
        <f>'Source Data'!Q66</f>
        <v>9190.3055793703952</v>
      </c>
      <c r="E66" s="391">
        <f t="shared" si="6"/>
        <v>18380.61115874079</v>
      </c>
      <c r="F66" s="391">
        <f>'Source Data'!G66</f>
        <v>594.04</v>
      </c>
      <c r="G66" s="391">
        <f t="shared" si="7"/>
        <v>1188.08</v>
      </c>
      <c r="H66" s="392">
        <f t="shared" si="8"/>
        <v>19569</v>
      </c>
      <c r="I66" s="150">
        <f>[2]Oct_LSMSA!$G66</f>
        <v>-9784</v>
      </c>
      <c r="J66" s="150">
        <f>[3]Feb_LSMSA!$G66</f>
        <v>0</v>
      </c>
      <c r="K66" s="154">
        <f t="shared" si="11"/>
        <v>-9784</v>
      </c>
      <c r="L66" s="392">
        <f t="shared" si="3"/>
        <v>9785</v>
      </c>
      <c r="M66" s="390">
        <f>'[1]5A5_LSMSA'!$J66</f>
        <v>0</v>
      </c>
      <c r="N66" s="153">
        <f t="shared" si="9"/>
        <v>9785</v>
      </c>
      <c r="O66" s="156">
        <f>('[4]5A5_LSMSA'!Q66*6)+('[7]5A5_LSMSA'!Q66*2)</f>
        <v>13048</v>
      </c>
      <c r="P66" s="150">
        <f t="shared" si="10"/>
        <v>-3263</v>
      </c>
      <c r="Q66" s="157">
        <f t="shared" si="12"/>
        <v>-816</v>
      </c>
      <c r="R66" s="153">
        <f t="shared" si="13"/>
        <v>9785</v>
      </c>
    </row>
    <row r="67" spans="1:18" ht="15.6" customHeight="1" x14ac:dyDescent="0.2">
      <c r="A67" s="378">
        <v>61</v>
      </c>
      <c r="B67" s="116" t="s">
        <v>64</v>
      </c>
      <c r="C67" s="379">
        <f>'8_2.1.19 SIS'!BF67</f>
        <v>2</v>
      </c>
      <c r="D67" s="380">
        <f>'Source Data'!Q67</f>
        <v>8368.0957865786568</v>
      </c>
      <c r="E67" s="381">
        <f t="shared" si="6"/>
        <v>16736.191573157314</v>
      </c>
      <c r="F67" s="381">
        <f>'Source Data'!G67</f>
        <v>833.70999999999992</v>
      </c>
      <c r="G67" s="381">
        <f t="shared" si="7"/>
        <v>1667.4199999999998</v>
      </c>
      <c r="H67" s="382">
        <f t="shared" si="8"/>
        <v>18404</v>
      </c>
      <c r="I67" s="118">
        <f>[2]Oct_LSMSA!$G67</f>
        <v>0</v>
      </c>
      <c r="J67" s="118">
        <f>[3]Feb_LSMSA!$G67</f>
        <v>0</v>
      </c>
      <c r="K67" s="122">
        <f t="shared" si="11"/>
        <v>0</v>
      </c>
      <c r="L67" s="382">
        <f t="shared" si="3"/>
        <v>18404</v>
      </c>
      <c r="M67" s="380">
        <f>'[1]5A5_LSMSA'!$J67</f>
        <v>0</v>
      </c>
      <c r="N67" s="121">
        <f t="shared" si="9"/>
        <v>18404</v>
      </c>
      <c r="O67" s="118">
        <f>('[4]5A5_LSMSA'!Q67*6)+('[7]5A5_LSMSA'!Q67*2)</f>
        <v>12270</v>
      </c>
      <c r="P67" s="118">
        <f t="shared" si="10"/>
        <v>6134</v>
      </c>
      <c r="Q67" s="121">
        <f t="shared" si="12"/>
        <v>1534</v>
      </c>
      <c r="R67" s="123">
        <f t="shared" si="13"/>
        <v>18404</v>
      </c>
    </row>
    <row r="68" spans="1:18" ht="15.6" customHeight="1" x14ac:dyDescent="0.2">
      <c r="A68" s="383">
        <v>62</v>
      </c>
      <c r="B68" s="134" t="s">
        <v>65</v>
      </c>
      <c r="C68" s="384">
        <f>'8_2.1.19 SIS'!BF68</f>
        <v>0</v>
      </c>
      <c r="D68" s="385">
        <f>'Source Data'!Q68</f>
        <v>8527.1602638254699</v>
      </c>
      <c r="E68" s="386">
        <f t="shared" si="6"/>
        <v>0</v>
      </c>
      <c r="F68" s="386">
        <f>'Source Data'!G68</f>
        <v>516.08000000000004</v>
      </c>
      <c r="G68" s="386">
        <f t="shared" si="7"/>
        <v>0</v>
      </c>
      <c r="H68" s="387">
        <f t="shared" si="8"/>
        <v>0</v>
      </c>
      <c r="I68" s="136">
        <f>[2]Oct_LSMSA!$G68</f>
        <v>18086</v>
      </c>
      <c r="J68" s="136">
        <f>[3]Feb_LSMSA!$G68</f>
        <v>0</v>
      </c>
      <c r="K68" s="140">
        <f t="shared" si="11"/>
        <v>18086</v>
      </c>
      <c r="L68" s="387">
        <f t="shared" si="3"/>
        <v>18086</v>
      </c>
      <c r="M68" s="385">
        <f>'[1]5A5_LSMSA'!$J68</f>
        <v>0</v>
      </c>
      <c r="N68" s="139">
        <f t="shared" si="9"/>
        <v>18086</v>
      </c>
      <c r="O68" s="136">
        <f>('[4]5A5_LSMSA'!Q68*6)+('[7]5A5_LSMSA'!Q68*2)</f>
        <v>0</v>
      </c>
      <c r="P68" s="136">
        <f t="shared" si="10"/>
        <v>18086</v>
      </c>
      <c r="Q68" s="139">
        <f t="shared" si="12"/>
        <v>4522</v>
      </c>
      <c r="R68" s="139">
        <f t="shared" si="13"/>
        <v>18086</v>
      </c>
    </row>
    <row r="69" spans="1:18" ht="15.6" customHeight="1" x14ac:dyDescent="0.2">
      <c r="A69" s="383">
        <v>63</v>
      </c>
      <c r="B69" s="134" t="s">
        <v>66</v>
      </c>
      <c r="C69" s="384">
        <f>'8_2.1.19 SIS'!BF69</f>
        <v>2</v>
      </c>
      <c r="D69" s="385">
        <f>'Source Data'!Q69</f>
        <v>8996.9544990548202</v>
      </c>
      <c r="E69" s="386">
        <f t="shared" si="6"/>
        <v>17993.90899810964</v>
      </c>
      <c r="F69" s="386">
        <f>'Source Data'!G69</f>
        <v>756.79</v>
      </c>
      <c r="G69" s="386">
        <f t="shared" si="7"/>
        <v>1513.58</v>
      </c>
      <c r="H69" s="387">
        <f t="shared" si="8"/>
        <v>19507</v>
      </c>
      <c r="I69" s="136">
        <f>[2]Oct_LSMSA!$G69</f>
        <v>0</v>
      </c>
      <c r="J69" s="136">
        <f>[3]Feb_LSMSA!$G69</f>
        <v>0</v>
      </c>
      <c r="K69" s="140">
        <f t="shared" si="11"/>
        <v>0</v>
      </c>
      <c r="L69" s="387">
        <f t="shared" si="3"/>
        <v>19507</v>
      </c>
      <c r="M69" s="385">
        <f>'[1]5A5_LSMSA'!$J69</f>
        <v>0</v>
      </c>
      <c r="N69" s="139">
        <f t="shared" si="9"/>
        <v>19507</v>
      </c>
      <c r="O69" s="136">
        <f>('[4]5A5_LSMSA'!Q69*6)+('[7]5A5_LSMSA'!Q69*2)</f>
        <v>13006</v>
      </c>
      <c r="P69" s="136">
        <f t="shared" si="10"/>
        <v>6501</v>
      </c>
      <c r="Q69" s="139">
        <f t="shared" si="12"/>
        <v>1625</v>
      </c>
      <c r="R69" s="139">
        <f t="shared" si="13"/>
        <v>19507</v>
      </c>
    </row>
    <row r="70" spans="1:18" ht="15.6" customHeight="1" x14ac:dyDescent="0.2">
      <c r="A70" s="383">
        <v>64</v>
      </c>
      <c r="B70" s="134" t="s">
        <v>67</v>
      </c>
      <c r="C70" s="384">
        <f>'8_2.1.19 SIS'!BF70</f>
        <v>0</v>
      </c>
      <c r="D70" s="385">
        <f>'Source Data'!Q70</f>
        <v>9727.9971906354513</v>
      </c>
      <c r="E70" s="386">
        <f t="shared" si="6"/>
        <v>0</v>
      </c>
      <c r="F70" s="386">
        <f>'Source Data'!G70</f>
        <v>592.66</v>
      </c>
      <c r="G70" s="386">
        <f t="shared" si="7"/>
        <v>0</v>
      </c>
      <c r="H70" s="387">
        <f t="shared" si="8"/>
        <v>0</v>
      </c>
      <c r="I70" s="136">
        <f>[2]Oct_LSMSA!$G70</f>
        <v>0</v>
      </c>
      <c r="J70" s="136">
        <f>[3]Feb_LSMSA!$G70</f>
        <v>0</v>
      </c>
      <c r="K70" s="140">
        <f t="shared" si="11"/>
        <v>0</v>
      </c>
      <c r="L70" s="387">
        <f t="shared" si="3"/>
        <v>0</v>
      </c>
      <c r="M70" s="385">
        <f>'[1]5A5_LSMSA'!$J70</f>
        <v>0</v>
      </c>
      <c r="N70" s="139">
        <f t="shared" si="9"/>
        <v>0</v>
      </c>
      <c r="O70" s="136">
        <f>('[4]5A5_LSMSA'!Q70*6)+('[7]5A5_LSMSA'!Q70*2)</f>
        <v>0</v>
      </c>
      <c r="P70" s="136">
        <f t="shared" si="10"/>
        <v>0</v>
      </c>
      <c r="Q70" s="139">
        <f t="shared" si="12"/>
        <v>0</v>
      </c>
      <c r="R70" s="139">
        <f t="shared" si="13"/>
        <v>0</v>
      </c>
    </row>
    <row r="71" spans="1:18" ht="15.6" customHeight="1" x14ac:dyDescent="0.2">
      <c r="A71" s="388">
        <v>65</v>
      </c>
      <c r="B71" s="148" t="s">
        <v>68</v>
      </c>
      <c r="C71" s="389">
        <f>'8_2.1.19 SIS'!BF71</f>
        <v>4</v>
      </c>
      <c r="D71" s="390">
        <f>'Source Data'!Q71</f>
        <v>9143.4234235368167</v>
      </c>
      <c r="E71" s="391">
        <f t="shared" si="6"/>
        <v>36573.693694147267</v>
      </c>
      <c r="F71" s="391">
        <f>'Source Data'!G71</f>
        <v>829.12</v>
      </c>
      <c r="G71" s="391">
        <f t="shared" si="7"/>
        <v>3316.48</v>
      </c>
      <c r="H71" s="392">
        <f t="shared" si="8"/>
        <v>39890</v>
      </c>
      <c r="I71" s="150">
        <f>[2]Oct_LSMSA!$G71</f>
        <v>-19945</v>
      </c>
      <c r="J71" s="150">
        <f>[3]Feb_LSMSA!$G71</f>
        <v>0</v>
      </c>
      <c r="K71" s="154">
        <f>I71+J71</f>
        <v>-19945</v>
      </c>
      <c r="L71" s="392">
        <f>K71+H71</f>
        <v>19945</v>
      </c>
      <c r="M71" s="390">
        <f>'[1]5A5_LSMSA'!$J71</f>
        <v>0</v>
      </c>
      <c r="N71" s="153">
        <f t="shared" si="9"/>
        <v>19945</v>
      </c>
      <c r="O71" s="156">
        <f>('[4]5A5_LSMSA'!Q71*6)+('[7]5A5_LSMSA'!Q71*2)</f>
        <v>26592</v>
      </c>
      <c r="P71" s="150">
        <f t="shared" si="10"/>
        <v>-6647</v>
      </c>
      <c r="Q71" s="157">
        <f>ROUND(P71/$Q$86,0)</f>
        <v>-1662</v>
      </c>
      <c r="R71" s="153">
        <f t="shared" si="13"/>
        <v>19945</v>
      </c>
    </row>
    <row r="72" spans="1:18" ht="15.6" customHeight="1" x14ac:dyDescent="0.2">
      <c r="A72" s="383">
        <v>66</v>
      </c>
      <c r="B72" s="134" t="s">
        <v>69</v>
      </c>
      <c r="C72" s="393">
        <f>'8_2.1.19 SIS'!BF72</f>
        <v>0</v>
      </c>
      <c r="D72" s="394">
        <f>'Source Data'!Q72</f>
        <v>11075.208361344539</v>
      </c>
      <c r="E72" s="395">
        <f>C72*D72</f>
        <v>0</v>
      </c>
      <c r="F72" s="395">
        <f>'Source Data'!G72</f>
        <v>730.06</v>
      </c>
      <c r="G72" s="395">
        <f>C72*F72</f>
        <v>0</v>
      </c>
      <c r="H72" s="396">
        <f>ROUND(E72+G72,0)</f>
        <v>0</v>
      </c>
      <c r="I72" s="397">
        <f>[2]Oct_LSMSA!$G72</f>
        <v>0</v>
      </c>
      <c r="J72" s="397">
        <f>[3]Feb_LSMSA!$G72</f>
        <v>0</v>
      </c>
      <c r="K72" s="398">
        <f>I72+J72</f>
        <v>0</v>
      </c>
      <c r="L72" s="396">
        <f>K72+H72</f>
        <v>0</v>
      </c>
      <c r="M72" s="394">
        <f>'[1]5A5_LSMSA'!$J72</f>
        <v>0</v>
      </c>
      <c r="N72" s="399">
        <f>ROUND(SUM(L72:M72),0)</f>
        <v>0</v>
      </c>
      <c r="O72" s="136">
        <f>('[4]5A5_LSMSA'!Q72*6)+('[7]5A5_LSMSA'!Q72*2)</f>
        <v>0</v>
      </c>
      <c r="P72" s="397">
        <f>N72-O72</f>
        <v>0</v>
      </c>
      <c r="Q72" s="139">
        <f>ROUND(P72/$Q$86,0)</f>
        <v>0</v>
      </c>
      <c r="R72" s="399">
        <f t="shared" si="13"/>
        <v>0</v>
      </c>
    </row>
    <row r="73" spans="1:18" ht="15.6" customHeight="1" x14ac:dyDescent="0.2">
      <c r="A73" s="383">
        <v>67</v>
      </c>
      <c r="B73" s="134" t="s">
        <v>2</v>
      </c>
      <c r="C73" s="393">
        <f>'8_2.1.19 SIS'!BF73</f>
        <v>8</v>
      </c>
      <c r="D73" s="394">
        <f>'Source Data'!Q73</f>
        <v>8660.052680412371</v>
      </c>
      <c r="E73" s="395">
        <f>C73*D73</f>
        <v>69280.421443298968</v>
      </c>
      <c r="F73" s="395">
        <f>'Source Data'!G73</f>
        <v>715.61</v>
      </c>
      <c r="G73" s="395">
        <f>C73*F73</f>
        <v>5724.88</v>
      </c>
      <c r="H73" s="396">
        <f>ROUND(E73+G73,0)</f>
        <v>75005</v>
      </c>
      <c r="I73" s="397">
        <f>[2]Oct_LSMSA!$G73</f>
        <v>-18751</v>
      </c>
      <c r="J73" s="397">
        <f>[3]Feb_LSMSA!$G73</f>
        <v>0</v>
      </c>
      <c r="K73" s="398">
        <f>I73+J73</f>
        <v>-18751</v>
      </c>
      <c r="L73" s="396">
        <f>K73+H73</f>
        <v>56254</v>
      </c>
      <c r="M73" s="394">
        <f>'[1]5A5_LSMSA'!$J73</f>
        <v>0</v>
      </c>
      <c r="N73" s="399">
        <f>ROUND(SUM(L73:M73),0)</f>
        <v>56254</v>
      </c>
      <c r="O73" s="136">
        <f>('[4]5A5_LSMSA'!Q73*6)+('[7]5A5_LSMSA'!Q73*2)</f>
        <v>50002</v>
      </c>
      <c r="P73" s="397">
        <f>N73-O73</f>
        <v>6252</v>
      </c>
      <c r="Q73" s="139">
        <f>ROUND(P73/$Q$86,0)</f>
        <v>1563</v>
      </c>
      <c r="R73" s="399">
        <f t="shared" si="13"/>
        <v>56254</v>
      </c>
    </row>
    <row r="74" spans="1:18" ht="15.6" customHeight="1" x14ac:dyDescent="0.2">
      <c r="A74" s="383">
        <v>68</v>
      </c>
      <c r="B74" s="134" t="s">
        <v>1</v>
      </c>
      <c r="C74" s="393">
        <f>'8_2.1.19 SIS'!BF74</f>
        <v>0</v>
      </c>
      <c r="D74" s="394">
        <f>'Source Data'!Q74</f>
        <v>9631.6081267217633</v>
      </c>
      <c r="E74" s="395">
        <f>C74*D74</f>
        <v>0</v>
      </c>
      <c r="F74" s="395">
        <f>'Source Data'!G74</f>
        <v>798.7</v>
      </c>
      <c r="G74" s="395">
        <f>C74*F74</f>
        <v>0</v>
      </c>
      <c r="H74" s="396">
        <f>ROUND(E74+G74,0)</f>
        <v>0</v>
      </c>
      <c r="I74" s="397">
        <f>[2]Oct_LSMSA!$G74</f>
        <v>0</v>
      </c>
      <c r="J74" s="397">
        <f>[3]Feb_LSMSA!$G74</f>
        <v>0</v>
      </c>
      <c r="K74" s="398">
        <f>I74+J74</f>
        <v>0</v>
      </c>
      <c r="L74" s="396">
        <f>K74+H74</f>
        <v>0</v>
      </c>
      <c r="M74" s="394">
        <f>'[1]5A5_LSMSA'!$J74</f>
        <v>0</v>
      </c>
      <c r="N74" s="399">
        <f>ROUND(SUM(L74:M74),0)</f>
        <v>0</v>
      </c>
      <c r="O74" s="136">
        <f>('[4]5A5_LSMSA'!Q74*6)+('[7]5A5_LSMSA'!Q74*2)</f>
        <v>0</v>
      </c>
      <c r="P74" s="397">
        <f>N74-O74</f>
        <v>0</v>
      </c>
      <c r="Q74" s="139">
        <f>ROUND(P74/$Q$86,0)</f>
        <v>0</v>
      </c>
      <c r="R74" s="399">
        <f t="shared" si="13"/>
        <v>0</v>
      </c>
    </row>
    <row r="75" spans="1:18" ht="15.6" customHeight="1" x14ac:dyDescent="0.2">
      <c r="A75" s="400">
        <v>69</v>
      </c>
      <c r="B75" s="401" t="s">
        <v>74</v>
      </c>
      <c r="C75" s="402">
        <f>'8_2.1.19 SIS'!BF75</f>
        <v>1</v>
      </c>
      <c r="D75" s="403">
        <f>'Source Data'!Q75</f>
        <v>8983.2278574459051</v>
      </c>
      <c r="E75" s="404">
        <f>C75*D75</f>
        <v>8983.2278574459051</v>
      </c>
      <c r="F75" s="404">
        <f>'Source Data'!G75</f>
        <v>705.67</v>
      </c>
      <c r="G75" s="404">
        <f>C75*F75</f>
        <v>705.67</v>
      </c>
      <c r="H75" s="405">
        <f>ROUND(E75+G75,0)</f>
        <v>9689</v>
      </c>
      <c r="I75" s="406">
        <f>[2]Oct_LSMSA!$G75</f>
        <v>19378</v>
      </c>
      <c r="J75" s="406">
        <f>[3]Feb_LSMSA!$G75</f>
        <v>0</v>
      </c>
      <c r="K75" s="407">
        <f>I75+J75</f>
        <v>19378</v>
      </c>
      <c r="L75" s="405">
        <f>K75+H75</f>
        <v>29067</v>
      </c>
      <c r="M75" s="403">
        <f>'[1]5A5_LSMSA'!$J75</f>
        <v>0</v>
      </c>
      <c r="N75" s="408">
        <f>ROUND(SUM(L75:M75),0)</f>
        <v>29067</v>
      </c>
      <c r="O75" s="409">
        <f>('[4]5A5_LSMSA'!Q75*6)+('[7]5A5_LSMSA'!Q75*2)</f>
        <v>6458</v>
      </c>
      <c r="P75" s="406">
        <f>N75-O75</f>
        <v>22609</v>
      </c>
      <c r="Q75" s="410">
        <f>ROUND(P75/$Q$86,0)</f>
        <v>5652</v>
      </c>
      <c r="R75" s="408">
        <f t="shared" si="13"/>
        <v>29067</v>
      </c>
    </row>
    <row r="76" spans="1:18" s="30" customFormat="1" ht="15.6" customHeight="1" thickBot="1" x14ac:dyDescent="0.25">
      <c r="A76" s="1408" t="s">
        <v>397</v>
      </c>
      <c r="B76" s="1409"/>
      <c r="C76" s="411">
        <f>SUM(C7:C75)</f>
        <v>345</v>
      </c>
      <c r="D76" s="412">
        <f>'Source Data'!Q76</f>
        <v>8521.3829481652883</v>
      </c>
      <c r="E76" s="413">
        <f>SUM(E7:E75)</f>
        <v>2951170.7765000719</v>
      </c>
      <c r="F76" s="413">
        <f>'Source Data'!G76</f>
        <v>706.16</v>
      </c>
      <c r="G76" s="413">
        <f t="shared" ref="G76:O76" si="14">SUM(G7:G75)</f>
        <v>233554.92999999996</v>
      </c>
      <c r="H76" s="414">
        <f t="shared" si="14"/>
        <v>3184726</v>
      </c>
      <c r="I76" s="415">
        <f t="shared" si="14"/>
        <v>117421</v>
      </c>
      <c r="J76" s="415">
        <f>SUM(J7:J75)</f>
        <v>-130222</v>
      </c>
      <c r="K76" s="416">
        <f t="shared" si="14"/>
        <v>-12801</v>
      </c>
      <c r="L76" s="417">
        <f>SUM(L7:L75)</f>
        <v>3171925</v>
      </c>
      <c r="M76" s="418">
        <f t="shared" si="14"/>
        <v>0</v>
      </c>
      <c r="N76" s="414">
        <f t="shared" si="14"/>
        <v>3171925</v>
      </c>
      <c r="O76" s="418">
        <f t="shared" si="14"/>
        <v>2123172</v>
      </c>
      <c r="P76" s="418">
        <f>SUM(P7:P75)</f>
        <v>1048753</v>
      </c>
      <c r="Q76" s="419">
        <f>SUM(Q7:Q75)</f>
        <v>262192</v>
      </c>
      <c r="R76" s="414">
        <f>SUM(R7:R75)</f>
        <v>3171925</v>
      </c>
    </row>
    <row r="77" spans="1:18" s="30" customFormat="1" ht="15.6" customHeight="1" thickTop="1" x14ac:dyDescent="0.2">
      <c r="A77" s="1454" t="s">
        <v>1273</v>
      </c>
      <c r="B77" s="1455"/>
      <c r="C77" s="970"/>
      <c r="D77" s="971"/>
      <c r="E77" s="971"/>
      <c r="F77" s="971"/>
      <c r="G77" s="971"/>
      <c r="H77" s="972">
        <v>68429</v>
      </c>
      <c r="I77" s="973"/>
      <c r="J77" s="973"/>
      <c r="K77" s="973"/>
      <c r="L77" s="972">
        <f>K77+H77</f>
        <v>68429</v>
      </c>
      <c r="M77" s="971"/>
      <c r="N77" s="974">
        <f>ROUND(SUM(L77:M77),0)</f>
        <v>68429</v>
      </c>
      <c r="O77" s="975">
        <f>('[4]5A5_LSMSA'!Q77*6)+('[7]5A5_LSMSA'!Q77*2)</f>
        <v>43726</v>
      </c>
      <c r="P77" s="973">
        <f>N77-O77</f>
        <v>24703</v>
      </c>
      <c r="Q77" s="976">
        <f>ROUND(P77/$Q$86,0)</f>
        <v>6176</v>
      </c>
      <c r="R77" s="974">
        <f>N77</f>
        <v>68429</v>
      </c>
    </row>
    <row r="78" spans="1:18" ht="15.6" customHeight="1" x14ac:dyDescent="0.2">
      <c r="A78" s="1429" t="s">
        <v>357</v>
      </c>
      <c r="B78" s="1462"/>
      <c r="C78" s="969"/>
      <c r="D78" s="421"/>
      <c r="E78" s="421"/>
      <c r="F78" s="421"/>
      <c r="G78" s="421"/>
      <c r="H78" s="421"/>
      <c r="I78" s="423"/>
      <c r="J78" s="423"/>
      <c r="K78" s="423"/>
      <c r="L78" s="423"/>
      <c r="M78" s="423"/>
      <c r="N78" s="791"/>
      <c r="O78" s="791"/>
      <c r="P78" s="790"/>
      <c r="Q78" s="791"/>
      <c r="R78" s="791"/>
    </row>
    <row r="79" spans="1:18" ht="15.6" customHeight="1" x14ac:dyDescent="0.2">
      <c r="A79" s="1427" t="s">
        <v>358</v>
      </c>
      <c r="B79" s="1428"/>
      <c r="C79" s="420"/>
      <c r="D79" s="421"/>
      <c r="E79" s="422"/>
      <c r="F79" s="422"/>
      <c r="G79" s="422"/>
      <c r="H79" s="422"/>
      <c r="I79" s="423"/>
      <c r="J79" s="423"/>
      <c r="K79" s="423"/>
      <c r="L79" s="423"/>
      <c r="M79" s="423"/>
      <c r="N79" s="142">
        <v>0</v>
      </c>
      <c r="O79" s="791">
        <f>('[4]5A5_LSMSA'!Q79*6)+('[7]5A5_LSMSA'!Q79*2)</f>
        <v>0</v>
      </c>
      <c r="P79" s="790">
        <f>N79-O79</f>
        <v>0</v>
      </c>
      <c r="Q79" s="142">
        <f>ROUND(P79/$Q$86,0)</f>
        <v>0</v>
      </c>
      <c r="R79" s="142">
        <v>0</v>
      </c>
    </row>
    <row r="80" spans="1:18" ht="15.6" customHeight="1" x14ac:dyDescent="0.2">
      <c r="A80" s="1425" t="s">
        <v>373</v>
      </c>
      <c r="B80" s="1426"/>
      <c r="C80" s="437"/>
      <c r="D80" s="425"/>
      <c r="E80" s="426"/>
      <c r="F80" s="426"/>
      <c r="G80" s="426"/>
      <c r="H80" s="426"/>
      <c r="I80" s="427"/>
      <c r="J80" s="427"/>
      <c r="K80" s="427"/>
      <c r="L80" s="427"/>
      <c r="M80" s="427"/>
      <c r="N80" s="793"/>
      <c r="O80" s="791"/>
      <c r="P80" s="790"/>
      <c r="Q80" s="793"/>
      <c r="R80" s="142">
        <v>0</v>
      </c>
    </row>
    <row r="81" spans="1:18" ht="15.6" customHeight="1" x14ac:dyDescent="0.2">
      <c r="A81" s="1437" t="s">
        <v>1368</v>
      </c>
      <c r="B81" s="1438"/>
      <c r="C81" s="424"/>
      <c r="D81" s="425"/>
      <c r="E81" s="426"/>
      <c r="F81" s="426"/>
      <c r="G81" s="426"/>
      <c r="H81" s="426"/>
      <c r="I81" s="427"/>
      <c r="J81" s="427"/>
      <c r="K81" s="427"/>
      <c r="L81" s="427"/>
      <c r="M81" s="427"/>
      <c r="N81" s="791"/>
      <c r="O81" s="791"/>
      <c r="P81" s="790"/>
      <c r="Q81" s="791"/>
      <c r="R81" s="142">
        <v>10000</v>
      </c>
    </row>
    <row r="82" spans="1:18" ht="15.6" customHeight="1" x14ac:dyDescent="0.2">
      <c r="A82" s="1437" t="s">
        <v>372</v>
      </c>
      <c r="B82" s="1438"/>
      <c r="C82" s="424"/>
      <c r="D82" s="425"/>
      <c r="E82" s="426"/>
      <c r="F82" s="426"/>
      <c r="G82" s="426"/>
      <c r="H82" s="426"/>
      <c r="I82" s="427"/>
      <c r="J82" s="427"/>
      <c r="K82" s="427"/>
      <c r="L82" s="427"/>
      <c r="M82" s="427"/>
      <c r="N82" s="793"/>
      <c r="O82" s="791"/>
      <c r="P82" s="790"/>
      <c r="Q82" s="793"/>
      <c r="R82" s="142">
        <v>0</v>
      </c>
    </row>
    <row r="83" spans="1:18" ht="15.6" customHeight="1" x14ac:dyDescent="0.2">
      <c r="A83" s="1435" t="s">
        <v>253</v>
      </c>
      <c r="B83" s="1436"/>
      <c r="C83" s="428"/>
      <c r="D83" s="429"/>
      <c r="E83" s="430"/>
      <c r="F83" s="430"/>
      <c r="G83" s="430"/>
      <c r="H83" s="430"/>
      <c r="I83" s="431"/>
      <c r="J83" s="431"/>
      <c r="K83" s="431"/>
      <c r="L83" s="431"/>
      <c r="M83" s="431"/>
      <c r="N83" s="157">
        <v>20355</v>
      </c>
      <c r="O83" s="156">
        <f>('[4]5A5_LSMSA'!Q83*6)+('[7]5A5_LSMSA'!Q83*2)</f>
        <v>13570</v>
      </c>
      <c r="P83" s="795">
        <f>N83-O83</f>
        <v>6785</v>
      </c>
      <c r="Q83" s="157">
        <f>ROUND(P83/$Q$86,0)</f>
        <v>1696</v>
      </c>
      <c r="R83" s="157">
        <v>20355</v>
      </c>
    </row>
    <row r="84" spans="1:18" s="30" customFormat="1" ht="15.6" customHeight="1" thickBot="1" x14ac:dyDescent="0.25">
      <c r="A84" s="1408" t="s">
        <v>398</v>
      </c>
      <c r="B84" s="1461"/>
      <c r="C84" s="411">
        <f>SUM(C76:C83)</f>
        <v>345</v>
      </c>
      <c r="D84" s="412">
        <f>D76</f>
        <v>8521.3829481652883</v>
      </c>
      <c r="E84" s="413">
        <f t="shared" ref="E84:R84" si="15">SUM(E76:E83)</f>
        <v>2951170.7765000719</v>
      </c>
      <c r="F84" s="413">
        <f>F76</f>
        <v>706.16</v>
      </c>
      <c r="G84" s="413">
        <f t="shared" si="15"/>
        <v>233554.92999999996</v>
      </c>
      <c r="H84" s="414">
        <f t="shared" si="15"/>
        <v>3253155</v>
      </c>
      <c r="I84" s="415">
        <f t="shared" si="15"/>
        <v>117421</v>
      </c>
      <c r="J84" s="415">
        <f t="shared" si="15"/>
        <v>-130222</v>
      </c>
      <c r="K84" s="416">
        <f t="shared" si="15"/>
        <v>-12801</v>
      </c>
      <c r="L84" s="417">
        <f t="shared" si="15"/>
        <v>3240354</v>
      </c>
      <c r="M84" s="432">
        <f t="shared" si="15"/>
        <v>0</v>
      </c>
      <c r="N84" s="414">
        <f t="shared" si="15"/>
        <v>3260709</v>
      </c>
      <c r="O84" s="418">
        <f t="shared" si="15"/>
        <v>2180468</v>
      </c>
      <c r="P84" s="418">
        <f t="shared" si="15"/>
        <v>1080241</v>
      </c>
      <c r="Q84" s="419">
        <f t="shared" si="15"/>
        <v>270064</v>
      </c>
      <c r="R84" s="414">
        <f t="shared" si="15"/>
        <v>3270709</v>
      </c>
    </row>
    <row r="85" spans="1:18" ht="13.5" thickTop="1" x14ac:dyDescent="0.2"/>
    <row r="86" spans="1:18" x14ac:dyDescent="0.2">
      <c r="G86" s="885"/>
      <c r="O86" s="344"/>
      <c r="Q86" s="7">
        <v>4</v>
      </c>
    </row>
    <row r="87" spans="1:18" x14ac:dyDescent="0.2">
      <c r="C87" s="496"/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6"/>
      <c r="O87" s="496"/>
      <c r="P87" s="496"/>
      <c r="Q87" s="496"/>
      <c r="R87" s="4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March 2020&amp;R&amp;"Arial,Bold"&amp;12&amp;KFF0000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N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.42578125" style="7" bestFit="1" customWidth="1"/>
    <col min="2" max="2" width="18.28515625" style="7" customWidth="1"/>
    <col min="3" max="3" width="16.140625" style="7" customWidth="1"/>
    <col min="4" max="9" width="14" style="7" customWidth="1"/>
    <col min="10" max="33" width="13.7109375" style="7" customWidth="1"/>
    <col min="34" max="38" width="14" style="7" customWidth="1"/>
    <col min="39" max="40" width="16.42578125" style="7" customWidth="1"/>
    <col min="41" max="16384" width="8.85546875" style="7"/>
  </cols>
  <sheetData>
    <row r="1" spans="1:40" ht="19.5" customHeight="1" x14ac:dyDescent="0.2">
      <c r="A1" s="1300" t="s">
        <v>79</v>
      </c>
      <c r="B1" s="1300"/>
      <c r="C1" s="1290" t="s">
        <v>1079</v>
      </c>
      <c r="D1" s="1301" t="s">
        <v>450</v>
      </c>
      <c r="E1" s="1301"/>
      <c r="F1" s="1301"/>
      <c r="G1" s="1301"/>
      <c r="H1" s="1301"/>
      <c r="I1" s="1301"/>
      <c r="J1" s="1301" t="s">
        <v>450</v>
      </c>
      <c r="K1" s="1301"/>
      <c r="L1" s="1301"/>
      <c r="M1" s="1301"/>
      <c r="N1" s="1301"/>
      <c r="O1" s="1301"/>
      <c r="P1" s="1301"/>
      <c r="Q1" s="1301"/>
      <c r="R1" s="1301" t="s">
        <v>450</v>
      </c>
      <c r="S1" s="1301"/>
      <c r="T1" s="1301"/>
      <c r="U1" s="1301"/>
      <c r="V1" s="1301"/>
      <c r="W1" s="1301"/>
      <c r="X1" s="1301"/>
      <c r="Y1" s="1301"/>
      <c r="Z1" s="1301" t="s">
        <v>450</v>
      </c>
      <c r="AA1" s="1301"/>
      <c r="AB1" s="1301"/>
      <c r="AC1" s="1301"/>
      <c r="AD1" s="1301"/>
      <c r="AE1" s="1301"/>
      <c r="AF1" s="1301"/>
      <c r="AG1" s="1301"/>
      <c r="AH1" s="1301" t="s">
        <v>450</v>
      </c>
      <c r="AI1" s="1301"/>
      <c r="AJ1" s="1301"/>
      <c r="AK1" s="1301"/>
      <c r="AL1" s="1301"/>
      <c r="AM1" s="1301"/>
      <c r="AN1" s="1299" t="s">
        <v>443</v>
      </c>
    </row>
    <row r="2" spans="1:40" ht="96.75" customHeight="1" x14ac:dyDescent="0.2">
      <c r="A2" s="1300"/>
      <c r="B2" s="1300"/>
      <c r="C2" s="1290"/>
      <c r="D2" s="595" t="s">
        <v>446</v>
      </c>
      <c r="E2" s="595" t="s">
        <v>1323</v>
      </c>
      <c r="F2" s="596" t="s">
        <v>1222</v>
      </c>
      <c r="G2" s="596" t="s">
        <v>1223</v>
      </c>
      <c r="H2" s="596" t="s">
        <v>1224</v>
      </c>
      <c r="I2" s="596" t="s">
        <v>1225</v>
      </c>
      <c r="J2" s="596" t="s">
        <v>1226</v>
      </c>
      <c r="K2" s="596" t="s">
        <v>1227</v>
      </c>
      <c r="L2" s="596" t="s">
        <v>1228</v>
      </c>
      <c r="M2" s="596" t="s">
        <v>1229</v>
      </c>
      <c r="N2" s="596" t="s">
        <v>1230</v>
      </c>
      <c r="O2" s="596" t="s">
        <v>1231</v>
      </c>
      <c r="P2" s="596" t="s">
        <v>1232</v>
      </c>
      <c r="Q2" s="596" t="s">
        <v>1233</v>
      </c>
      <c r="R2" s="596" t="s">
        <v>1234</v>
      </c>
      <c r="S2" s="596" t="s">
        <v>1235</v>
      </c>
      <c r="T2" s="596" t="s">
        <v>1236</v>
      </c>
      <c r="U2" s="596" t="s">
        <v>1237</v>
      </c>
      <c r="V2" s="596" t="s">
        <v>1238</v>
      </c>
      <c r="W2" s="596" t="s">
        <v>1239</v>
      </c>
      <c r="X2" s="596" t="s">
        <v>1240</v>
      </c>
      <c r="Y2" s="596" t="s">
        <v>1241</v>
      </c>
      <c r="Z2" s="595" t="s">
        <v>1242</v>
      </c>
      <c r="AA2" s="595" t="s">
        <v>1243</v>
      </c>
      <c r="AB2" s="595" t="s">
        <v>1244</v>
      </c>
      <c r="AC2" s="595" t="s">
        <v>1245</v>
      </c>
      <c r="AD2" s="595" t="s">
        <v>1246</v>
      </c>
      <c r="AE2" s="595" t="s">
        <v>1247</v>
      </c>
      <c r="AF2" s="595" t="s">
        <v>1248</v>
      </c>
      <c r="AG2" s="595" t="s">
        <v>1249</v>
      </c>
      <c r="AH2" s="595" t="s">
        <v>1250</v>
      </c>
      <c r="AI2" s="1128" t="s">
        <v>1386</v>
      </c>
      <c r="AJ2" s="1128" t="s">
        <v>1387</v>
      </c>
      <c r="AK2" s="596" t="s">
        <v>1251</v>
      </c>
      <c r="AL2" s="596" t="s">
        <v>1252</v>
      </c>
      <c r="AM2" s="595" t="s">
        <v>447</v>
      </c>
      <c r="AN2" s="1299"/>
    </row>
    <row r="3" spans="1:40" hidden="1" x14ac:dyDescent="0.2">
      <c r="A3" s="527"/>
      <c r="B3" s="527"/>
      <c r="C3" s="528"/>
      <c r="D3" s="539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539"/>
      <c r="AA3" s="539"/>
      <c r="AB3" s="539"/>
      <c r="AC3" s="539"/>
      <c r="AD3" s="539"/>
      <c r="AE3" s="539"/>
      <c r="AF3" s="539"/>
      <c r="AG3" s="595"/>
      <c r="AH3" s="595"/>
      <c r="AI3" s="1128"/>
      <c r="AJ3" s="1128"/>
      <c r="AK3" s="252"/>
      <c r="AL3" s="252"/>
      <c r="AM3" s="539"/>
      <c r="AN3" s="529"/>
    </row>
    <row r="4" spans="1:40" s="13" customFormat="1" x14ac:dyDescent="0.2">
      <c r="A4" s="2"/>
      <c r="B4" s="3"/>
      <c r="C4" s="1062">
        <v>1</v>
      </c>
      <c r="D4" s="1062">
        <f t="shared" ref="D4:AN4" si="0">C4+1</f>
        <v>2</v>
      </c>
      <c r="E4" s="1062">
        <f t="shared" si="0"/>
        <v>3</v>
      </c>
      <c r="F4" s="1062">
        <f t="shared" si="0"/>
        <v>4</v>
      </c>
      <c r="G4" s="1062">
        <f t="shared" si="0"/>
        <v>5</v>
      </c>
      <c r="H4" s="1062">
        <f t="shared" si="0"/>
        <v>6</v>
      </c>
      <c r="I4" s="1062">
        <f t="shared" si="0"/>
        <v>7</v>
      </c>
      <c r="J4" s="1062">
        <f t="shared" si="0"/>
        <v>8</v>
      </c>
      <c r="K4" s="1062">
        <f t="shared" si="0"/>
        <v>9</v>
      </c>
      <c r="L4" s="1062">
        <f t="shared" si="0"/>
        <v>10</v>
      </c>
      <c r="M4" s="1062">
        <f t="shared" si="0"/>
        <v>11</v>
      </c>
      <c r="N4" s="1062">
        <f t="shared" si="0"/>
        <v>12</v>
      </c>
      <c r="O4" s="1062">
        <f t="shared" si="0"/>
        <v>13</v>
      </c>
      <c r="P4" s="1062">
        <f t="shared" si="0"/>
        <v>14</v>
      </c>
      <c r="Q4" s="1062">
        <f t="shared" si="0"/>
        <v>15</v>
      </c>
      <c r="R4" s="1062">
        <f t="shared" si="0"/>
        <v>16</v>
      </c>
      <c r="S4" s="1062">
        <f t="shared" si="0"/>
        <v>17</v>
      </c>
      <c r="T4" s="1062">
        <f t="shared" si="0"/>
        <v>18</v>
      </c>
      <c r="U4" s="1062">
        <f t="shared" si="0"/>
        <v>19</v>
      </c>
      <c r="V4" s="1062">
        <f t="shared" si="0"/>
        <v>20</v>
      </c>
      <c r="W4" s="1062">
        <f t="shared" si="0"/>
        <v>21</v>
      </c>
      <c r="X4" s="1062">
        <f t="shared" si="0"/>
        <v>22</v>
      </c>
      <c r="Y4" s="1062">
        <f t="shared" si="0"/>
        <v>23</v>
      </c>
      <c r="Z4" s="1062">
        <f t="shared" si="0"/>
        <v>24</v>
      </c>
      <c r="AA4" s="1062">
        <f t="shared" si="0"/>
        <v>25</v>
      </c>
      <c r="AB4" s="1062">
        <f t="shared" ref="AB4:AK4" si="1">AA4+1</f>
        <v>26</v>
      </c>
      <c r="AC4" s="1062">
        <f t="shared" si="1"/>
        <v>27</v>
      </c>
      <c r="AD4" s="1062">
        <f t="shared" si="1"/>
        <v>28</v>
      </c>
      <c r="AE4" s="1062">
        <f t="shared" si="1"/>
        <v>29</v>
      </c>
      <c r="AF4" s="1062">
        <f t="shared" si="1"/>
        <v>30</v>
      </c>
      <c r="AG4" s="1062">
        <f t="shared" si="1"/>
        <v>31</v>
      </c>
      <c r="AH4" s="1062">
        <f t="shared" si="1"/>
        <v>32</v>
      </c>
      <c r="AI4" s="1062">
        <f t="shared" si="1"/>
        <v>33</v>
      </c>
      <c r="AJ4" s="1062">
        <f t="shared" si="1"/>
        <v>34</v>
      </c>
      <c r="AK4" s="1062">
        <f t="shared" si="1"/>
        <v>35</v>
      </c>
      <c r="AL4" s="1062">
        <f t="shared" si="0"/>
        <v>36</v>
      </c>
      <c r="AM4" s="1062">
        <f t="shared" si="0"/>
        <v>37</v>
      </c>
      <c r="AN4" s="1062">
        <f t="shared" si="0"/>
        <v>38</v>
      </c>
    </row>
    <row r="5" spans="1:40" s="600" customFormat="1" ht="11.25" hidden="1" x14ac:dyDescent="0.2">
      <c r="A5" s="597"/>
      <c r="B5" s="597"/>
      <c r="C5" s="1068" t="s">
        <v>603</v>
      </c>
      <c r="D5" s="1063" t="s">
        <v>603</v>
      </c>
      <c r="E5" s="1063" t="s">
        <v>603</v>
      </c>
      <c r="F5" s="1063" t="s">
        <v>603</v>
      </c>
      <c r="G5" s="1063" t="s">
        <v>603</v>
      </c>
      <c r="H5" s="1063" t="s">
        <v>603</v>
      </c>
      <c r="I5" s="1063" t="s">
        <v>603</v>
      </c>
      <c r="J5" s="1063" t="s">
        <v>603</v>
      </c>
      <c r="K5" s="1063" t="s">
        <v>603</v>
      </c>
      <c r="L5" s="1063" t="s">
        <v>603</v>
      </c>
      <c r="M5" s="1063" t="s">
        <v>603</v>
      </c>
      <c r="N5" s="1063" t="s">
        <v>603</v>
      </c>
      <c r="O5" s="1063" t="s">
        <v>603</v>
      </c>
      <c r="P5" s="1063" t="s">
        <v>603</v>
      </c>
      <c r="Q5" s="1063" t="s">
        <v>603</v>
      </c>
      <c r="R5" s="1063" t="s">
        <v>603</v>
      </c>
      <c r="S5" s="1063" t="s">
        <v>603</v>
      </c>
      <c r="T5" s="1063" t="s">
        <v>603</v>
      </c>
      <c r="U5" s="1063" t="s">
        <v>603</v>
      </c>
      <c r="V5" s="1063" t="s">
        <v>603</v>
      </c>
      <c r="W5" s="1063" t="s">
        <v>603</v>
      </c>
      <c r="X5" s="1063" t="s">
        <v>603</v>
      </c>
      <c r="Y5" s="1063" t="s">
        <v>603</v>
      </c>
      <c r="Z5" s="1063" t="s">
        <v>603</v>
      </c>
      <c r="AA5" s="1063" t="s">
        <v>603</v>
      </c>
      <c r="AB5" s="1063" t="s">
        <v>603</v>
      </c>
      <c r="AC5" s="1063" t="s">
        <v>603</v>
      </c>
      <c r="AD5" s="1063" t="s">
        <v>603</v>
      </c>
      <c r="AE5" s="1063" t="s">
        <v>603</v>
      </c>
      <c r="AF5" s="1063" t="s">
        <v>603</v>
      </c>
      <c r="AG5" s="1063" t="s">
        <v>603</v>
      </c>
      <c r="AH5" s="1063" t="s">
        <v>603</v>
      </c>
      <c r="AI5" s="1129" t="s">
        <v>603</v>
      </c>
      <c r="AJ5" s="1129" t="s">
        <v>603</v>
      </c>
      <c r="AK5" s="1063" t="s">
        <v>603</v>
      </c>
      <c r="AL5" s="1063" t="s">
        <v>603</v>
      </c>
      <c r="AM5" s="1068" t="s">
        <v>604</v>
      </c>
      <c r="AN5" s="1063" t="s">
        <v>604</v>
      </c>
    </row>
    <row r="6" spans="1:40" s="600" customFormat="1" ht="22.5" x14ac:dyDescent="0.2">
      <c r="A6" s="597"/>
      <c r="B6" s="597"/>
      <c r="C6" s="1068" t="s">
        <v>1336</v>
      </c>
      <c r="D6" s="1063" t="s">
        <v>742</v>
      </c>
      <c r="E6" s="1063" t="s">
        <v>1324</v>
      </c>
      <c r="F6" s="1063" t="s">
        <v>745</v>
      </c>
      <c r="G6" s="1063" t="s">
        <v>746</v>
      </c>
      <c r="H6" s="1063" t="s">
        <v>747</v>
      </c>
      <c r="I6" s="1063" t="s">
        <v>748</v>
      </c>
      <c r="J6" s="1063" t="s">
        <v>749</v>
      </c>
      <c r="K6" s="1063" t="s">
        <v>750</v>
      </c>
      <c r="L6" s="1063" t="s">
        <v>751</v>
      </c>
      <c r="M6" s="1063" t="s">
        <v>752</v>
      </c>
      <c r="N6" s="1063" t="s">
        <v>753</v>
      </c>
      <c r="O6" s="1063" t="s">
        <v>754</v>
      </c>
      <c r="P6" s="1063" t="s">
        <v>755</v>
      </c>
      <c r="Q6" s="1063" t="s">
        <v>756</v>
      </c>
      <c r="R6" s="1063" t="s">
        <v>757</v>
      </c>
      <c r="S6" s="1063" t="s">
        <v>758</v>
      </c>
      <c r="T6" s="1063" t="s">
        <v>759</v>
      </c>
      <c r="U6" s="1063" t="s">
        <v>760</v>
      </c>
      <c r="V6" s="1063" t="s">
        <v>761</v>
      </c>
      <c r="W6" s="1063" t="s">
        <v>762</v>
      </c>
      <c r="X6" s="1063" t="s">
        <v>763</v>
      </c>
      <c r="Y6" s="1063" t="s">
        <v>764</v>
      </c>
      <c r="Z6" s="1063" t="s">
        <v>765</v>
      </c>
      <c r="AA6" s="1063" t="s">
        <v>766</v>
      </c>
      <c r="AB6" s="1063" t="s">
        <v>767</v>
      </c>
      <c r="AC6" s="1063" t="s">
        <v>768</v>
      </c>
      <c r="AD6" s="1063" t="s">
        <v>769</v>
      </c>
      <c r="AE6" s="1063" t="s">
        <v>770</v>
      </c>
      <c r="AF6" s="1063" t="s">
        <v>771</v>
      </c>
      <c r="AG6" s="1063" t="s">
        <v>924</v>
      </c>
      <c r="AH6" s="1063" t="s">
        <v>925</v>
      </c>
      <c r="AI6" s="1130" t="s">
        <v>1330</v>
      </c>
      <c r="AJ6" s="1130" t="s">
        <v>1331</v>
      </c>
      <c r="AK6" s="1063" t="s">
        <v>743</v>
      </c>
      <c r="AL6" s="1063" t="s">
        <v>744</v>
      </c>
      <c r="AM6" s="1068" t="s">
        <v>1423</v>
      </c>
      <c r="AN6" s="1063" t="s">
        <v>1424</v>
      </c>
    </row>
    <row r="7" spans="1:40" ht="15.6" customHeight="1" x14ac:dyDescent="0.2">
      <c r="A7" s="347">
        <v>1</v>
      </c>
      <c r="B7" s="348" t="s">
        <v>5</v>
      </c>
      <c r="C7" s="349">
        <f>'2_State Distrib and Adjs'!BD7</f>
        <v>55983840</v>
      </c>
      <c r="D7" s="349">
        <f>-'5A3_OJJ'!P7</f>
        <v>-3523</v>
      </c>
      <c r="E7" s="349"/>
      <c r="F7" s="349">
        <f>-('5C1A_Madison'!AL7+'5C1A_Madison'!AO7)</f>
        <v>0</v>
      </c>
      <c r="G7" s="349">
        <f>-('5C1B_DArbonne'!AL7+'5C1B_DArbonne'!AO7)</f>
        <v>0</v>
      </c>
      <c r="H7" s="349">
        <f>-('5C1C_Intl High'!AL7+'5C1C_Intl High'!AO7)</f>
        <v>0</v>
      </c>
      <c r="I7" s="349">
        <f>-('5C1D_NOMMA'!AL7+'5C1D_NOMMA'!AO7)</f>
        <v>0</v>
      </c>
      <c r="J7" s="349">
        <f>-('5C1E_LFNO'!AL7+'5C1E_LFNO'!AO7)</f>
        <v>0</v>
      </c>
      <c r="K7" s="349">
        <f>-('5C1F_L.C. Charter'!AL7+'5C1F_L.C. Charter'!AO7)</f>
        <v>0</v>
      </c>
      <c r="L7" s="349">
        <f>-('5C1G_JS Clark'!AL7+'5C1G_JS Clark'!AO7)</f>
        <v>0</v>
      </c>
      <c r="M7" s="349">
        <f>-('5C1H_Southwest'!AL7+'5C1H_Southwest'!AO7)</f>
        <v>0</v>
      </c>
      <c r="N7" s="349">
        <f>-('5C1I_LA Key'!AL7+'5C1I_LA Key'!AO7)</f>
        <v>0</v>
      </c>
      <c r="O7" s="349">
        <f>-('5C1J_JCFA-East'!AL7+'5C1J_JCFA-East'!AO7)</f>
        <v>0</v>
      </c>
      <c r="P7" s="349">
        <f>-('5C1M_GEO Mid'!AL7+'5C1M_GEO Mid'!AO7)</f>
        <v>0</v>
      </c>
      <c r="Q7" s="349">
        <f>-('5C1N_Delta'!AL7+'5C1N_Delta'!AO7)</f>
        <v>0</v>
      </c>
      <c r="R7" s="349">
        <f>-('5C1O_Impact'!AL7+'5C1O_Impact'!AO7)</f>
        <v>0</v>
      </c>
      <c r="S7" s="349">
        <f>-('5C1Q_Advantage'!AL7+'5C1Q_Advantage'!AO7)</f>
        <v>0</v>
      </c>
      <c r="T7" s="349">
        <f>-('5C1R_Iberville'!AL7+'5C1R_Iberville'!AO7)</f>
        <v>0</v>
      </c>
      <c r="U7" s="349">
        <f>-('5C1S_LC Col Prep'!AL7+'5C1S_LC Col Prep'!AO7)</f>
        <v>0</v>
      </c>
      <c r="V7" s="349">
        <f>-('5C1T_Northeast'!AL7+'5C1T_Northeast'!AO7)</f>
        <v>0</v>
      </c>
      <c r="W7" s="349">
        <f>-('5C1U_Acadiana Ren'!AL7+'5C1U_Acadiana Ren'!AO7)</f>
        <v>-2579</v>
      </c>
      <c r="X7" s="349">
        <f>-('5C1V_Laf Ren'!AL7+'5C1V_Laf Ren'!AO7)</f>
        <v>-43795</v>
      </c>
      <c r="Y7" s="349">
        <f>-('5C1W_Willow'!AL7+'5C1W_Willow'!AO7)</f>
        <v>-12895</v>
      </c>
      <c r="Z7" s="349">
        <f>-('5C1Y_GEO'!AL7+'5C1Y_GEO'!AO7)</f>
        <v>0</v>
      </c>
      <c r="AA7" s="350">
        <f>-('5C1Z_Lincoln Prep'!AL7+'5C1Z_Lincoln Prep'!AO7)</f>
        <v>0</v>
      </c>
      <c r="AB7" s="350">
        <f>-('5C1AD_Greater'!$AL7+'5C1AD_Greater'!$AO7)</f>
        <v>0</v>
      </c>
      <c r="AC7" s="350">
        <f>-('5C1AE_Noble Minds'!$AL7+'5C1AE_Noble Minds'!$AO7)</f>
        <v>0</v>
      </c>
      <c r="AD7" s="350">
        <f>-('5C1AF_JCFA-Laf'!$AL7+'5C1AF_JCFA-Laf'!$AO7)</f>
        <v>-3869</v>
      </c>
      <c r="AE7" s="350">
        <f>-('5C1AG_Collegiate'!$AL7+'5C1AG_Collegiate'!$AO7)</f>
        <v>0</v>
      </c>
      <c r="AF7" s="350">
        <f>-('5C1AH_BRUP'!$AL7+'5C1AH_BRUP'!$AO7)</f>
        <v>0</v>
      </c>
      <c r="AG7" s="656">
        <f>-('5C1AI_Harmony'!$AL7+'5C1AI_Harmony'!$AO7)</f>
        <v>0</v>
      </c>
      <c r="AH7" s="656">
        <f>-('5C1AJ_Athlos'!$AL7+'5C1AJ_Athlos'!$AO7)</f>
        <v>0</v>
      </c>
      <c r="AI7" s="656">
        <f>-('5C1AK_NxtGen'!$AL7+'5C1AK_NxtGen'!$AO7)</f>
        <v>0</v>
      </c>
      <c r="AJ7" s="656">
        <f>-('5C1AL_Red River'!$AL7+'5C1AL_Red River'!$AO7)</f>
        <v>0</v>
      </c>
      <c r="AK7" s="349">
        <f>-('5C2_LAVCA'!AM7+'5C2_LAVCA'!AP7)</f>
        <v>-51064</v>
      </c>
      <c r="AL7" s="349">
        <f>-('5C3_UnvView'!AM7+'5C3_UnvView'!AP7)</f>
        <v>-86011</v>
      </c>
      <c r="AM7" s="351">
        <f t="shared" ref="AM7:AM38" si="2">SUM(D7:AL7)</f>
        <v>-203736</v>
      </c>
      <c r="AN7" s="352">
        <f t="shared" ref="AN7:AN38" si="3">SUM(C7:AL7)</f>
        <v>55780104</v>
      </c>
    </row>
    <row r="8" spans="1:40" ht="15.6" customHeight="1" x14ac:dyDescent="0.2">
      <c r="A8" s="353">
        <v>2</v>
      </c>
      <c r="B8" s="354" t="s">
        <v>6</v>
      </c>
      <c r="C8" s="355">
        <f>'2_State Distrib and Adjs'!BD8</f>
        <v>30394212</v>
      </c>
      <c r="D8" s="355">
        <f>-'5A3_OJJ'!P8</f>
        <v>0</v>
      </c>
      <c r="E8" s="355"/>
      <c r="F8" s="355">
        <f>-('5C1A_Madison'!AL8+'5C1A_Madison'!AO8)</f>
        <v>0</v>
      </c>
      <c r="G8" s="355">
        <f>-('5C1B_DArbonne'!AL8+'5C1B_DArbonne'!AO8)</f>
        <v>0</v>
      </c>
      <c r="H8" s="355">
        <f>-('5C1C_Intl High'!AL8+'5C1C_Intl High'!AO8)</f>
        <v>0</v>
      </c>
      <c r="I8" s="355">
        <f>-('5C1D_NOMMA'!AL8+'5C1D_NOMMA'!AO8)</f>
        <v>0</v>
      </c>
      <c r="J8" s="355">
        <f>-('5C1E_LFNO'!AL8+'5C1E_LFNO'!AO8)</f>
        <v>0</v>
      </c>
      <c r="K8" s="355">
        <f>-('5C1F_L.C. Charter'!AL8+'5C1F_L.C. Charter'!AO8)</f>
        <v>-3080</v>
      </c>
      <c r="L8" s="355">
        <f>-('5C1G_JS Clark'!AL8+'5C1G_JS Clark'!AO8)</f>
        <v>0</v>
      </c>
      <c r="M8" s="355">
        <f>-('5C1H_Southwest'!AL8+'5C1H_Southwest'!AO8)</f>
        <v>0</v>
      </c>
      <c r="N8" s="355">
        <f>-('5C1I_LA Key'!AL8+'5C1I_LA Key'!AO8)</f>
        <v>0</v>
      </c>
      <c r="O8" s="355">
        <f>-('5C1J_JCFA-East'!AL8+'5C1J_JCFA-East'!AO8)</f>
        <v>0</v>
      </c>
      <c r="P8" s="355">
        <f>-('5C1M_GEO Mid'!AL8+'5C1M_GEO Mid'!AO8)</f>
        <v>0</v>
      </c>
      <c r="Q8" s="355">
        <f>-('5C1N_Delta'!AL8+'5C1N_Delta'!AO8)</f>
        <v>0</v>
      </c>
      <c r="R8" s="355">
        <f>-('5C1O_Impact'!AL8+'5C1O_Impact'!AO8)</f>
        <v>0</v>
      </c>
      <c r="S8" s="355">
        <f>-('5C1Q_Advantage'!AL8+'5C1Q_Advantage'!AO8)</f>
        <v>0</v>
      </c>
      <c r="T8" s="355">
        <f>-('5C1R_Iberville'!AL8+'5C1R_Iberville'!AO8)</f>
        <v>0</v>
      </c>
      <c r="U8" s="355">
        <f>-('5C1S_LC Col Prep'!AL8+'5C1S_LC Col Prep'!AO8)</f>
        <v>-3080</v>
      </c>
      <c r="V8" s="355">
        <f>-('5C1T_Northeast'!AL8+'5C1T_Northeast'!AO8)</f>
        <v>0</v>
      </c>
      <c r="W8" s="355">
        <f>-('5C1U_Acadiana Ren'!AL8+'5C1U_Acadiana Ren'!AO8)</f>
        <v>0</v>
      </c>
      <c r="X8" s="355">
        <f>-('5C1V_Laf Ren'!AL8+'5C1V_Laf Ren'!AO8)</f>
        <v>0</v>
      </c>
      <c r="Y8" s="355">
        <f>-('5C1W_Willow'!AL8+'5C1W_Willow'!AO8)</f>
        <v>0</v>
      </c>
      <c r="Z8" s="355">
        <f>-('5C1Y_GEO'!AL8+'5C1Y_GEO'!AO8)</f>
        <v>0</v>
      </c>
      <c r="AA8" s="355">
        <f>-('5C1Z_Lincoln Prep'!AL8+'5C1Z_Lincoln Prep'!AO8)</f>
        <v>0</v>
      </c>
      <c r="AB8" s="355">
        <f>-('5C1AD_Greater'!$AL8+'5C1AD_Greater'!$AO8)</f>
        <v>0</v>
      </c>
      <c r="AC8" s="355">
        <f>-('5C1AE_Noble Minds'!$AL8+'5C1AE_Noble Minds'!$AO8)</f>
        <v>0</v>
      </c>
      <c r="AD8" s="355">
        <f>-('5C1AF_JCFA-Laf'!$AL8+'5C1AF_JCFA-Laf'!$AO8)</f>
        <v>0</v>
      </c>
      <c r="AE8" s="355">
        <f>-('5C1AG_Collegiate'!$AL8+'5C1AG_Collegiate'!$AO8)</f>
        <v>0</v>
      </c>
      <c r="AF8" s="355">
        <f>-('5C1AH_BRUP'!$AL8+'5C1AH_BRUP'!$AO8)</f>
        <v>0</v>
      </c>
      <c r="AG8" s="355">
        <f>-('5C1AI_Harmony'!$AL8+'5C1AI_Harmony'!$AO8)</f>
        <v>0</v>
      </c>
      <c r="AH8" s="355">
        <f>-('5C1AJ_Athlos'!$AL8+'5C1AJ_Athlos'!$AO8)</f>
        <v>0</v>
      </c>
      <c r="AI8" s="355">
        <f>-('5C1AK_NxtGen'!$AL8+'5C1AK_NxtGen'!$AO8)</f>
        <v>0</v>
      </c>
      <c r="AJ8" s="355">
        <f>-('5C1AL_Red River'!$AL8+'5C1AL_Red River'!$AO8)</f>
        <v>0</v>
      </c>
      <c r="AK8" s="355">
        <f>-('5C2_LAVCA'!AM8+'5C2_LAVCA'!AP8)</f>
        <v>-30492</v>
      </c>
      <c r="AL8" s="355">
        <f>-('5C3_UnvView'!AM8+'5C3_UnvView'!AP8)</f>
        <v>-45738</v>
      </c>
      <c r="AM8" s="356">
        <f t="shared" si="2"/>
        <v>-82390</v>
      </c>
      <c r="AN8" s="357">
        <f t="shared" si="3"/>
        <v>30311822</v>
      </c>
    </row>
    <row r="9" spans="1:40" ht="15.6" customHeight="1" x14ac:dyDescent="0.2">
      <c r="A9" s="353">
        <v>3</v>
      </c>
      <c r="B9" s="354" t="s">
        <v>7</v>
      </c>
      <c r="C9" s="355">
        <f>'2_State Distrib and Adjs'!BD9</f>
        <v>113148573</v>
      </c>
      <c r="D9" s="355">
        <f>-'5A3_OJJ'!P9</f>
        <v>-5559</v>
      </c>
      <c r="E9" s="355"/>
      <c r="F9" s="355">
        <f>-('5C1A_Madison'!AL9+'5C1A_Madison'!AO9)</f>
        <v>-13040</v>
      </c>
      <c r="G9" s="355">
        <f>-('5C1B_DArbonne'!AL9+'5C1B_DArbonne'!AO9)</f>
        <v>0</v>
      </c>
      <c r="H9" s="355">
        <f>-('5C1C_Intl High'!AL9+'5C1C_Intl High'!AO9)</f>
        <v>0</v>
      </c>
      <c r="I9" s="355">
        <f>-('5C1D_NOMMA'!AL9+'5C1D_NOMMA'!AO9)</f>
        <v>0</v>
      </c>
      <c r="J9" s="355">
        <f>-('5C1E_LFNO'!AL9+'5C1E_LFNO'!AO9)</f>
        <v>0</v>
      </c>
      <c r="K9" s="355">
        <f>-('5C1F_L.C. Charter'!AL9+'5C1F_L.C. Charter'!AO9)</f>
        <v>0</v>
      </c>
      <c r="L9" s="355">
        <f>-('5C1G_JS Clark'!AL9+'5C1G_JS Clark'!AO9)</f>
        <v>0</v>
      </c>
      <c r="M9" s="355">
        <f>-('5C1H_Southwest'!AL9+'5C1H_Southwest'!AO9)</f>
        <v>0</v>
      </c>
      <c r="N9" s="355">
        <f>-('5C1I_LA Key'!AL9+'5C1I_LA Key'!AO9)</f>
        <v>-104320</v>
      </c>
      <c r="O9" s="355">
        <f>-('5C1J_JCFA-East'!AL9+'5C1J_JCFA-East'!AO9)</f>
        <v>0</v>
      </c>
      <c r="P9" s="355">
        <f>-('5C1M_GEO Mid'!AL9+'5C1M_GEO Mid'!AO9)</f>
        <v>-26080</v>
      </c>
      <c r="Q9" s="355">
        <f>-('5C1N_Delta'!AL9+'5C1N_Delta'!AO9)</f>
        <v>0</v>
      </c>
      <c r="R9" s="355">
        <f>-('5C1O_Impact'!AL9+'5C1O_Impact'!AO9)</f>
        <v>0</v>
      </c>
      <c r="S9" s="355">
        <f>-('5C1Q_Advantage'!AL9+'5C1Q_Advantage'!AO9)</f>
        <v>0</v>
      </c>
      <c r="T9" s="355">
        <f>-('5C1R_Iberville'!AL9+'5C1R_Iberville'!AO9)</f>
        <v>-94540</v>
      </c>
      <c r="U9" s="355">
        <f>-('5C1S_LC Col Prep'!AL9+'5C1S_LC Col Prep'!AO9)</f>
        <v>0</v>
      </c>
      <c r="V9" s="355">
        <f>-('5C1T_Northeast'!AL9+'5C1T_Northeast'!AO9)</f>
        <v>0</v>
      </c>
      <c r="W9" s="355">
        <f>-('5C1U_Acadiana Ren'!AL9+'5C1U_Acadiana Ren'!AO9)</f>
        <v>0</v>
      </c>
      <c r="X9" s="355">
        <f>-('5C1V_Laf Ren'!AL9+'5C1V_Laf Ren'!AO9)</f>
        <v>0</v>
      </c>
      <c r="Y9" s="355">
        <f>-('5C1W_Willow'!AL9+'5C1W_Willow'!AO9)</f>
        <v>0</v>
      </c>
      <c r="Z9" s="355">
        <f>-('5C1Y_GEO'!AL9+'5C1Y_GEO'!AO9)</f>
        <v>0</v>
      </c>
      <c r="AA9" s="355">
        <f>-('5C1Z_Lincoln Prep'!AL9+'5C1Z_Lincoln Prep'!AO9)</f>
        <v>0</v>
      </c>
      <c r="AB9" s="355">
        <f>-('5C1AD_Greater'!$AL9+'5C1AD_Greater'!$AO9)</f>
        <v>-9780</v>
      </c>
      <c r="AC9" s="355">
        <f>-('5C1AE_Noble Minds'!$AL9+'5C1AE_Noble Minds'!$AO9)</f>
        <v>0</v>
      </c>
      <c r="AD9" s="355">
        <f>-('5C1AF_JCFA-Laf'!$AL9+'5C1AF_JCFA-Laf'!$AO9)</f>
        <v>0</v>
      </c>
      <c r="AE9" s="355">
        <f>-('5C1AG_Collegiate'!$AL9+'5C1AG_Collegiate'!$AO9)</f>
        <v>0</v>
      </c>
      <c r="AF9" s="355">
        <f>-('5C1AH_BRUP'!$AL9+'5C1AH_BRUP'!$AO9)</f>
        <v>0</v>
      </c>
      <c r="AG9" s="355">
        <f>-('5C1AI_Harmony'!$AL9+'5C1AI_Harmony'!$AO9)</f>
        <v>0</v>
      </c>
      <c r="AH9" s="355">
        <f>-('5C1AJ_Athlos'!$AL9+'5C1AJ_Athlos'!$AO9)</f>
        <v>0</v>
      </c>
      <c r="AI9" s="355">
        <f>-('5C1AK_NxtGen'!$AL9+'5C1AK_NxtGen'!$AO9)</f>
        <v>0</v>
      </c>
      <c r="AJ9" s="355">
        <f>-('5C1AL_Red River'!$AL9+'5C1AL_Red River'!$AO9)</f>
        <v>0</v>
      </c>
      <c r="AK9" s="355">
        <f>-('5C2_LAVCA'!AM9+'5C2_LAVCA'!AP9)</f>
        <v>-205331</v>
      </c>
      <c r="AL9" s="355">
        <f>-('5C3_UnvView'!AM9+'5C3_UnvView'!AP9)</f>
        <v>-504851</v>
      </c>
      <c r="AM9" s="356">
        <f t="shared" si="2"/>
        <v>-963501</v>
      </c>
      <c r="AN9" s="357">
        <f t="shared" si="3"/>
        <v>112185072</v>
      </c>
    </row>
    <row r="10" spans="1:40" ht="15.6" customHeight="1" x14ac:dyDescent="0.2">
      <c r="A10" s="353">
        <v>4</v>
      </c>
      <c r="B10" s="354" t="s">
        <v>8</v>
      </c>
      <c r="C10" s="355">
        <f>'2_State Distrib and Adjs'!BD10</f>
        <v>21842525</v>
      </c>
      <c r="D10" s="355">
        <f>-'5A3_OJJ'!P10</f>
        <v>0</v>
      </c>
      <c r="E10" s="355"/>
      <c r="F10" s="355">
        <f>-('5C1A_Madison'!AL10+'5C1A_Madison'!AO10)</f>
        <v>0</v>
      </c>
      <c r="G10" s="355">
        <f>-('5C1B_DArbonne'!AL10+'5C1B_DArbonne'!AO10)</f>
        <v>0</v>
      </c>
      <c r="H10" s="355">
        <f>-('5C1C_Intl High'!AL10+'5C1C_Intl High'!AO10)</f>
        <v>0</v>
      </c>
      <c r="I10" s="355">
        <f>-('5C1D_NOMMA'!AL10+'5C1D_NOMMA'!AO10)</f>
        <v>0</v>
      </c>
      <c r="J10" s="355">
        <f>-('5C1E_LFNO'!AL10+'5C1E_LFNO'!AO10)</f>
        <v>0</v>
      </c>
      <c r="K10" s="355">
        <f>-('5C1F_L.C. Charter'!AL10+'5C1F_L.C. Charter'!AO10)</f>
        <v>0</v>
      </c>
      <c r="L10" s="355">
        <f>-('5C1G_JS Clark'!AL10+'5C1G_JS Clark'!AO10)</f>
        <v>0</v>
      </c>
      <c r="M10" s="355">
        <f>-('5C1H_Southwest'!AL10+'5C1H_Southwest'!AO10)</f>
        <v>0</v>
      </c>
      <c r="N10" s="355">
        <f>-('5C1I_LA Key'!AL10+'5C1I_LA Key'!AO10)</f>
        <v>0</v>
      </c>
      <c r="O10" s="355">
        <f>-('5C1J_JCFA-East'!AL10+'5C1J_JCFA-East'!AO10)</f>
        <v>0</v>
      </c>
      <c r="P10" s="355">
        <f>-('5C1M_GEO Mid'!AL10+'5C1M_GEO Mid'!AO10)</f>
        <v>0</v>
      </c>
      <c r="Q10" s="355">
        <f>-('5C1N_Delta'!AL10+'5C1N_Delta'!AO10)</f>
        <v>0</v>
      </c>
      <c r="R10" s="355">
        <f>-('5C1O_Impact'!AL10+'5C1O_Impact'!AO10)</f>
        <v>0</v>
      </c>
      <c r="S10" s="355">
        <f>-('5C1Q_Advantage'!AL10+'5C1Q_Advantage'!AO10)</f>
        <v>0</v>
      </c>
      <c r="T10" s="355">
        <f>-('5C1R_Iberville'!AL10+'5C1R_Iberville'!AO10)</f>
        <v>-26340</v>
      </c>
      <c r="U10" s="355">
        <f>-('5C1S_LC Col Prep'!AL10+'5C1S_LC Col Prep'!AO10)</f>
        <v>0</v>
      </c>
      <c r="V10" s="355">
        <f>-('5C1T_Northeast'!AL10+'5C1T_Northeast'!AO10)</f>
        <v>0</v>
      </c>
      <c r="W10" s="355">
        <f>-('5C1U_Acadiana Ren'!AL10+'5C1U_Acadiana Ren'!AO10)</f>
        <v>0</v>
      </c>
      <c r="X10" s="355">
        <f>-('5C1V_Laf Ren'!AL10+'5C1V_Laf Ren'!AO10)</f>
        <v>0</v>
      </c>
      <c r="Y10" s="355">
        <f>-('5C1W_Willow'!AL10+'5C1W_Willow'!AO10)</f>
        <v>0</v>
      </c>
      <c r="Z10" s="355">
        <f>-('5C1Y_GEO'!AL10+'5C1Y_GEO'!AO10)</f>
        <v>0</v>
      </c>
      <c r="AA10" s="355">
        <f>-('5C1Z_Lincoln Prep'!AL10+'5C1Z_Lincoln Prep'!AO10)</f>
        <v>0</v>
      </c>
      <c r="AB10" s="355">
        <f>-('5C1AD_Greater'!$AL10+'5C1AD_Greater'!$AO10)</f>
        <v>0</v>
      </c>
      <c r="AC10" s="355">
        <f>-('5C1AE_Noble Minds'!$AL10+'5C1AE_Noble Minds'!$AO10)</f>
        <v>0</v>
      </c>
      <c r="AD10" s="355">
        <f>-('5C1AF_JCFA-Laf'!$AL10+'5C1AF_JCFA-Laf'!$AO10)</f>
        <v>0</v>
      </c>
      <c r="AE10" s="355">
        <f>-('5C1AG_Collegiate'!$AL10+'5C1AG_Collegiate'!$AO10)</f>
        <v>0</v>
      </c>
      <c r="AF10" s="355">
        <f>-('5C1AH_BRUP'!$AL10+'5C1AH_BRUP'!$AO10)</f>
        <v>0</v>
      </c>
      <c r="AG10" s="355">
        <f>-('5C1AI_Harmony'!$AL10+'5C1AI_Harmony'!$AO10)</f>
        <v>0</v>
      </c>
      <c r="AH10" s="355">
        <f>-('5C1AJ_Athlos'!$AL10+'5C1AJ_Athlos'!$AO10)</f>
        <v>0</v>
      </c>
      <c r="AI10" s="355">
        <f>-('5C1AK_NxtGen'!$AL10+'5C1AK_NxtGen'!$AO10)</f>
        <v>0</v>
      </c>
      <c r="AJ10" s="355">
        <f>-('5C1AL_Red River'!$AL10+'5C1AL_Red River'!$AO10)</f>
        <v>0</v>
      </c>
      <c r="AK10" s="355">
        <f>-('5C2_LAVCA'!AM10+'5C2_LAVCA'!AP10)</f>
        <v>-40946</v>
      </c>
      <c r="AL10" s="355">
        <f>-('5C3_UnvView'!AM10+'5C3_UnvView'!AP10)</f>
        <v>-30591</v>
      </c>
      <c r="AM10" s="356">
        <f t="shared" si="2"/>
        <v>-97877</v>
      </c>
      <c r="AN10" s="357">
        <f t="shared" si="3"/>
        <v>21744648</v>
      </c>
    </row>
    <row r="11" spans="1:40" ht="15.6" customHeight="1" x14ac:dyDescent="0.2">
      <c r="A11" s="358">
        <v>5</v>
      </c>
      <c r="B11" s="359" t="s">
        <v>9</v>
      </c>
      <c r="C11" s="360">
        <f>'2_State Distrib and Adjs'!BD11</f>
        <v>31230252</v>
      </c>
      <c r="D11" s="360">
        <f>-'5A3_OJJ'!P11</f>
        <v>-3861</v>
      </c>
      <c r="E11" s="360"/>
      <c r="F11" s="360">
        <f>-('5C1A_Madison'!AL11+'5C1A_Madison'!AO11)</f>
        <v>0</v>
      </c>
      <c r="G11" s="360">
        <f>-('5C1B_DArbonne'!AL11+'5C1B_DArbonne'!AO11)</f>
        <v>0</v>
      </c>
      <c r="H11" s="360">
        <f>-('5C1C_Intl High'!AL11+'5C1C_Intl High'!AO11)</f>
        <v>0</v>
      </c>
      <c r="I11" s="360">
        <f>-('5C1D_NOMMA'!AL11+'5C1D_NOMMA'!AO11)</f>
        <v>0</v>
      </c>
      <c r="J11" s="360">
        <f>-('5C1E_LFNO'!AL11+'5C1E_LFNO'!AO11)</f>
        <v>0</v>
      </c>
      <c r="K11" s="360">
        <f>-('5C1F_L.C. Charter'!AL11+'5C1F_L.C. Charter'!AO11)</f>
        <v>0</v>
      </c>
      <c r="L11" s="360">
        <f>-('5C1G_JS Clark'!AL11+'5C1G_JS Clark'!AO11)</f>
        <v>0</v>
      </c>
      <c r="M11" s="360">
        <f>-('5C1H_Southwest'!AL11+'5C1H_Southwest'!AO11)</f>
        <v>0</v>
      </c>
      <c r="N11" s="360">
        <f>-('5C1I_LA Key'!AL11+'5C1I_LA Key'!AO11)</f>
        <v>0</v>
      </c>
      <c r="O11" s="360">
        <f>-('5C1J_JCFA-East'!AL11+'5C1J_JCFA-East'!AO11)</f>
        <v>0</v>
      </c>
      <c r="P11" s="360">
        <f>-('5C1M_GEO Mid'!AL11+'5C1M_GEO Mid'!AO11)</f>
        <v>0</v>
      </c>
      <c r="Q11" s="360">
        <f>-('5C1N_Delta'!AL11+'5C1N_Delta'!AO11)</f>
        <v>0</v>
      </c>
      <c r="R11" s="360">
        <f>-('5C1O_Impact'!AL11+'5C1O_Impact'!AO11)</f>
        <v>0</v>
      </c>
      <c r="S11" s="360">
        <f>-('5C1Q_Advantage'!AL11+'5C1Q_Advantage'!AO11)</f>
        <v>0</v>
      </c>
      <c r="T11" s="360">
        <f>-('5C1R_Iberville'!AL11+'5C1R_Iberville'!AO11)</f>
        <v>0</v>
      </c>
      <c r="U11" s="360">
        <f>-('5C1S_LC Col Prep'!AL11+'5C1S_LC Col Prep'!AO11)</f>
        <v>0</v>
      </c>
      <c r="V11" s="360">
        <f>-('5C1T_Northeast'!AL11+'5C1T_Northeast'!AO11)</f>
        <v>0</v>
      </c>
      <c r="W11" s="360">
        <f>-('5C1U_Acadiana Ren'!AL11+'5C1U_Acadiana Ren'!AO11)</f>
        <v>0</v>
      </c>
      <c r="X11" s="360">
        <f>-('5C1V_Laf Ren'!AL11+'5C1V_Laf Ren'!AO11)</f>
        <v>0</v>
      </c>
      <c r="Y11" s="360">
        <f>-('5C1W_Willow'!AL11+'5C1W_Willow'!AO11)</f>
        <v>0</v>
      </c>
      <c r="Z11" s="360">
        <f>-('5C1Y_GEO'!AL11+'5C1Y_GEO'!AO11)</f>
        <v>0</v>
      </c>
      <c r="AA11" s="360">
        <f>-('5C1Z_Lincoln Prep'!AL11+'5C1Z_Lincoln Prep'!AO11)</f>
        <v>0</v>
      </c>
      <c r="AB11" s="360">
        <f>-('5C1AD_Greater'!$AL11+'5C1AD_Greater'!$AO11)</f>
        <v>0</v>
      </c>
      <c r="AC11" s="360">
        <f>-('5C1AE_Noble Minds'!$AL11+'5C1AE_Noble Minds'!$AO11)</f>
        <v>0</v>
      </c>
      <c r="AD11" s="360">
        <f>-('5C1AF_JCFA-Laf'!$AL11+'5C1AF_JCFA-Laf'!$AO11)</f>
        <v>0</v>
      </c>
      <c r="AE11" s="360">
        <f>-('5C1AG_Collegiate'!$AL11+'5C1AG_Collegiate'!$AO11)</f>
        <v>0</v>
      </c>
      <c r="AF11" s="360">
        <f>-('5C1AH_BRUP'!$AL11+'5C1AH_BRUP'!$AO11)</f>
        <v>0</v>
      </c>
      <c r="AG11" s="657">
        <f>-('5C1AI_Harmony'!$AL11+'5C1AI_Harmony'!$AO11)</f>
        <v>0</v>
      </c>
      <c r="AH11" s="657">
        <f>-('5C1AJ_Athlos'!$AL11+'5C1AJ_Athlos'!$AO11)</f>
        <v>0</v>
      </c>
      <c r="AI11" s="892">
        <f>-('5C1AK_NxtGen'!$AL11+'5C1AK_NxtGen'!$AO11)</f>
        <v>0</v>
      </c>
      <c r="AJ11" s="892">
        <f>-('5C1AL_Red River'!$AL11+'5C1AL_Red River'!$AO11)</f>
        <v>-434265</v>
      </c>
      <c r="AK11" s="360">
        <f>-('5C2_LAVCA'!AM11+'5C2_LAVCA'!AP11)</f>
        <v>-47053</v>
      </c>
      <c r="AL11" s="360">
        <f>-('5C3_UnvView'!AM11+'5C3_UnvView'!AP11)</f>
        <v>-85424</v>
      </c>
      <c r="AM11" s="361">
        <f t="shared" si="2"/>
        <v>-570603</v>
      </c>
      <c r="AN11" s="362">
        <f t="shared" si="3"/>
        <v>30659649</v>
      </c>
    </row>
    <row r="12" spans="1:40" ht="15.6" customHeight="1" x14ac:dyDescent="0.2">
      <c r="A12" s="347">
        <v>6</v>
      </c>
      <c r="B12" s="348" t="s">
        <v>10</v>
      </c>
      <c r="C12" s="349">
        <f>'2_State Distrib and Adjs'!BD12</f>
        <v>37530989</v>
      </c>
      <c r="D12" s="349">
        <f>-'5A3_OJJ'!P12</f>
        <v>-1872</v>
      </c>
      <c r="E12" s="349"/>
      <c r="F12" s="349">
        <f>-('5C1A_Madison'!AL12+'5C1A_Madison'!AO12)</f>
        <v>0</v>
      </c>
      <c r="G12" s="349">
        <f>-('5C1B_DArbonne'!AL12+'5C1B_DArbonne'!AO12)</f>
        <v>0</v>
      </c>
      <c r="H12" s="349">
        <f>-('5C1C_Intl High'!AL12+'5C1C_Intl High'!AO12)</f>
        <v>0</v>
      </c>
      <c r="I12" s="349">
        <f>-('5C1D_NOMMA'!AL12+'5C1D_NOMMA'!AO12)</f>
        <v>0</v>
      </c>
      <c r="J12" s="349">
        <f>-('5C1E_LFNO'!AL12+'5C1E_LFNO'!AO12)</f>
        <v>0</v>
      </c>
      <c r="K12" s="349">
        <f>-('5C1F_L.C. Charter'!AL12+'5C1F_L.C. Charter'!AO12)</f>
        <v>0</v>
      </c>
      <c r="L12" s="349">
        <f>-('5C1G_JS Clark'!AL12+'5C1G_JS Clark'!AO12)</f>
        <v>0</v>
      </c>
      <c r="M12" s="349">
        <f>-('5C1H_Southwest'!AL12+'5C1H_Southwest'!AO12)</f>
        <v>0</v>
      </c>
      <c r="N12" s="349">
        <f>-('5C1I_LA Key'!AL12+'5C1I_LA Key'!AO12)</f>
        <v>0</v>
      </c>
      <c r="O12" s="349">
        <f>-('5C1J_JCFA-East'!AL12+'5C1J_JCFA-East'!AO12)</f>
        <v>0</v>
      </c>
      <c r="P12" s="349">
        <f>-('5C1M_GEO Mid'!AL12+'5C1M_GEO Mid'!AO12)</f>
        <v>0</v>
      </c>
      <c r="Q12" s="349">
        <f>-('5C1N_Delta'!AL12+'5C1N_Delta'!AO12)</f>
        <v>0</v>
      </c>
      <c r="R12" s="349">
        <f>-('5C1O_Impact'!AL12+'5C1O_Impact'!AO12)</f>
        <v>0</v>
      </c>
      <c r="S12" s="349">
        <f>-('5C1Q_Advantage'!AL12+'5C1Q_Advantage'!AO12)</f>
        <v>0</v>
      </c>
      <c r="T12" s="349">
        <f>-('5C1R_Iberville'!AL12+'5C1R_Iberville'!AO12)</f>
        <v>0</v>
      </c>
      <c r="U12" s="349">
        <f>-('5C1S_LC Col Prep'!AL12+'5C1S_LC Col Prep'!AO12)</f>
        <v>0</v>
      </c>
      <c r="V12" s="349">
        <f>-('5C1T_Northeast'!AL12+'5C1T_Northeast'!AO12)</f>
        <v>0</v>
      </c>
      <c r="W12" s="349">
        <f>-('5C1U_Acadiana Ren'!AL12+'5C1U_Acadiana Ren'!AO12)</f>
        <v>0</v>
      </c>
      <c r="X12" s="349">
        <f>-('5C1V_Laf Ren'!AL12+'5C1V_Laf Ren'!AO12)</f>
        <v>0</v>
      </c>
      <c r="Y12" s="349">
        <f>-('5C1W_Willow'!AL12+'5C1W_Willow'!AO12)</f>
        <v>0</v>
      </c>
      <c r="Z12" s="349">
        <f>-('5C1Y_GEO'!AL12+'5C1Y_GEO'!AO12)</f>
        <v>0</v>
      </c>
      <c r="AA12" s="350">
        <f>-('5C1Z_Lincoln Prep'!AL12+'5C1Z_Lincoln Prep'!AO12)</f>
        <v>0</v>
      </c>
      <c r="AB12" s="350">
        <f>-('5C1AD_Greater'!$AL12+'5C1AD_Greater'!$AO12)</f>
        <v>0</v>
      </c>
      <c r="AC12" s="350">
        <f>-('5C1AE_Noble Minds'!$AL12+'5C1AE_Noble Minds'!$AO12)</f>
        <v>0</v>
      </c>
      <c r="AD12" s="350">
        <f>-('5C1AF_JCFA-Laf'!$AL12+'5C1AF_JCFA-Laf'!$AO12)</f>
        <v>0</v>
      </c>
      <c r="AE12" s="350">
        <f>-('5C1AG_Collegiate'!$AL12+'5C1AG_Collegiate'!$AO12)</f>
        <v>0</v>
      </c>
      <c r="AF12" s="350">
        <f>-('5C1AH_BRUP'!$AL12+'5C1AH_BRUP'!$AO12)</f>
        <v>0</v>
      </c>
      <c r="AG12" s="656">
        <f>-('5C1AI_Harmony'!$AL12+'5C1AI_Harmony'!$AO12)</f>
        <v>0</v>
      </c>
      <c r="AH12" s="656">
        <f>-('5C1AJ_Athlos'!$AL12+'5C1AJ_Athlos'!$AO12)</f>
        <v>0</v>
      </c>
      <c r="AI12" s="656">
        <f>-('5C1AK_NxtGen'!$AL12+'5C1AK_NxtGen'!$AO12)</f>
        <v>0</v>
      </c>
      <c r="AJ12" s="656">
        <f>-('5C1AL_Red River'!$AL12+'5C1AL_Red River'!$AO12)</f>
        <v>0</v>
      </c>
      <c r="AK12" s="349">
        <f>-('5C2_LAVCA'!AM12+'5C2_LAVCA'!AP12)</f>
        <v>-103567</v>
      </c>
      <c r="AL12" s="349">
        <f>-('5C3_UnvView'!AM12+'5C3_UnvView'!AP12)</f>
        <v>-49865</v>
      </c>
      <c r="AM12" s="351">
        <f t="shared" si="2"/>
        <v>-155304</v>
      </c>
      <c r="AN12" s="352">
        <f t="shared" si="3"/>
        <v>37375685</v>
      </c>
    </row>
    <row r="13" spans="1:40" ht="15.6" customHeight="1" x14ac:dyDescent="0.2">
      <c r="A13" s="353">
        <v>7</v>
      </c>
      <c r="B13" s="354" t="s">
        <v>11</v>
      </c>
      <c r="C13" s="355">
        <f>'2_State Distrib and Adjs'!BD13</f>
        <v>8430061</v>
      </c>
      <c r="D13" s="355">
        <f>-'5A3_OJJ'!P13</f>
        <v>-5547</v>
      </c>
      <c r="E13" s="355"/>
      <c r="F13" s="355">
        <f>-('5C1A_Madison'!AL13+'5C1A_Madison'!AO13)</f>
        <v>0</v>
      </c>
      <c r="G13" s="355">
        <f>-('5C1B_DArbonne'!AL13+'5C1B_DArbonne'!AO13)</f>
        <v>-24556</v>
      </c>
      <c r="H13" s="355">
        <f>-('5C1C_Intl High'!AL13+'5C1C_Intl High'!AO13)</f>
        <v>0</v>
      </c>
      <c r="I13" s="355">
        <f>-('5C1D_NOMMA'!AL13+'5C1D_NOMMA'!AO13)</f>
        <v>0</v>
      </c>
      <c r="J13" s="355">
        <f>-('5C1E_LFNO'!AL13+'5C1E_LFNO'!AO13)</f>
        <v>0</v>
      </c>
      <c r="K13" s="355">
        <f>-('5C1F_L.C. Charter'!AL13+'5C1F_L.C. Charter'!AO13)</f>
        <v>0</v>
      </c>
      <c r="L13" s="355">
        <f>-('5C1G_JS Clark'!AL13+'5C1G_JS Clark'!AO13)</f>
        <v>0</v>
      </c>
      <c r="M13" s="355">
        <f>-('5C1H_Southwest'!AL13+'5C1H_Southwest'!AO13)</f>
        <v>0</v>
      </c>
      <c r="N13" s="355">
        <f>-('5C1I_LA Key'!AL13+'5C1I_LA Key'!AO13)</f>
        <v>0</v>
      </c>
      <c r="O13" s="355">
        <f>-('5C1J_JCFA-East'!AL13+'5C1J_JCFA-East'!AO13)</f>
        <v>0</v>
      </c>
      <c r="P13" s="355">
        <f>-('5C1M_GEO Mid'!AL13+'5C1M_GEO Mid'!AO13)</f>
        <v>0</v>
      </c>
      <c r="Q13" s="355">
        <f>-('5C1N_Delta'!AL13+'5C1N_Delta'!AO13)</f>
        <v>0</v>
      </c>
      <c r="R13" s="355">
        <f>-('5C1O_Impact'!AL13+'5C1O_Impact'!AO13)</f>
        <v>0</v>
      </c>
      <c r="S13" s="355">
        <f>-('5C1Q_Advantage'!AL13+'5C1Q_Advantage'!AO13)</f>
        <v>0</v>
      </c>
      <c r="T13" s="355">
        <f>-('5C1R_Iberville'!AL13+'5C1R_Iberville'!AO13)</f>
        <v>0</v>
      </c>
      <c r="U13" s="355">
        <f>-('5C1S_LC Col Prep'!AL13+'5C1S_LC Col Prep'!AO13)</f>
        <v>0</v>
      </c>
      <c r="V13" s="355">
        <f>-('5C1T_Northeast'!AL13+'5C1T_Northeast'!AO13)</f>
        <v>0</v>
      </c>
      <c r="W13" s="355">
        <f>-('5C1U_Acadiana Ren'!AL13+'5C1U_Acadiana Ren'!AO13)</f>
        <v>0</v>
      </c>
      <c r="X13" s="355">
        <f>-('5C1V_Laf Ren'!AL13+'5C1V_Laf Ren'!AO13)</f>
        <v>0</v>
      </c>
      <c r="Y13" s="355">
        <f>-('5C1W_Willow'!AL13+'5C1W_Willow'!AO13)</f>
        <v>0</v>
      </c>
      <c r="Z13" s="355">
        <f>-('5C1Y_GEO'!AL13+'5C1Y_GEO'!AO13)</f>
        <v>0</v>
      </c>
      <c r="AA13" s="355">
        <f>-('5C1Z_Lincoln Prep'!AL13+'5C1Z_Lincoln Prep'!AO13)</f>
        <v>-491120</v>
      </c>
      <c r="AB13" s="355">
        <f>-('5C1AD_Greater'!$AL13+'5C1AD_Greater'!$AO13)</f>
        <v>0</v>
      </c>
      <c r="AC13" s="355">
        <f>-('5C1AE_Noble Minds'!$AL13+'5C1AE_Noble Minds'!$AO13)</f>
        <v>0</v>
      </c>
      <c r="AD13" s="355">
        <f>-('5C1AF_JCFA-Laf'!$AL13+'5C1AF_JCFA-Laf'!$AO13)</f>
        <v>0</v>
      </c>
      <c r="AE13" s="355">
        <f>-('5C1AG_Collegiate'!$AL13+'5C1AG_Collegiate'!$AO13)</f>
        <v>0</v>
      </c>
      <c r="AF13" s="355">
        <f>-('5C1AH_BRUP'!$AL13+'5C1AH_BRUP'!$AO13)</f>
        <v>0</v>
      </c>
      <c r="AG13" s="355">
        <f>-('5C1AI_Harmony'!$AL13+'5C1AI_Harmony'!$AO13)</f>
        <v>0</v>
      </c>
      <c r="AH13" s="355">
        <f>-('5C1AJ_Athlos'!$AL13+'5C1AJ_Athlos'!$AO13)</f>
        <v>0</v>
      </c>
      <c r="AI13" s="355">
        <f>-('5C1AK_NxtGen'!$AL13+'5C1AK_NxtGen'!$AO13)</f>
        <v>0</v>
      </c>
      <c r="AJ13" s="355">
        <f>-('5C1AL_Red River'!$AL13+'5C1AL_Red River'!$AO13)</f>
        <v>0</v>
      </c>
      <c r="AK13" s="355">
        <f>-('5C2_LAVCA'!AM13+'5C2_LAVCA'!AP13)</f>
        <v>-82877</v>
      </c>
      <c r="AL13" s="355">
        <f>-('5C3_UnvView'!AM13+'5C3_UnvView'!AP13)</f>
        <v>-55251</v>
      </c>
      <c r="AM13" s="356">
        <f t="shared" si="2"/>
        <v>-659351</v>
      </c>
      <c r="AN13" s="357">
        <f t="shared" si="3"/>
        <v>7770710</v>
      </c>
    </row>
    <row r="14" spans="1:40" ht="15.6" customHeight="1" x14ac:dyDescent="0.2">
      <c r="A14" s="353">
        <v>8</v>
      </c>
      <c r="B14" s="354" t="s">
        <v>12</v>
      </c>
      <c r="C14" s="355">
        <f>'2_State Distrib and Adjs'!BD14</f>
        <v>135817474</v>
      </c>
      <c r="D14" s="355">
        <f>-'5A3_OJJ'!P14</f>
        <v>-9525</v>
      </c>
      <c r="E14" s="355"/>
      <c r="F14" s="355">
        <f>-('5C1A_Madison'!AL14+'5C1A_Madison'!AO14)</f>
        <v>0</v>
      </c>
      <c r="G14" s="355">
        <f>-('5C1B_DArbonne'!AL14+'5C1B_DArbonne'!AO14)</f>
        <v>0</v>
      </c>
      <c r="H14" s="355">
        <f>-('5C1C_Intl High'!AL14+'5C1C_Intl High'!AO14)</f>
        <v>0</v>
      </c>
      <c r="I14" s="355">
        <f>-('5C1D_NOMMA'!AL14+'5C1D_NOMMA'!AO14)</f>
        <v>0</v>
      </c>
      <c r="J14" s="355">
        <f>-('5C1E_LFNO'!AL14+'5C1E_LFNO'!AO14)</f>
        <v>0</v>
      </c>
      <c r="K14" s="355">
        <f>-('5C1F_L.C. Charter'!AL14+'5C1F_L.C. Charter'!AO14)</f>
        <v>0</v>
      </c>
      <c r="L14" s="355">
        <f>-('5C1G_JS Clark'!AL14+'5C1G_JS Clark'!AO14)</f>
        <v>0</v>
      </c>
      <c r="M14" s="355">
        <f>-('5C1H_Southwest'!AL14+'5C1H_Southwest'!AO14)</f>
        <v>0</v>
      </c>
      <c r="N14" s="355">
        <f>-('5C1I_LA Key'!AL14+'5C1I_LA Key'!AO14)</f>
        <v>0</v>
      </c>
      <c r="O14" s="355">
        <f>-('5C1J_JCFA-East'!AL14+'5C1J_JCFA-East'!AO14)</f>
        <v>0</v>
      </c>
      <c r="P14" s="355">
        <f>-('5C1M_GEO Mid'!AL14+'5C1M_GEO Mid'!AO14)</f>
        <v>0</v>
      </c>
      <c r="Q14" s="355">
        <f>-('5C1N_Delta'!AL14+'5C1N_Delta'!AO14)</f>
        <v>0</v>
      </c>
      <c r="R14" s="355">
        <f>-('5C1O_Impact'!AL14+'5C1O_Impact'!AO14)</f>
        <v>0</v>
      </c>
      <c r="S14" s="355">
        <f>-('5C1Q_Advantage'!AL14+'5C1Q_Advantage'!AO14)</f>
        <v>0</v>
      </c>
      <c r="T14" s="355">
        <f>-('5C1R_Iberville'!AL14+'5C1R_Iberville'!AO14)</f>
        <v>0</v>
      </c>
      <c r="U14" s="355">
        <f>-('5C1S_LC Col Prep'!AL14+'5C1S_LC Col Prep'!AO14)</f>
        <v>0</v>
      </c>
      <c r="V14" s="355">
        <f>-('5C1T_Northeast'!AL14+'5C1T_Northeast'!AO14)</f>
        <v>0</v>
      </c>
      <c r="W14" s="355">
        <f>-('5C1U_Acadiana Ren'!AL14+'5C1U_Acadiana Ren'!AO14)</f>
        <v>0</v>
      </c>
      <c r="X14" s="355">
        <f>-('5C1V_Laf Ren'!AL14+'5C1V_Laf Ren'!AO14)</f>
        <v>0</v>
      </c>
      <c r="Y14" s="355">
        <f>-('5C1W_Willow'!AL14+'5C1W_Willow'!AO14)</f>
        <v>0</v>
      </c>
      <c r="Z14" s="355">
        <f>-('5C1Y_GEO'!AL14+'5C1Y_GEO'!AO14)</f>
        <v>0</v>
      </c>
      <c r="AA14" s="355">
        <f>-('5C1Z_Lincoln Prep'!AL14+'5C1Z_Lincoln Prep'!AO14)</f>
        <v>0</v>
      </c>
      <c r="AB14" s="355">
        <f>-('5C1AD_Greater'!$AL14+'5C1AD_Greater'!$AO14)</f>
        <v>0</v>
      </c>
      <c r="AC14" s="355">
        <f>-('5C1AE_Noble Minds'!$AL14+'5C1AE_Noble Minds'!$AO14)</f>
        <v>0</v>
      </c>
      <c r="AD14" s="355">
        <f>-('5C1AF_JCFA-Laf'!$AL14+'5C1AF_JCFA-Laf'!$AO14)</f>
        <v>0</v>
      </c>
      <c r="AE14" s="355">
        <f>-('5C1AG_Collegiate'!$AL14+'5C1AG_Collegiate'!$AO14)</f>
        <v>0</v>
      </c>
      <c r="AF14" s="355">
        <f>-('5C1AH_BRUP'!$AL14+'5C1AH_BRUP'!$AO14)</f>
        <v>0</v>
      </c>
      <c r="AG14" s="355">
        <f>-('5C1AI_Harmony'!$AL14+'5C1AI_Harmony'!$AO14)</f>
        <v>0</v>
      </c>
      <c r="AH14" s="355">
        <f>-('5C1AJ_Athlos'!$AL14+'5C1AJ_Athlos'!$AO14)</f>
        <v>0</v>
      </c>
      <c r="AI14" s="355">
        <f>-('5C1AK_NxtGen'!$AL14+'5C1AK_NxtGen'!$AO14)</f>
        <v>0</v>
      </c>
      <c r="AJ14" s="355">
        <f>-('5C1AL_Red River'!$AL14+'5C1AL_Red River'!$AO14)</f>
        <v>0</v>
      </c>
      <c r="AK14" s="355">
        <f>-('5C2_LAVCA'!AM14+'5C2_LAVCA'!AP14)</f>
        <v>-306873</v>
      </c>
      <c r="AL14" s="355">
        <f>-('5C3_UnvView'!AM14+'5C3_UnvView'!AP14)</f>
        <v>-162501</v>
      </c>
      <c r="AM14" s="356">
        <f t="shared" si="2"/>
        <v>-478899</v>
      </c>
      <c r="AN14" s="357">
        <f t="shared" si="3"/>
        <v>135338575</v>
      </c>
    </row>
    <row r="15" spans="1:40" ht="15.6" customHeight="1" x14ac:dyDescent="0.2">
      <c r="A15" s="353">
        <v>9</v>
      </c>
      <c r="B15" s="354" t="s">
        <v>13</v>
      </c>
      <c r="C15" s="355">
        <f>'2_State Distrib and Adjs'!BD15</f>
        <v>210696434</v>
      </c>
      <c r="D15" s="355">
        <f>-'5A3_OJJ'!P15</f>
        <v>-91620</v>
      </c>
      <c r="E15" s="355">
        <f>-('5B2_RSD LA'!AL7+'5B2_RSD LA'!AQ7)</f>
        <v>-4559520</v>
      </c>
      <c r="F15" s="355">
        <f>-('5C1A_Madison'!AL15+'5C1A_Madison'!AO15)</f>
        <v>0</v>
      </c>
      <c r="G15" s="355">
        <f>-('5C1B_DArbonne'!AL15+'5C1B_DArbonne'!AO15)</f>
        <v>0</v>
      </c>
      <c r="H15" s="355">
        <f>-('5C1C_Intl High'!AL15+'5C1C_Intl High'!AO15)</f>
        <v>0</v>
      </c>
      <c r="I15" s="355">
        <f>-('5C1D_NOMMA'!AL15+'5C1D_NOMMA'!AO15)</f>
        <v>0</v>
      </c>
      <c r="J15" s="355">
        <f>-('5C1E_LFNO'!AL15+'5C1E_LFNO'!AO15)</f>
        <v>0</v>
      </c>
      <c r="K15" s="355">
        <f>-('5C1F_L.C. Charter'!AL15+'5C1F_L.C. Charter'!AO15)</f>
        <v>0</v>
      </c>
      <c r="L15" s="355">
        <f>-('5C1G_JS Clark'!AL15+'5C1G_JS Clark'!AO15)</f>
        <v>0</v>
      </c>
      <c r="M15" s="355">
        <f>-('5C1H_Southwest'!AL15+'5C1H_Southwest'!AO15)</f>
        <v>0</v>
      </c>
      <c r="N15" s="355">
        <f>-('5C1I_LA Key'!AL15+'5C1I_LA Key'!AO15)</f>
        <v>0</v>
      </c>
      <c r="O15" s="355">
        <f>-('5C1J_JCFA-East'!AL15+'5C1J_JCFA-East'!AO15)</f>
        <v>0</v>
      </c>
      <c r="P15" s="355">
        <f>-('5C1M_GEO Mid'!AL15+'5C1M_GEO Mid'!AO15)</f>
        <v>0</v>
      </c>
      <c r="Q15" s="355">
        <f>-('5C1N_Delta'!AL15+'5C1N_Delta'!AO15)</f>
        <v>0</v>
      </c>
      <c r="R15" s="355">
        <f>-('5C1O_Impact'!AL15+'5C1O_Impact'!AO15)</f>
        <v>0</v>
      </c>
      <c r="S15" s="355">
        <f>-('5C1Q_Advantage'!AL15+'5C1Q_Advantage'!AO15)</f>
        <v>0</v>
      </c>
      <c r="T15" s="355">
        <f>-('5C1R_Iberville'!AL15+'5C1R_Iberville'!AO15)</f>
        <v>0</v>
      </c>
      <c r="U15" s="355">
        <f>-('5C1S_LC Col Prep'!AL15+'5C1S_LC Col Prep'!AO15)</f>
        <v>0</v>
      </c>
      <c r="V15" s="355">
        <f>-('5C1T_Northeast'!AL15+'5C1T_Northeast'!AO15)</f>
        <v>0</v>
      </c>
      <c r="W15" s="355">
        <f>-('5C1U_Acadiana Ren'!AL15+'5C1U_Acadiana Ren'!AO15)</f>
        <v>0</v>
      </c>
      <c r="X15" s="355">
        <f>-('5C1V_Laf Ren'!AL15+'5C1V_Laf Ren'!AO15)</f>
        <v>0</v>
      </c>
      <c r="Y15" s="355">
        <f>-('5C1W_Willow'!AL15+'5C1W_Willow'!AO15)</f>
        <v>0</v>
      </c>
      <c r="Z15" s="355">
        <f>-('5C1Y_GEO'!AL15+'5C1Y_GEO'!AO15)</f>
        <v>0</v>
      </c>
      <c r="AA15" s="355">
        <f>-('5C1Z_Lincoln Prep'!AL15+'5C1Z_Lincoln Prep'!AO15)</f>
        <v>0</v>
      </c>
      <c r="AB15" s="355">
        <f>-('5C1AD_Greater'!$AL15+'5C1AD_Greater'!$AO15)</f>
        <v>0</v>
      </c>
      <c r="AC15" s="355">
        <f>-('5C1AE_Noble Minds'!$AL15+'5C1AE_Noble Minds'!$AO15)</f>
        <v>0</v>
      </c>
      <c r="AD15" s="355">
        <f>-('5C1AF_JCFA-Laf'!$AL15+'5C1AF_JCFA-Laf'!$AO15)</f>
        <v>0</v>
      </c>
      <c r="AE15" s="355">
        <f>-('5C1AG_Collegiate'!$AL15+'5C1AG_Collegiate'!$AO15)</f>
        <v>0</v>
      </c>
      <c r="AF15" s="355">
        <f>-('5C1AH_BRUP'!$AL15+'5C1AH_BRUP'!$AO15)</f>
        <v>0</v>
      </c>
      <c r="AG15" s="355">
        <f>-('5C1AI_Harmony'!$AL15+'5C1AI_Harmony'!$AO15)</f>
        <v>0</v>
      </c>
      <c r="AH15" s="355">
        <f>-('5C1AJ_Athlos'!$AL15+'5C1AJ_Athlos'!$AO15)</f>
        <v>0</v>
      </c>
      <c r="AI15" s="355">
        <f>-('5C1AK_NxtGen'!$AL15+'5C1AK_NxtGen'!$AO15)</f>
        <v>0</v>
      </c>
      <c r="AJ15" s="355">
        <f>-('5C1AL_Red River'!$AL15+'5C1AL_Red River'!$AO15)</f>
        <v>0</v>
      </c>
      <c r="AK15" s="355">
        <f>-('5C2_LAVCA'!AM15+'5C2_LAVCA'!AP15)</f>
        <v>-594740</v>
      </c>
      <c r="AL15" s="355">
        <f>-('5C3_UnvView'!AM15+'5C3_UnvView'!AP15)</f>
        <v>-377869</v>
      </c>
      <c r="AM15" s="356">
        <f t="shared" si="2"/>
        <v>-5623749</v>
      </c>
      <c r="AN15" s="357">
        <f t="shared" si="3"/>
        <v>205072685</v>
      </c>
    </row>
    <row r="16" spans="1:40" ht="15.6" customHeight="1" x14ac:dyDescent="0.2">
      <c r="A16" s="358">
        <v>10</v>
      </c>
      <c r="B16" s="359" t="s">
        <v>14</v>
      </c>
      <c r="C16" s="360">
        <f>'2_State Distrib and Adjs'!BD16</f>
        <v>133122417</v>
      </c>
      <c r="D16" s="360">
        <f>-'5A3_OJJ'!P16</f>
        <v>-60094</v>
      </c>
      <c r="E16" s="360"/>
      <c r="F16" s="360">
        <f>-('5C1A_Madison'!AL16+'5C1A_Madison'!AO16)</f>
        <v>0</v>
      </c>
      <c r="G16" s="360">
        <f>-('5C1B_DArbonne'!AL16+'5C1B_DArbonne'!AO16)</f>
        <v>0</v>
      </c>
      <c r="H16" s="360">
        <f>-('5C1C_Intl High'!AL16+'5C1C_Intl High'!AO16)</f>
        <v>0</v>
      </c>
      <c r="I16" s="360">
        <f>-('5C1D_NOMMA'!AL16+'5C1D_NOMMA'!AO16)</f>
        <v>0</v>
      </c>
      <c r="J16" s="360">
        <f>-('5C1E_LFNO'!AL16+'5C1E_LFNO'!AO16)</f>
        <v>0</v>
      </c>
      <c r="K16" s="360">
        <f>-('5C1F_L.C. Charter'!AL16+'5C1F_L.C. Charter'!AO16)</f>
        <v>-6706977</v>
      </c>
      <c r="L16" s="360">
        <f>-('5C1G_JS Clark'!AL16+'5C1G_JS Clark'!AO16)</f>
        <v>0</v>
      </c>
      <c r="M16" s="360">
        <f>-('5C1H_Southwest'!AL16+'5C1H_Southwest'!AO16)</f>
        <v>-4958792</v>
      </c>
      <c r="N16" s="360">
        <f>-('5C1I_LA Key'!AL16+'5C1I_LA Key'!AO16)</f>
        <v>0</v>
      </c>
      <c r="O16" s="360">
        <f>-('5C1J_JCFA-East'!AL16+'5C1J_JCFA-East'!AO16)</f>
        <v>0</v>
      </c>
      <c r="P16" s="360">
        <f>-('5C1M_GEO Mid'!AL16+'5C1M_GEO Mid'!AO16)</f>
        <v>0</v>
      </c>
      <c r="Q16" s="360">
        <f>-('5C1N_Delta'!AL16+'5C1N_Delta'!AO16)</f>
        <v>0</v>
      </c>
      <c r="R16" s="360">
        <f>-('5C1O_Impact'!AL16+'5C1O_Impact'!AO16)</f>
        <v>0</v>
      </c>
      <c r="S16" s="360">
        <f>-('5C1Q_Advantage'!AL16+'5C1Q_Advantage'!AO16)</f>
        <v>0</v>
      </c>
      <c r="T16" s="360">
        <f>-('5C1R_Iberville'!AL16+'5C1R_Iberville'!AO16)</f>
        <v>-3628</v>
      </c>
      <c r="U16" s="360">
        <f>-('5C1S_LC Col Prep'!AL16+'5C1S_LC Col Prep'!AO16)</f>
        <v>-3619704</v>
      </c>
      <c r="V16" s="360">
        <f>-('5C1T_Northeast'!AL16+'5C1T_Northeast'!AO16)</f>
        <v>0</v>
      </c>
      <c r="W16" s="360">
        <f>-('5C1U_Acadiana Ren'!AL16+'5C1U_Acadiana Ren'!AO16)</f>
        <v>0</v>
      </c>
      <c r="X16" s="360">
        <f>-('5C1V_Laf Ren'!AL16+'5C1V_Laf Ren'!AO16)</f>
        <v>0</v>
      </c>
      <c r="Y16" s="360">
        <f>-('5C1W_Willow'!AL16+'5C1W_Willow'!AO16)</f>
        <v>0</v>
      </c>
      <c r="Z16" s="360">
        <f>-('5C1Y_GEO'!AL16+'5C1Y_GEO'!AO16)</f>
        <v>0</v>
      </c>
      <c r="AA16" s="360">
        <f>-('5C1Z_Lincoln Prep'!AL16+'5C1Z_Lincoln Prep'!AO16)</f>
        <v>0</v>
      </c>
      <c r="AB16" s="360">
        <f>-('5C1AD_Greater'!$AL16+'5C1AD_Greater'!$AO16)</f>
        <v>0</v>
      </c>
      <c r="AC16" s="360">
        <f>-('5C1AE_Noble Minds'!$AL16+'5C1AE_Noble Minds'!$AO16)</f>
        <v>0</v>
      </c>
      <c r="AD16" s="360">
        <f>-('5C1AF_JCFA-Laf'!$AL16+'5C1AF_JCFA-Laf'!$AO16)</f>
        <v>0</v>
      </c>
      <c r="AE16" s="360">
        <f>-('5C1AG_Collegiate'!$AL16+'5C1AG_Collegiate'!$AO16)</f>
        <v>0</v>
      </c>
      <c r="AF16" s="360">
        <f>-('5C1AH_BRUP'!$AL16+'5C1AH_BRUP'!$AO16)</f>
        <v>0</v>
      </c>
      <c r="AG16" s="657">
        <f>-('5C1AI_Harmony'!$AL16+'5C1AI_Harmony'!$AO16)</f>
        <v>0</v>
      </c>
      <c r="AH16" s="657">
        <f>-('5C1AJ_Athlos'!$AL16+'5C1AJ_Athlos'!$AO16)</f>
        <v>0</v>
      </c>
      <c r="AI16" s="892">
        <f>-('5C1AK_NxtGen'!$AL16+'5C1AK_NxtGen'!$AO16)</f>
        <v>0</v>
      </c>
      <c r="AJ16" s="892">
        <f>-('5C1AL_Red River'!$AL16+'5C1AL_Red River'!$AO16)</f>
        <v>0</v>
      </c>
      <c r="AK16" s="360">
        <f>-('5C2_LAVCA'!AM16+'5C2_LAVCA'!AP16)</f>
        <v>-440741</v>
      </c>
      <c r="AL16" s="360">
        <f>-('5C3_UnvView'!AM16+'5C3_UnvView'!AP16)</f>
        <v>-605197</v>
      </c>
      <c r="AM16" s="361">
        <f t="shared" si="2"/>
        <v>-16395133</v>
      </c>
      <c r="AN16" s="362">
        <f t="shared" si="3"/>
        <v>116727284</v>
      </c>
    </row>
    <row r="17" spans="1:40" ht="15.6" customHeight="1" x14ac:dyDescent="0.2">
      <c r="A17" s="347">
        <v>11</v>
      </c>
      <c r="B17" s="348" t="s">
        <v>15</v>
      </c>
      <c r="C17" s="349">
        <f>'2_State Distrib and Adjs'!BD17</f>
        <v>12548968</v>
      </c>
      <c r="D17" s="349">
        <f>-'5A3_OJJ'!P17</f>
        <v>0</v>
      </c>
      <c r="E17" s="349"/>
      <c r="F17" s="349">
        <f>-('5C1A_Madison'!AL17+'5C1A_Madison'!AO17)</f>
        <v>0</v>
      </c>
      <c r="G17" s="349">
        <f>-('5C1B_DArbonne'!AL17+'5C1B_DArbonne'!AO17)</f>
        <v>0</v>
      </c>
      <c r="H17" s="349">
        <f>-('5C1C_Intl High'!AL17+'5C1C_Intl High'!AO17)</f>
        <v>0</v>
      </c>
      <c r="I17" s="349">
        <f>-('5C1D_NOMMA'!AL17+'5C1D_NOMMA'!AO17)</f>
        <v>0</v>
      </c>
      <c r="J17" s="349">
        <f>-('5C1E_LFNO'!AL17+'5C1E_LFNO'!AO17)</f>
        <v>0</v>
      </c>
      <c r="K17" s="349">
        <f>-('5C1F_L.C. Charter'!AL17+'5C1F_L.C. Charter'!AO17)</f>
        <v>0</v>
      </c>
      <c r="L17" s="349">
        <f>-('5C1G_JS Clark'!AL17+'5C1G_JS Clark'!AO17)</f>
        <v>0</v>
      </c>
      <c r="M17" s="349">
        <f>-('5C1H_Southwest'!AL17+'5C1H_Southwest'!AO17)</f>
        <v>0</v>
      </c>
      <c r="N17" s="349">
        <f>-('5C1I_LA Key'!AL17+'5C1I_LA Key'!AO17)</f>
        <v>0</v>
      </c>
      <c r="O17" s="349">
        <f>-('5C1J_JCFA-East'!AL17+'5C1J_JCFA-East'!AO17)</f>
        <v>0</v>
      </c>
      <c r="P17" s="349">
        <f>-('5C1M_GEO Mid'!AL17+'5C1M_GEO Mid'!AO17)</f>
        <v>0</v>
      </c>
      <c r="Q17" s="349">
        <f>-('5C1N_Delta'!AL17+'5C1N_Delta'!AO17)</f>
        <v>0</v>
      </c>
      <c r="R17" s="349">
        <f>-('5C1O_Impact'!AL17+'5C1O_Impact'!AO17)</f>
        <v>0</v>
      </c>
      <c r="S17" s="349">
        <f>-('5C1Q_Advantage'!AL17+'5C1Q_Advantage'!AO17)</f>
        <v>0</v>
      </c>
      <c r="T17" s="349">
        <f>-('5C1R_Iberville'!AL17+'5C1R_Iberville'!AO17)</f>
        <v>0</v>
      </c>
      <c r="U17" s="349">
        <f>-('5C1S_LC Col Prep'!AL17+'5C1S_LC Col Prep'!AO17)</f>
        <v>0</v>
      </c>
      <c r="V17" s="349">
        <f>-('5C1T_Northeast'!AL17+'5C1T_Northeast'!AO17)</f>
        <v>0</v>
      </c>
      <c r="W17" s="349">
        <f>-('5C1U_Acadiana Ren'!AL17+'5C1U_Acadiana Ren'!AO17)</f>
        <v>0</v>
      </c>
      <c r="X17" s="349">
        <f>-('5C1V_Laf Ren'!AL17+'5C1V_Laf Ren'!AO17)</f>
        <v>0</v>
      </c>
      <c r="Y17" s="349">
        <f>-('5C1W_Willow'!AL17+'5C1W_Willow'!AO17)</f>
        <v>0</v>
      </c>
      <c r="Z17" s="349">
        <f>-('5C1Y_GEO'!AL17+'5C1Y_GEO'!AO17)</f>
        <v>0</v>
      </c>
      <c r="AA17" s="350">
        <f>-('5C1Z_Lincoln Prep'!AL17+'5C1Z_Lincoln Prep'!AO17)</f>
        <v>0</v>
      </c>
      <c r="AB17" s="350">
        <f>-('5C1AD_Greater'!$AL17+'5C1AD_Greater'!$AO17)</f>
        <v>0</v>
      </c>
      <c r="AC17" s="350">
        <f>-('5C1AE_Noble Minds'!$AL17+'5C1AE_Noble Minds'!$AO17)</f>
        <v>0</v>
      </c>
      <c r="AD17" s="350">
        <f>-('5C1AF_JCFA-Laf'!$AL17+'5C1AF_JCFA-Laf'!$AO17)</f>
        <v>0</v>
      </c>
      <c r="AE17" s="350">
        <f>-('5C1AG_Collegiate'!$AL17+'5C1AG_Collegiate'!$AO17)</f>
        <v>0</v>
      </c>
      <c r="AF17" s="350">
        <f>-('5C1AH_BRUP'!$AL17+'5C1AH_BRUP'!$AO17)</f>
        <v>0</v>
      </c>
      <c r="AG17" s="656">
        <f>-('5C1AI_Harmony'!$AL17+'5C1AI_Harmony'!$AO17)</f>
        <v>0</v>
      </c>
      <c r="AH17" s="656">
        <f>-('5C1AJ_Athlos'!$AL17+'5C1AJ_Athlos'!$AO17)</f>
        <v>0</v>
      </c>
      <c r="AI17" s="656">
        <f>-('5C1AK_NxtGen'!$AL17+'5C1AK_NxtGen'!$AO17)</f>
        <v>0</v>
      </c>
      <c r="AJ17" s="656">
        <f>-('5C1AL_Red River'!$AL17+'5C1AL_Red River'!$AO17)</f>
        <v>0</v>
      </c>
      <c r="AK17" s="349">
        <f>-('5C2_LAVCA'!AM17+'5C2_LAVCA'!AP17)</f>
        <v>-4724</v>
      </c>
      <c r="AL17" s="349">
        <f>-('5C3_UnvView'!AM17+'5C3_UnvView'!AP17)</f>
        <v>-17353</v>
      </c>
      <c r="AM17" s="351">
        <f t="shared" si="2"/>
        <v>-22077</v>
      </c>
      <c r="AN17" s="352">
        <f t="shared" si="3"/>
        <v>12526891</v>
      </c>
    </row>
    <row r="18" spans="1:40" ht="15.6" customHeight="1" x14ac:dyDescent="0.2">
      <c r="A18" s="353">
        <v>12</v>
      </c>
      <c r="B18" s="354" t="s">
        <v>16</v>
      </c>
      <c r="C18" s="355">
        <f>'2_State Distrib and Adjs'!BD18</f>
        <v>3909884</v>
      </c>
      <c r="D18" s="355">
        <f>-'5A3_OJJ'!P18</f>
        <v>0</v>
      </c>
      <c r="E18" s="355"/>
      <c r="F18" s="355">
        <f>-('5C1A_Madison'!AL18+'5C1A_Madison'!AO18)</f>
        <v>0</v>
      </c>
      <c r="G18" s="355">
        <f>-('5C1B_DArbonne'!AL18+'5C1B_DArbonne'!AO18)</f>
        <v>0</v>
      </c>
      <c r="H18" s="355">
        <f>-('5C1C_Intl High'!AL18+'5C1C_Intl High'!AO18)</f>
        <v>0</v>
      </c>
      <c r="I18" s="355">
        <f>-('5C1D_NOMMA'!AL18+'5C1D_NOMMA'!AO18)</f>
        <v>0</v>
      </c>
      <c r="J18" s="355">
        <f>-('5C1E_LFNO'!AL18+'5C1E_LFNO'!AO18)</f>
        <v>0</v>
      </c>
      <c r="K18" s="355">
        <f>-('5C1F_L.C. Charter'!AL18+'5C1F_L.C. Charter'!AO18)</f>
        <v>0</v>
      </c>
      <c r="L18" s="355">
        <f>-('5C1G_JS Clark'!AL18+'5C1G_JS Clark'!AO18)</f>
        <v>0</v>
      </c>
      <c r="M18" s="355">
        <f>-('5C1H_Southwest'!AL18+'5C1H_Southwest'!AO18)</f>
        <v>-19590</v>
      </c>
      <c r="N18" s="355">
        <f>-('5C1I_LA Key'!AL18+'5C1I_LA Key'!AO18)</f>
        <v>0</v>
      </c>
      <c r="O18" s="355">
        <f>-('5C1J_JCFA-East'!AL18+'5C1J_JCFA-East'!AO18)</f>
        <v>0</v>
      </c>
      <c r="P18" s="355">
        <f>-('5C1M_GEO Mid'!AL18+'5C1M_GEO Mid'!AO18)</f>
        <v>0</v>
      </c>
      <c r="Q18" s="355">
        <f>-('5C1N_Delta'!AL18+'5C1N_Delta'!AO18)</f>
        <v>0</v>
      </c>
      <c r="R18" s="355">
        <f>-('5C1O_Impact'!AL18+'5C1O_Impact'!AO18)</f>
        <v>0</v>
      </c>
      <c r="S18" s="355">
        <f>-('5C1Q_Advantage'!AL18+'5C1Q_Advantage'!AO18)</f>
        <v>0</v>
      </c>
      <c r="T18" s="355">
        <f>-('5C1R_Iberville'!AL18+'5C1R_Iberville'!AO18)</f>
        <v>0</v>
      </c>
      <c r="U18" s="355">
        <f>-('5C1S_LC Col Prep'!AL18+'5C1S_LC Col Prep'!AO18)</f>
        <v>0</v>
      </c>
      <c r="V18" s="355">
        <f>-('5C1T_Northeast'!AL18+'5C1T_Northeast'!AO18)</f>
        <v>0</v>
      </c>
      <c r="W18" s="355">
        <f>-('5C1U_Acadiana Ren'!AL18+'5C1U_Acadiana Ren'!AO18)</f>
        <v>0</v>
      </c>
      <c r="X18" s="355">
        <f>-('5C1V_Laf Ren'!AL18+'5C1V_Laf Ren'!AO18)</f>
        <v>0</v>
      </c>
      <c r="Y18" s="355">
        <f>-('5C1W_Willow'!AL18+'5C1W_Willow'!AO18)</f>
        <v>0</v>
      </c>
      <c r="Z18" s="355">
        <f>-('5C1Y_GEO'!AL18+'5C1Y_GEO'!AO18)</f>
        <v>0</v>
      </c>
      <c r="AA18" s="355">
        <f>-('5C1Z_Lincoln Prep'!AL18+'5C1Z_Lincoln Prep'!AO18)</f>
        <v>0</v>
      </c>
      <c r="AB18" s="355">
        <f>-('5C1AD_Greater'!$AL18+'5C1AD_Greater'!$AO18)</f>
        <v>0</v>
      </c>
      <c r="AC18" s="355">
        <f>-('5C1AE_Noble Minds'!$AL18+'5C1AE_Noble Minds'!$AO18)</f>
        <v>0</v>
      </c>
      <c r="AD18" s="355">
        <f>-('5C1AF_JCFA-Laf'!$AL18+'5C1AF_JCFA-Laf'!$AO18)</f>
        <v>0</v>
      </c>
      <c r="AE18" s="355">
        <f>-('5C1AG_Collegiate'!$AL18+'5C1AG_Collegiate'!$AO18)</f>
        <v>0</v>
      </c>
      <c r="AF18" s="355">
        <f>-('5C1AH_BRUP'!$AL18+'5C1AH_BRUP'!$AO18)</f>
        <v>0</v>
      </c>
      <c r="AG18" s="355">
        <f>-('5C1AI_Harmony'!$AL18+'5C1AI_Harmony'!$AO18)</f>
        <v>0</v>
      </c>
      <c r="AH18" s="355">
        <f>-('5C1AJ_Athlos'!$AL18+'5C1AJ_Athlos'!$AO18)</f>
        <v>0</v>
      </c>
      <c r="AI18" s="355">
        <f>-('5C1AK_NxtGen'!$AL18+'5C1AK_NxtGen'!$AO18)</f>
        <v>0</v>
      </c>
      <c r="AJ18" s="355">
        <f>-('5C1AL_Red River'!$AL18+'5C1AL_Red River'!$AO18)</f>
        <v>0</v>
      </c>
      <c r="AK18" s="355">
        <f>-('5C2_LAVCA'!AM18+'5C2_LAVCA'!AP18)</f>
        <v>0</v>
      </c>
      <c r="AL18" s="355">
        <f>-('5C3_UnvView'!AM18+'5C3_UnvView'!AP18)</f>
        <v>-7052</v>
      </c>
      <c r="AM18" s="356">
        <f t="shared" si="2"/>
        <v>-26642</v>
      </c>
      <c r="AN18" s="357">
        <f t="shared" si="3"/>
        <v>3883242</v>
      </c>
    </row>
    <row r="19" spans="1:40" ht="15.6" customHeight="1" x14ac:dyDescent="0.2">
      <c r="A19" s="353">
        <v>13</v>
      </c>
      <c r="B19" s="354" t="s">
        <v>17</v>
      </c>
      <c r="C19" s="355">
        <f>'2_State Distrib and Adjs'!BD19</f>
        <v>8559956</v>
      </c>
      <c r="D19" s="355">
        <f>-'5A3_OJJ'!P19</f>
        <v>0</v>
      </c>
      <c r="E19" s="355"/>
      <c r="F19" s="355">
        <f>-('5C1A_Madison'!AL19+'5C1A_Madison'!AO19)</f>
        <v>0</v>
      </c>
      <c r="G19" s="355">
        <f>-('5C1B_DArbonne'!AL19+'5C1B_DArbonne'!AO19)</f>
        <v>0</v>
      </c>
      <c r="H19" s="355">
        <f>-('5C1C_Intl High'!AL19+'5C1C_Intl High'!AO19)</f>
        <v>0</v>
      </c>
      <c r="I19" s="355">
        <f>-('5C1D_NOMMA'!AL19+'5C1D_NOMMA'!AO19)</f>
        <v>0</v>
      </c>
      <c r="J19" s="355">
        <f>-('5C1E_LFNO'!AL19+'5C1E_LFNO'!AO19)</f>
        <v>0</v>
      </c>
      <c r="K19" s="355">
        <f>-('5C1F_L.C. Charter'!AL19+'5C1F_L.C. Charter'!AO19)</f>
        <v>0</v>
      </c>
      <c r="L19" s="355">
        <f>-('5C1G_JS Clark'!AL19+'5C1G_JS Clark'!AO19)</f>
        <v>0</v>
      </c>
      <c r="M19" s="355">
        <f>-('5C1H_Southwest'!AL19+'5C1H_Southwest'!AO19)</f>
        <v>0</v>
      </c>
      <c r="N19" s="355">
        <f>-('5C1I_LA Key'!AL19+'5C1I_LA Key'!AO19)</f>
        <v>0</v>
      </c>
      <c r="O19" s="355">
        <f>-('5C1J_JCFA-East'!AL19+'5C1J_JCFA-East'!AO19)</f>
        <v>0</v>
      </c>
      <c r="P19" s="355">
        <f>-('5C1M_GEO Mid'!AL19+'5C1M_GEO Mid'!AO19)</f>
        <v>0</v>
      </c>
      <c r="Q19" s="355">
        <f>-('5C1N_Delta'!AL19+'5C1N_Delta'!AO19)</f>
        <v>-268768</v>
      </c>
      <c r="R19" s="355">
        <f>-('5C1O_Impact'!AL19+'5C1O_Impact'!AO19)</f>
        <v>0</v>
      </c>
      <c r="S19" s="355">
        <f>-('5C1Q_Advantage'!AL19+'5C1Q_Advantage'!AO19)</f>
        <v>0</v>
      </c>
      <c r="T19" s="355">
        <f>-('5C1R_Iberville'!AL19+'5C1R_Iberville'!AO19)</f>
        <v>0</v>
      </c>
      <c r="U19" s="355">
        <f>-('5C1S_LC Col Prep'!AL19+'5C1S_LC Col Prep'!AO19)</f>
        <v>0</v>
      </c>
      <c r="V19" s="355">
        <f>-('5C1T_Northeast'!AL19+'5C1T_Northeast'!AO19)</f>
        <v>0</v>
      </c>
      <c r="W19" s="355">
        <f>-('5C1U_Acadiana Ren'!AL19+'5C1U_Acadiana Ren'!AO19)</f>
        <v>0</v>
      </c>
      <c r="X19" s="355">
        <f>-('5C1V_Laf Ren'!AL19+'5C1V_Laf Ren'!AO19)</f>
        <v>0</v>
      </c>
      <c r="Y19" s="355">
        <f>-('5C1W_Willow'!AL19+'5C1W_Willow'!AO19)</f>
        <v>0</v>
      </c>
      <c r="Z19" s="355">
        <f>-('5C1Y_GEO'!AL19+'5C1Y_GEO'!AO19)</f>
        <v>0</v>
      </c>
      <c r="AA19" s="355">
        <f>-('5C1Z_Lincoln Prep'!AL19+'5C1Z_Lincoln Prep'!AO19)</f>
        <v>0</v>
      </c>
      <c r="AB19" s="355">
        <f>-('5C1AD_Greater'!$AL19+'5C1AD_Greater'!$AO19)</f>
        <v>0</v>
      </c>
      <c r="AC19" s="355">
        <f>-('5C1AE_Noble Minds'!$AL19+'5C1AE_Noble Minds'!$AO19)</f>
        <v>0</v>
      </c>
      <c r="AD19" s="355">
        <f>-('5C1AF_JCFA-Laf'!$AL19+'5C1AF_JCFA-Laf'!$AO19)</f>
        <v>0</v>
      </c>
      <c r="AE19" s="355">
        <f>-('5C1AG_Collegiate'!$AL19+'5C1AG_Collegiate'!$AO19)</f>
        <v>0</v>
      </c>
      <c r="AF19" s="355">
        <f>-('5C1AH_BRUP'!$AL19+'5C1AH_BRUP'!$AO19)</f>
        <v>0</v>
      </c>
      <c r="AG19" s="355">
        <f>-('5C1AI_Harmony'!$AL19+'5C1AI_Harmony'!$AO19)</f>
        <v>0</v>
      </c>
      <c r="AH19" s="355">
        <f>-('5C1AJ_Athlos'!$AL19+'5C1AJ_Athlos'!$AO19)</f>
        <v>0</v>
      </c>
      <c r="AI19" s="355">
        <f>-('5C1AK_NxtGen'!$AL19+'5C1AK_NxtGen'!$AO19)</f>
        <v>0</v>
      </c>
      <c r="AJ19" s="355">
        <f>-('5C1AL_Red River'!$AL19+'5C1AL_Red River'!$AO19)</f>
        <v>0</v>
      </c>
      <c r="AK19" s="355">
        <f>-('5C2_LAVCA'!AM19+'5C2_LAVCA'!AP19)</f>
        <v>-17568</v>
      </c>
      <c r="AL19" s="355">
        <f>-('5C3_UnvView'!AM19+'5C3_UnvView'!AP19)</f>
        <v>-18919</v>
      </c>
      <c r="AM19" s="356">
        <f t="shared" si="2"/>
        <v>-305255</v>
      </c>
      <c r="AN19" s="357">
        <f t="shared" si="3"/>
        <v>8254701</v>
      </c>
    </row>
    <row r="20" spans="1:40" ht="15.6" customHeight="1" x14ac:dyDescent="0.2">
      <c r="A20" s="353">
        <v>14</v>
      </c>
      <c r="B20" s="354" t="s">
        <v>18</v>
      </c>
      <c r="C20" s="355">
        <f>'2_State Distrib and Adjs'!BD20</f>
        <v>11946603</v>
      </c>
      <c r="D20" s="355">
        <f>-'5A3_OJJ'!P20</f>
        <v>-2464</v>
      </c>
      <c r="E20" s="355"/>
      <c r="F20" s="355">
        <f>-('5C1A_Madison'!AL20+'5C1A_Madison'!AO20)</f>
        <v>0</v>
      </c>
      <c r="G20" s="355">
        <f>-('5C1B_DArbonne'!AL20+'5C1B_DArbonne'!AO20)</f>
        <v>-4079</v>
      </c>
      <c r="H20" s="355">
        <f>-('5C1C_Intl High'!AL20+'5C1C_Intl High'!AO20)</f>
        <v>0</v>
      </c>
      <c r="I20" s="355">
        <f>-('5C1D_NOMMA'!AL20+'5C1D_NOMMA'!AO20)</f>
        <v>0</v>
      </c>
      <c r="J20" s="355">
        <f>-('5C1E_LFNO'!AL20+'5C1E_LFNO'!AO20)</f>
        <v>0</v>
      </c>
      <c r="K20" s="355">
        <f>-('5C1F_L.C. Charter'!AL20+'5C1F_L.C. Charter'!AO20)</f>
        <v>0</v>
      </c>
      <c r="L20" s="355">
        <f>-('5C1G_JS Clark'!AL20+'5C1G_JS Clark'!AO20)</f>
        <v>0</v>
      </c>
      <c r="M20" s="355">
        <f>-('5C1H_Southwest'!AL20+'5C1H_Southwest'!AO20)</f>
        <v>0</v>
      </c>
      <c r="N20" s="355">
        <f>-('5C1I_LA Key'!AL20+'5C1I_LA Key'!AO20)</f>
        <v>0</v>
      </c>
      <c r="O20" s="355">
        <f>-('5C1J_JCFA-East'!AL20+'5C1J_JCFA-East'!AO20)</f>
        <v>0</v>
      </c>
      <c r="P20" s="355">
        <f>-('5C1M_GEO Mid'!AL20+'5C1M_GEO Mid'!AO20)</f>
        <v>0</v>
      </c>
      <c r="Q20" s="355">
        <f>-('5C1N_Delta'!AL20+'5C1N_Delta'!AO20)</f>
        <v>0</v>
      </c>
      <c r="R20" s="355">
        <f>-('5C1O_Impact'!AL20+'5C1O_Impact'!AO20)</f>
        <v>0</v>
      </c>
      <c r="S20" s="355">
        <f>-('5C1Q_Advantage'!AL20+'5C1Q_Advantage'!AO20)</f>
        <v>0</v>
      </c>
      <c r="T20" s="355">
        <f>-('5C1R_Iberville'!AL20+'5C1R_Iberville'!AO20)</f>
        <v>0</v>
      </c>
      <c r="U20" s="355">
        <f>-('5C1S_LC Col Prep'!AL20+'5C1S_LC Col Prep'!AO20)</f>
        <v>0</v>
      </c>
      <c r="V20" s="355">
        <f>-('5C1T_Northeast'!AL20+'5C1T_Northeast'!AO20)</f>
        <v>-183555</v>
      </c>
      <c r="W20" s="355">
        <f>-('5C1U_Acadiana Ren'!AL20+'5C1U_Acadiana Ren'!AO20)</f>
        <v>0</v>
      </c>
      <c r="X20" s="355">
        <f>-('5C1V_Laf Ren'!AL20+'5C1V_Laf Ren'!AO20)</f>
        <v>0</v>
      </c>
      <c r="Y20" s="355">
        <f>-('5C1W_Willow'!AL20+'5C1W_Willow'!AO20)</f>
        <v>0</v>
      </c>
      <c r="Z20" s="355">
        <f>-('5C1Y_GEO'!AL20+'5C1Y_GEO'!AO20)</f>
        <v>0</v>
      </c>
      <c r="AA20" s="355">
        <f>-('5C1Z_Lincoln Prep'!AL20+'5C1Z_Lincoln Prep'!AO20)</f>
        <v>-208029</v>
      </c>
      <c r="AB20" s="355">
        <f>-('5C1AD_Greater'!$AL20+'5C1AD_Greater'!$AO20)</f>
        <v>0</v>
      </c>
      <c r="AC20" s="355">
        <f>-('5C1AE_Noble Minds'!$AL20+'5C1AE_Noble Minds'!$AO20)</f>
        <v>0</v>
      </c>
      <c r="AD20" s="355">
        <f>-('5C1AF_JCFA-Laf'!$AL20+'5C1AF_JCFA-Laf'!$AO20)</f>
        <v>0</v>
      </c>
      <c r="AE20" s="355">
        <f>-('5C1AG_Collegiate'!$AL20+'5C1AG_Collegiate'!$AO20)</f>
        <v>0</v>
      </c>
      <c r="AF20" s="355">
        <f>-('5C1AH_BRUP'!$AL20+'5C1AH_BRUP'!$AO20)</f>
        <v>0</v>
      </c>
      <c r="AG20" s="355">
        <f>-('5C1AI_Harmony'!$AL20+'5C1AI_Harmony'!$AO20)</f>
        <v>0</v>
      </c>
      <c r="AH20" s="355">
        <f>-('5C1AJ_Athlos'!$AL20+'5C1AJ_Athlos'!$AO20)</f>
        <v>0</v>
      </c>
      <c r="AI20" s="355">
        <f>-('5C1AK_NxtGen'!$AL20+'5C1AK_NxtGen'!$AO20)</f>
        <v>0</v>
      </c>
      <c r="AJ20" s="355">
        <f>-('5C1AL_Red River'!$AL20+'5C1AL_Red River'!$AO20)</f>
        <v>0</v>
      </c>
      <c r="AK20" s="355">
        <f>-('5C2_LAVCA'!AM20+'5C2_LAVCA'!AP20)</f>
        <v>-16520</v>
      </c>
      <c r="AL20" s="355">
        <f>-('5C3_UnvView'!AM20+'5C3_UnvView'!AP20)</f>
        <v>-16520</v>
      </c>
      <c r="AM20" s="356">
        <f t="shared" si="2"/>
        <v>-431167</v>
      </c>
      <c r="AN20" s="357">
        <f t="shared" si="3"/>
        <v>11515436</v>
      </c>
    </row>
    <row r="21" spans="1:40" ht="15.6" customHeight="1" x14ac:dyDescent="0.2">
      <c r="A21" s="358">
        <v>15</v>
      </c>
      <c r="B21" s="359" t="s">
        <v>19</v>
      </c>
      <c r="C21" s="360">
        <f>'2_State Distrib and Adjs'!BD21</f>
        <v>22889731</v>
      </c>
      <c r="D21" s="360">
        <f>-'5A3_OJJ'!P21</f>
        <v>-2984</v>
      </c>
      <c r="E21" s="360"/>
      <c r="F21" s="360">
        <f>-('5C1A_Madison'!AL21+'5C1A_Madison'!AO21)</f>
        <v>0</v>
      </c>
      <c r="G21" s="360">
        <f>-('5C1B_DArbonne'!AL21+'5C1B_DArbonne'!AO21)</f>
        <v>0</v>
      </c>
      <c r="H21" s="360">
        <f>-('5C1C_Intl High'!AL21+'5C1C_Intl High'!AO21)</f>
        <v>0</v>
      </c>
      <c r="I21" s="360">
        <f>-('5C1D_NOMMA'!AL21+'5C1D_NOMMA'!AO21)</f>
        <v>0</v>
      </c>
      <c r="J21" s="360">
        <f>-('5C1E_LFNO'!AL21+'5C1E_LFNO'!AO21)</f>
        <v>0</v>
      </c>
      <c r="K21" s="360">
        <f>-('5C1F_L.C. Charter'!AL21+'5C1F_L.C. Charter'!AO21)</f>
        <v>0</v>
      </c>
      <c r="L21" s="360">
        <f>-('5C1G_JS Clark'!AL21+'5C1G_JS Clark'!AO21)</f>
        <v>0</v>
      </c>
      <c r="M21" s="360">
        <f>-('5C1H_Southwest'!AL21+'5C1H_Southwest'!AO21)</f>
        <v>0</v>
      </c>
      <c r="N21" s="360">
        <f>-('5C1I_LA Key'!AL21+'5C1I_LA Key'!AO21)</f>
        <v>0</v>
      </c>
      <c r="O21" s="360">
        <f>-('5C1J_JCFA-East'!AL21+'5C1J_JCFA-East'!AO21)</f>
        <v>0</v>
      </c>
      <c r="P21" s="360">
        <f>-('5C1M_GEO Mid'!AL21+'5C1M_GEO Mid'!AO21)</f>
        <v>0</v>
      </c>
      <c r="Q21" s="360">
        <f>-('5C1N_Delta'!AL21+'5C1N_Delta'!AO21)</f>
        <v>-1019509</v>
      </c>
      <c r="R21" s="360">
        <f>-('5C1O_Impact'!AL21+'5C1O_Impact'!AO21)</f>
        <v>0</v>
      </c>
      <c r="S21" s="360">
        <f>-('5C1Q_Advantage'!AL21+'5C1Q_Advantage'!AO21)</f>
        <v>0</v>
      </c>
      <c r="T21" s="360">
        <f>-('5C1R_Iberville'!AL21+'5C1R_Iberville'!AO21)</f>
        <v>0</v>
      </c>
      <c r="U21" s="360">
        <f>-('5C1S_LC Col Prep'!AL21+'5C1S_LC Col Prep'!AO21)</f>
        <v>0</v>
      </c>
      <c r="V21" s="360">
        <f>-('5C1T_Northeast'!AL21+'5C1T_Northeast'!AO21)</f>
        <v>0</v>
      </c>
      <c r="W21" s="360">
        <f>-('5C1U_Acadiana Ren'!AL21+'5C1U_Acadiana Ren'!AO21)</f>
        <v>0</v>
      </c>
      <c r="X21" s="360">
        <f>-('5C1V_Laf Ren'!AL21+'5C1V_Laf Ren'!AO21)</f>
        <v>0</v>
      </c>
      <c r="Y21" s="360">
        <f>-('5C1W_Willow'!AL21+'5C1W_Willow'!AO21)</f>
        <v>0</v>
      </c>
      <c r="Z21" s="360">
        <f>-('5C1Y_GEO'!AL21+'5C1Y_GEO'!AO21)</f>
        <v>0</v>
      </c>
      <c r="AA21" s="360">
        <f>-('5C1Z_Lincoln Prep'!AL21+'5C1Z_Lincoln Prep'!AO21)</f>
        <v>0</v>
      </c>
      <c r="AB21" s="360">
        <f>-('5C1AD_Greater'!$AL21+'5C1AD_Greater'!$AO21)</f>
        <v>0</v>
      </c>
      <c r="AC21" s="360">
        <f>-('5C1AE_Noble Minds'!$AL21+'5C1AE_Noble Minds'!$AO21)</f>
        <v>0</v>
      </c>
      <c r="AD21" s="360">
        <f>-('5C1AF_JCFA-Laf'!$AL21+'5C1AF_JCFA-Laf'!$AO21)</f>
        <v>0</v>
      </c>
      <c r="AE21" s="360">
        <f>-('5C1AG_Collegiate'!$AL21+'5C1AG_Collegiate'!$AO21)</f>
        <v>0</v>
      </c>
      <c r="AF21" s="360">
        <f>-('5C1AH_BRUP'!$AL21+'5C1AH_BRUP'!$AO21)</f>
        <v>0</v>
      </c>
      <c r="AG21" s="657">
        <f>-('5C1AI_Harmony'!$AL21+'5C1AI_Harmony'!$AO21)</f>
        <v>0</v>
      </c>
      <c r="AH21" s="657">
        <f>-('5C1AJ_Athlos'!$AL21+'5C1AJ_Athlos'!$AO21)</f>
        <v>0</v>
      </c>
      <c r="AI21" s="892">
        <f>-('5C1AK_NxtGen'!$AL21+'5C1AK_NxtGen'!$AO21)</f>
        <v>0</v>
      </c>
      <c r="AJ21" s="892">
        <f>-('5C1AL_Red River'!$AL21+'5C1AL_Red River'!$AO21)</f>
        <v>0</v>
      </c>
      <c r="AK21" s="360">
        <f>-('5C2_LAVCA'!AM21+'5C2_LAVCA'!AP21)</f>
        <v>-22011</v>
      </c>
      <c r="AL21" s="360">
        <f>-('5C3_UnvView'!AM21+'5C3_UnvView'!AP21)</f>
        <v>-20635</v>
      </c>
      <c r="AM21" s="361">
        <f t="shared" si="2"/>
        <v>-1065139</v>
      </c>
      <c r="AN21" s="362">
        <f t="shared" si="3"/>
        <v>21824592</v>
      </c>
    </row>
    <row r="22" spans="1:40" ht="15.6" customHeight="1" x14ac:dyDescent="0.2">
      <c r="A22" s="347">
        <v>16</v>
      </c>
      <c r="B22" s="348" t="s">
        <v>20</v>
      </c>
      <c r="C22" s="349">
        <f>'2_State Distrib and Adjs'!BD22</f>
        <v>15093699</v>
      </c>
      <c r="D22" s="349">
        <f>-'5A3_OJJ'!P22</f>
        <v>-6644</v>
      </c>
      <c r="E22" s="349"/>
      <c r="F22" s="349">
        <f>-('5C1A_Madison'!AL22+'5C1A_Madison'!AO22)</f>
        <v>0</v>
      </c>
      <c r="G22" s="349">
        <f>-('5C1B_DArbonne'!AL22+'5C1B_DArbonne'!AO22)</f>
        <v>0</v>
      </c>
      <c r="H22" s="349">
        <f>-('5C1C_Intl High'!AL22+'5C1C_Intl High'!AO22)</f>
        <v>0</v>
      </c>
      <c r="I22" s="349">
        <f>-('5C1D_NOMMA'!AL22+'5C1D_NOMMA'!AO22)</f>
        <v>0</v>
      </c>
      <c r="J22" s="349">
        <f>-('5C1E_LFNO'!AL22+'5C1E_LFNO'!AO22)</f>
        <v>0</v>
      </c>
      <c r="K22" s="349">
        <f>-('5C1F_L.C. Charter'!AL22+'5C1F_L.C. Charter'!AO22)</f>
        <v>0</v>
      </c>
      <c r="L22" s="349">
        <f>-('5C1G_JS Clark'!AL22+'5C1G_JS Clark'!AO22)</f>
        <v>0</v>
      </c>
      <c r="M22" s="349">
        <f>-('5C1H_Southwest'!AL22+'5C1H_Southwest'!AO22)</f>
        <v>0</v>
      </c>
      <c r="N22" s="349">
        <f>-('5C1I_LA Key'!AL22+'5C1I_LA Key'!AO22)</f>
        <v>0</v>
      </c>
      <c r="O22" s="349">
        <f>-('5C1J_JCFA-East'!AL22+'5C1J_JCFA-East'!AO22)</f>
        <v>0</v>
      </c>
      <c r="P22" s="349">
        <f>-('5C1M_GEO Mid'!AL22+'5C1M_GEO Mid'!AO22)</f>
        <v>0</v>
      </c>
      <c r="Q22" s="349">
        <f>-('5C1N_Delta'!AL22+'5C1N_Delta'!AO22)</f>
        <v>0</v>
      </c>
      <c r="R22" s="349">
        <f>-('5C1O_Impact'!AL22+'5C1O_Impact'!AO22)</f>
        <v>0</v>
      </c>
      <c r="S22" s="349">
        <f>-('5C1Q_Advantage'!AL22+'5C1Q_Advantage'!AO22)</f>
        <v>0</v>
      </c>
      <c r="T22" s="349">
        <f>-('5C1R_Iberville'!AL22+'5C1R_Iberville'!AO22)</f>
        <v>0</v>
      </c>
      <c r="U22" s="349">
        <f>-('5C1S_LC Col Prep'!AL22+'5C1S_LC Col Prep'!AO22)</f>
        <v>0</v>
      </c>
      <c r="V22" s="349">
        <f>-('5C1T_Northeast'!AL22+'5C1T_Northeast'!AO22)</f>
        <v>0</v>
      </c>
      <c r="W22" s="349">
        <f>-('5C1U_Acadiana Ren'!AL22+'5C1U_Acadiana Ren'!AO22)</f>
        <v>0</v>
      </c>
      <c r="X22" s="349">
        <f>-('5C1V_Laf Ren'!AL22+'5C1V_Laf Ren'!AO22)</f>
        <v>0</v>
      </c>
      <c r="Y22" s="349">
        <f>-('5C1W_Willow'!AL22+'5C1W_Willow'!AO22)</f>
        <v>0</v>
      </c>
      <c r="Z22" s="349">
        <f>-('5C1Y_GEO'!AL22+'5C1Y_GEO'!AO22)</f>
        <v>0</v>
      </c>
      <c r="AA22" s="350">
        <f>-('5C1Z_Lincoln Prep'!AL22+'5C1Z_Lincoln Prep'!AO22)</f>
        <v>0</v>
      </c>
      <c r="AB22" s="350">
        <f>-('5C1AD_Greater'!$AL22+'5C1AD_Greater'!$AO22)</f>
        <v>0</v>
      </c>
      <c r="AC22" s="350">
        <f>-('5C1AE_Noble Minds'!$AL22+'5C1AE_Noble Minds'!$AO22)</f>
        <v>0</v>
      </c>
      <c r="AD22" s="350">
        <f>-('5C1AF_JCFA-Laf'!$AL22+'5C1AF_JCFA-Laf'!$AO22)</f>
        <v>0</v>
      </c>
      <c r="AE22" s="350">
        <f>-('5C1AG_Collegiate'!$AL22+'5C1AG_Collegiate'!$AO22)</f>
        <v>0</v>
      </c>
      <c r="AF22" s="350">
        <f>-('5C1AH_BRUP'!$AL22+'5C1AH_BRUP'!$AO22)</f>
        <v>0</v>
      </c>
      <c r="AG22" s="656">
        <f>-('5C1AI_Harmony'!$AL22+'5C1AI_Harmony'!$AO22)</f>
        <v>0</v>
      </c>
      <c r="AH22" s="656">
        <f>-('5C1AJ_Athlos'!$AL22+'5C1AJ_Athlos'!$AO22)</f>
        <v>0</v>
      </c>
      <c r="AI22" s="656">
        <f>-('5C1AK_NxtGen'!$AL22+'5C1AK_NxtGen'!$AO22)</f>
        <v>0</v>
      </c>
      <c r="AJ22" s="656">
        <f>-('5C1AL_Red River'!$AL22+'5C1AL_Red River'!$AO22)</f>
        <v>0</v>
      </c>
      <c r="AK22" s="349">
        <f>-('5C2_LAVCA'!AM22+'5C2_LAVCA'!AP22)</f>
        <v>-217643</v>
      </c>
      <c r="AL22" s="349">
        <f>-('5C3_UnvView'!AM22+'5C3_UnvView'!AP22)</f>
        <v>-121623</v>
      </c>
      <c r="AM22" s="351">
        <f t="shared" si="2"/>
        <v>-345910</v>
      </c>
      <c r="AN22" s="352">
        <f t="shared" si="3"/>
        <v>14747789</v>
      </c>
    </row>
    <row r="23" spans="1:40" ht="15.6" customHeight="1" x14ac:dyDescent="0.2">
      <c r="A23" s="353">
        <v>17</v>
      </c>
      <c r="B23" s="354" t="s">
        <v>21</v>
      </c>
      <c r="C23" s="355">
        <f>'2_State Distrib and Adjs'!BD23</f>
        <v>174988903</v>
      </c>
      <c r="D23" s="355">
        <f>-'5A3_OJJ'!P23</f>
        <v>-131624</v>
      </c>
      <c r="E23" s="355">
        <f>-('5B2_RSD LA'!AL17+'5B2_RSD LA'!AQ17)-('5B2_RSD LA'!AL8+'5B2_RSD LA'!AQ8)</f>
        <v>-13842504</v>
      </c>
      <c r="F23" s="355">
        <f>-('5C1A_Madison'!AL23+'5C1A_Madison'!AO23)</f>
        <v>-4002490</v>
      </c>
      <c r="G23" s="355">
        <f>-('5C1B_DArbonne'!AL23+'5C1B_DArbonne'!AO23)</f>
        <v>0</v>
      </c>
      <c r="H23" s="355">
        <f>-('5C1C_Intl High'!AL23+'5C1C_Intl High'!AO23)</f>
        <v>0</v>
      </c>
      <c r="I23" s="355">
        <f>-('5C1D_NOMMA'!AL23+'5C1D_NOMMA'!AO23)</f>
        <v>0</v>
      </c>
      <c r="J23" s="355">
        <f>-('5C1E_LFNO'!AL23+'5C1E_LFNO'!AO23)</f>
        <v>0</v>
      </c>
      <c r="K23" s="355">
        <f>-('5C1F_L.C. Charter'!AL23+'5C1F_L.C. Charter'!AO23)</f>
        <v>0</v>
      </c>
      <c r="L23" s="355">
        <f>-('5C1G_JS Clark'!AL23+'5C1G_JS Clark'!AO23)</f>
        <v>0</v>
      </c>
      <c r="M23" s="355">
        <f>-('5C1H_Southwest'!AL23+'5C1H_Southwest'!AO23)</f>
        <v>-3780</v>
      </c>
      <c r="N23" s="355">
        <f>-('5C1I_LA Key'!AL23+'5C1I_LA Key'!AO23)</f>
        <v>-1942663</v>
      </c>
      <c r="O23" s="355">
        <f>-('5C1J_JCFA-East'!AL23+'5C1J_JCFA-East'!AO23)</f>
        <v>0</v>
      </c>
      <c r="P23" s="355">
        <f>-('5C1M_GEO Mid'!AL23+'5C1M_GEO Mid'!AO23)</f>
        <v>-5196812</v>
      </c>
      <c r="Q23" s="355">
        <f>-('5C1N_Delta'!AL23+'5C1N_Delta'!AO23)</f>
        <v>0</v>
      </c>
      <c r="R23" s="355">
        <f>-('5C1O_Impact'!AL23+'5C1O_Impact'!AO23)</f>
        <v>-1477947</v>
      </c>
      <c r="S23" s="355">
        <f>-('5C1Q_Advantage'!AL23+'5C1Q_Advantage'!AO23)</f>
        <v>-1308031</v>
      </c>
      <c r="T23" s="355">
        <f>-('5C1R_Iberville'!AL23+'5C1R_Iberville'!AO23)</f>
        <v>-11338</v>
      </c>
      <c r="U23" s="355">
        <f>-('5C1S_LC Col Prep'!AL23+'5C1S_LC Col Prep'!AO23)</f>
        <v>0</v>
      </c>
      <c r="V23" s="355">
        <f>-('5C1T_Northeast'!AL23+'5C1T_Northeast'!AO23)</f>
        <v>0</v>
      </c>
      <c r="W23" s="355">
        <f>-('5C1U_Acadiana Ren'!AL23+'5C1U_Acadiana Ren'!AO23)</f>
        <v>0</v>
      </c>
      <c r="X23" s="355">
        <f>-('5C1V_Laf Ren'!AL23+'5C1V_Laf Ren'!AO23)</f>
        <v>0</v>
      </c>
      <c r="Y23" s="355">
        <f>-('5C1W_Willow'!AL23+'5C1W_Willow'!AO23)</f>
        <v>0</v>
      </c>
      <c r="Z23" s="355">
        <f>-('5C1Y_GEO'!AL23+'5C1Y_GEO'!AO23)</f>
        <v>-4807524</v>
      </c>
      <c r="AA23" s="355">
        <f>-('5C1Z_Lincoln Prep'!AL23+'5C1Z_Lincoln Prep'!AO23)</f>
        <v>0</v>
      </c>
      <c r="AB23" s="355">
        <f>-('5C1AD_Greater'!$AL23+'5C1AD_Greater'!$AO23)</f>
        <v>0</v>
      </c>
      <c r="AC23" s="355">
        <f>-('5C1AE_Noble Minds'!$AL23+'5C1AE_Noble Minds'!$AO23)</f>
        <v>0</v>
      </c>
      <c r="AD23" s="355">
        <f>-('5C1AF_JCFA-Laf'!$AL23+'5C1AF_JCFA-Laf'!$AO23)</f>
        <v>0</v>
      </c>
      <c r="AE23" s="355">
        <f>-('5C1AG_Collegiate'!$AL23+'5C1AG_Collegiate'!$AO23)</f>
        <v>-2993526</v>
      </c>
      <c r="AF23" s="355">
        <f>-('5C1AH_BRUP'!$AL23+'5C1AH_BRUP'!$AO23)</f>
        <v>-2645730</v>
      </c>
      <c r="AG23" s="355">
        <f>-('5C1AI_Harmony'!$AL23+'5C1AI_Harmony'!$AO23)</f>
        <v>0</v>
      </c>
      <c r="AH23" s="355">
        <f>-('5C1AJ_Athlos'!$AL23+'5C1AJ_Athlos'!$AO23)</f>
        <v>0</v>
      </c>
      <c r="AI23" s="355">
        <f>-('5C1AK_NxtGen'!$AL23+'5C1AK_NxtGen'!$AO23)</f>
        <v>-684089</v>
      </c>
      <c r="AJ23" s="355">
        <f>-('5C1AL_Red River'!$AL23+'5C1AL_Red River'!$AO23)</f>
        <v>0</v>
      </c>
      <c r="AK23" s="355">
        <f>-('5C2_LAVCA'!AM23+'5C2_LAVCA'!AP23)</f>
        <v>-680382</v>
      </c>
      <c r="AL23" s="355">
        <f>-('5C3_UnvView'!AM23+'5C3_UnvView'!AP23)</f>
        <v>-1828500</v>
      </c>
      <c r="AM23" s="356">
        <f t="shared" si="2"/>
        <v>-41556940</v>
      </c>
      <c r="AN23" s="357">
        <f t="shared" si="3"/>
        <v>133431963</v>
      </c>
    </row>
    <row r="24" spans="1:40" ht="15.6" customHeight="1" x14ac:dyDescent="0.2">
      <c r="A24" s="353">
        <v>18</v>
      </c>
      <c r="B24" s="354" t="s">
        <v>22</v>
      </c>
      <c r="C24" s="355">
        <f>'2_State Distrib and Adjs'!BD24</f>
        <v>6576762</v>
      </c>
      <c r="D24" s="355">
        <f>-'5A3_OJJ'!P24</f>
        <v>-4054</v>
      </c>
      <c r="E24" s="355"/>
      <c r="F24" s="355">
        <f>-('5C1A_Madison'!AL24+'5C1A_Madison'!AO24)</f>
        <v>0</v>
      </c>
      <c r="G24" s="355">
        <f>-('5C1B_DArbonne'!AL24+'5C1B_DArbonne'!AO24)</f>
        <v>0</v>
      </c>
      <c r="H24" s="355">
        <f>-('5C1C_Intl High'!AL24+'5C1C_Intl High'!AO24)</f>
        <v>0</v>
      </c>
      <c r="I24" s="355">
        <f>-('5C1D_NOMMA'!AL24+'5C1D_NOMMA'!AO24)</f>
        <v>0</v>
      </c>
      <c r="J24" s="355">
        <f>-('5C1E_LFNO'!AL24+'5C1E_LFNO'!AO24)</f>
        <v>0</v>
      </c>
      <c r="K24" s="355">
        <f>-('5C1F_L.C. Charter'!AL24+'5C1F_L.C. Charter'!AO24)</f>
        <v>0</v>
      </c>
      <c r="L24" s="355">
        <f>-('5C1G_JS Clark'!AL24+'5C1G_JS Clark'!AO24)</f>
        <v>0</v>
      </c>
      <c r="M24" s="355">
        <f>-('5C1H_Southwest'!AL24+'5C1H_Southwest'!AO24)</f>
        <v>0</v>
      </c>
      <c r="N24" s="355">
        <f>-('5C1I_LA Key'!AL24+'5C1I_LA Key'!AO24)</f>
        <v>0</v>
      </c>
      <c r="O24" s="355">
        <f>-('5C1J_JCFA-East'!AL24+'5C1J_JCFA-East'!AO24)</f>
        <v>0</v>
      </c>
      <c r="P24" s="355">
        <f>-('5C1M_GEO Mid'!AL24+'5C1M_GEO Mid'!AO24)</f>
        <v>0</v>
      </c>
      <c r="Q24" s="355">
        <f>-('5C1N_Delta'!AL24+'5C1N_Delta'!AO24)</f>
        <v>0</v>
      </c>
      <c r="R24" s="355">
        <f>-('5C1O_Impact'!AL24+'5C1O_Impact'!AO24)</f>
        <v>0</v>
      </c>
      <c r="S24" s="355">
        <f>-('5C1Q_Advantage'!AL24+'5C1Q_Advantage'!AO24)</f>
        <v>0</v>
      </c>
      <c r="T24" s="355">
        <f>-('5C1R_Iberville'!AL24+'5C1R_Iberville'!AO24)</f>
        <v>0</v>
      </c>
      <c r="U24" s="355">
        <f>-('5C1S_LC Col Prep'!AL24+'5C1S_LC Col Prep'!AO24)</f>
        <v>0</v>
      </c>
      <c r="V24" s="355">
        <f>-('5C1T_Northeast'!AL24+'5C1T_Northeast'!AO24)</f>
        <v>0</v>
      </c>
      <c r="W24" s="355">
        <f>-('5C1U_Acadiana Ren'!AL24+'5C1U_Acadiana Ren'!AO24)</f>
        <v>0</v>
      </c>
      <c r="X24" s="355">
        <f>-('5C1V_Laf Ren'!AL24+'5C1V_Laf Ren'!AO24)</f>
        <v>0</v>
      </c>
      <c r="Y24" s="355">
        <f>-('5C1W_Willow'!AL24+'5C1W_Willow'!AO24)</f>
        <v>0</v>
      </c>
      <c r="Z24" s="355">
        <f>-('5C1Y_GEO'!AL24+'5C1Y_GEO'!AO24)</f>
        <v>0</v>
      </c>
      <c r="AA24" s="355">
        <f>-('5C1Z_Lincoln Prep'!AL24+'5C1Z_Lincoln Prep'!AO24)</f>
        <v>0</v>
      </c>
      <c r="AB24" s="355">
        <f>-('5C1AD_Greater'!$AL24+'5C1AD_Greater'!$AO24)</f>
        <v>0</v>
      </c>
      <c r="AC24" s="355">
        <f>-('5C1AE_Noble Minds'!$AL24+'5C1AE_Noble Minds'!$AO24)</f>
        <v>0</v>
      </c>
      <c r="AD24" s="355">
        <f>-('5C1AF_JCFA-Laf'!$AL24+'5C1AF_JCFA-Laf'!$AO24)</f>
        <v>0</v>
      </c>
      <c r="AE24" s="355">
        <f>-('5C1AG_Collegiate'!$AL24+'5C1AG_Collegiate'!$AO24)</f>
        <v>0</v>
      </c>
      <c r="AF24" s="355">
        <f>-('5C1AH_BRUP'!$AL24+'5C1AH_BRUP'!$AO24)</f>
        <v>0</v>
      </c>
      <c r="AG24" s="355">
        <f>-('5C1AI_Harmony'!$AL24+'5C1AI_Harmony'!$AO24)</f>
        <v>0</v>
      </c>
      <c r="AH24" s="355">
        <f>-('5C1AJ_Athlos'!$AL24+'5C1AJ_Athlos'!$AO24)</f>
        <v>0</v>
      </c>
      <c r="AI24" s="355">
        <f>-('5C1AK_NxtGen'!$AL24+'5C1AK_NxtGen'!$AO24)</f>
        <v>0</v>
      </c>
      <c r="AJ24" s="355">
        <f>-('5C1AL_Red River'!$AL24+'5C1AL_Red River'!$AO24)</f>
        <v>0</v>
      </c>
      <c r="AK24" s="355">
        <f>-('5C2_LAVCA'!AM24+'5C2_LAVCA'!AP24)</f>
        <v>-14698</v>
      </c>
      <c r="AL24" s="355">
        <f>-('5C3_UnvView'!AM24+'5C3_UnvView'!AP24)</f>
        <v>-4900</v>
      </c>
      <c r="AM24" s="356">
        <f t="shared" si="2"/>
        <v>-23652</v>
      </c>
      <c r="AN24" s="357">
        <f t="shared" si="3"/>
        <v>6553110</v>
      </c>
    </row>
    <row r="25" spans="1:40" ht="15.6" customHeight="1" x14ac:dyDescent="0.2">
      <c r="A25" s="353">
        <v>19</v>
      </c>
      <c r="B25" s="354" t="s">
        <v>23</v>
      </c>
      <c r="C25" s="355">
        <f>'2_State Distrib and Adjs'!BD25</f>
        <v>10600927</v>
      </c>
      <c r="D25" s="355">
        <f>-'5A3_OJJ'!P25</f>
        <v>0</v>
      </c>
      <c r="E25" s="355"/>
      <c r="F25" s="355">
        <f>-('5C1A_Madison'!AL25+'5C1A_Madison'!AO25)</f>
        <v>0</v>
      </c>
      <c r="G25" s="355">
        <f>-('5C1B_DArbonne'!AL25+'5C1B_DArbonne'!AO25)</f>
        <v>0</v>
      </c>
      <c r="H25" s="355">
        <f>-('5C1C_Intl High'!AL25+'5C1C_Intl High'!AO25)</f>
        <v>0</v>
      </c>
      <c r="I25" s="355">
        <f>-('5C1D_NOMMA'!AL25+'5C1D_NOMMA'!AO25)</f>
        <v>0</v>
      </c>
      <c r="J25" s="355">
        <f>-('5C1E_LFNO'!AL25+'5C1E_LFNO'!AO25)</f>
        <v>0</v>
      </c>
      <c r="K25" s="355">
        <f>-('5C1F_L.C. Charter'!AL25+'5C1F_L.C. Charter'!AO25)</f>
        <v>0</v>
      </c>
      <c r="L25" s="355">
        <f>-('5C1G_JS Clark'!AL25+'5C1G_JS Clark'!AO25)</f>
        <v>0</v>
      </c>
      <c r="M25" s="355">
        <f>-('5C1H_Southwest'!AL25+'5C1H_Southwest'!AO25)</f>
        <v>0</v>
      </c>
      <c r="N25" s="355">
        <f>-('5C1I_LA Key'!AL25+'5C1I_LA Key'!AO25)</f>
        <v>-21295</v>
      </c>
      <c r="O25" s="355">
        <f>-('5C1J_JCFA-East'!AL25+'5C1J_JCFA-East'!AO25)</f>
        <v>0</v>
      </c>
      <c r="P25" s="355">
        <f>-('5C1M_GEO Mid'!AL25+'5C1M_GEO Mid'!AO25)</f>
        <v>0</v>
      </c>
      <c r="Q25" s="355">
        <f>-('5C1N_Delta'!AL25+'5C1N_Delta'!AO25)</f>
        <v>0</v>
      </c>
      <c r="R25" s="355">
        <f>-('5C1O_Impact'!AL25+'5C1O_Impact'!AO25)</f>
        <v>0</v>
      </c>
      <c r="S25" s="355">
        <f>-('5C1Q_Advantage'!AL25+'5C1Q_Advantage'!AO25)</f>
        <v>-85180</v>
      </c>
      <c r="T25" s="355">
        <f>-('5C1R_Iberville'!AL25+'5C1R_Iberville'!AO25)</f>
        <v>0</v>
      </c>
      <c r="U25" s="355">
        <f>-('5C1S_LC Col Prep'!AL25+'5C1S_LC Col Prep'!AO25)</f>
        <v>0</v>
      </c>
      <c r="V25" s="355">
        <f>-('5C1T_Northeast'!AL25+'5C1T_Northeast'!AO25)</f>
        <v>0</v>
      </c>
      <c r="W25" s="355">
        <f>-('5C1U_Acadiana Ren'!AL25+'5C1U_Acadiana Ren'!AO25)</f>
        <v>0</v>
      </c>
      <c r="X25" s="355">
        <f>-('5C1V_Laf Ren'!AL25+'5C1V_Laf Ren'!AO25)</f>
        <v>0</v>
      </c>
      <c r="Y25" s="355">
        <f>-('5C1W_Willow'!AL25+'5C1W_Willow'!AO25)</f>
        <v>0</v>
      </c>
      <c r="Z25" s="355">
        <f>-('5C1Y_GEO'!AL25+'5C1Y_GEO'!AO25)</f>
        <v>-4259</v>
      </c>
      <c r="AA25" s="355">
        <f>-('5C1Z_Lincoln Prep'!AL25+'5C1Z_Lincoln Prep'!AO25)</f>
        <v>0</v>
      </c>
      <c r="AB25" s="355">
        <f>-('5C1AD_Greater'!$AL25+'5C1AD_Greater'!$AO25)</f>
        <v>0</v>
      </c>
      <c r="AC25" s="355">
        <f>-('5C1AE_Noble Minds'!$AL25+'5C1AE_Noble Minds'!$AO25)</f>
        <v>0</v>
      </c>
      <c r="AD25" s="355">
        <f>-('5C1AF_JCFA-Laf'!$AL25+'5C1AF_JCFA-Laf'!$AO25)</f>
        <v>0</v>
      </c>
      <c r="AE25" s="355">
        <f>-('5C1AG_Collegiate'!$AL25+'5C1AG_Collegiate'!$AO25)</f>
        <v>0</v>
      </c>
      <c r="AF25" s="355">
        <f>-('5C1AH_BRUP'!$AL25+'5C1AH_BRUP'!$AO25)</f>
        <v>0</v>
      </c>
      <c r="AG25" s="355">
        <f>-('5C1AI_Harmony'!$AL25+'5C1AI_Harmony'!$AO25)</f>
        <v>0</v>
      </c>
      <c r="AH25" s="355">
        <f>-('5C1AJ_Athlos'!$AL25+'5C1AJ_Athlos'!$AO25)</f>
        <v>0</v>
      </c>
      <c r="AI25" s="355">
        <f>-('5C1AK_NxtGen'!$AL25+'5C1AK_NxtGen'!$AO25)</f>
        <v>0</v>
      </c>
      <c r="AJ25" s="355">
        <f>-('5C1AL_Red River'!$AL25+'5C1AL_Red River'!$AO25)</f>
        <v>0</v>
      </c>
      <c r="AK25" s="355">
        <f>-('5C2_LAVCA'!AM25+'5C2_LAVCA'!AP25)</f>
        <v>-42164</v>
      </c>
      <c r="AL25" s="355">
        <f>-('5C3_UnvView'!AM25+'5C3_UnvView'!AP25)</f>
        <v>-110742</v>
      </c>
      <c r="AM25" s="356">
        <f t="shared" si="2"/>
        <v>-263640</v>
      </c>
      <c r="AN25" s="357">
        <f t="shared" si="3"/>
        <v>10337287</v>
      </c>
    </row>
    <row r="26" spans="1:40" ht="15.6" customHeight="1" x14ac:dyDescent="0.2">
      <c r="A26" s="358">
        <v>20</v>
      </c>
      <c r="B26" s="359" t="s">
        <v>24</v>
      </c>
      <c r="C26" s="360">
        <f>'2_State Distrib and Adjs'!BD26</f>
        <v>36317791</v>
      </c>
      <c r="D26" s="360">
        <f>-'5A3_OJJ'!P26</f>
        <v>-8175</v>
      </c>
      <c r="E26" s="360"/>
      <c r="F26" s="360">
        <f>-('5C1A_Madison'!AL26+'5C1A_Madison'!AO26)</f>
        <v>0</v>
      </c>
      <c r="G26" s="360">
        <f>-('5C1B_DArbonne'!AL26+'5C1B_DArbonne'!AO26)</f>
        <v>0</v>
      </c>
      <c r="H26" s="360">
        <f>-('5C1C_Intl High'!AL26+'5C1C_Intl High'!AO26)</f>
        <v>0</v>
      </c>
      <c r="I26" s="360">
        <f>-('5C1D_NOMMA'!AL26+'5C1D_NOMMA'!AO26)</f>
        <v>0</v>
      </c>
      <c r="J26" s="360">
        <f>-('5C1E_LFNO'!AL26+'5C1E_LFNO'!AO26)</f>
        <v>0</v>
      </c>
      <c r="K26" s="360">
        <f>-('5C1F_L.C. Charter'!AL26+'5C1F_L.C. Charter'!AO26)</f>
        <v>0</v>
      </c>
      <c r="L26" s="360">
        <f>-('5C1G_JS Clark'!AL26+'5C1G_JS Clark'!AO26)</f>
        <v>-6707</v>
      </c>
      <c r="M26" s="360">
        <f>-('5C1H_Southwest'!AL26+'5C1H_Southwest'!AO26)</f>
        <v>0</v>
      </c>
      <c r="N26" s="360">
        <f>-('5C1I_LA Key'!AL26+'5C1I_LA Key'!AO26)</f>
        <v>0</v>
      </c>
      <c r="O26" s="360">
        <f>-('5C1J_JCFA-East'!AL26+'5C1J_JCFA-East'!AO26)</f>
        <v>0</v>
      </c>
      <c r="P26" s="360">
        <f>-('5C1M_GEO Mid'!AL26+'5C1M_GEO Mid'!AO26)</f>
        <v>0</v>
      </c>
      <c r="Q26" s="360">
        <f>-('5C1N_Delta'!AL26+'5C1N_Delta'!AO26)</f>
        <v>0</v>
      </c>
      <c r="R26" s="360">
        <f>-('5C1O_Impact'!AL26+'5C1O_Impact'!AO26)</f>
        <v>0</v>
      </c>
      <c r="S26" s="360">
        <f>-('5C1Q_Advantage'!AL26+'5C1Q_Advantage'!AO26)</f>
        <v>0</v>
      </c>
      <c r="T26" s="360">
        <f>-('5C1R_Iberville'!AL26+'5C1R_Iberville'!AO26)</f>
        <v>0</v>
      </c>
      <c r="U26" s="360">
        <f>-('5C1S_LC Col Prep'!AL26+'5C1S_LC Col Prep'!AO26)</f>
        <v>0</v>
      </c>
      <c r="V26" s="360">
        <f>-('5C1T_Northeast'!AL26+'5C1T_Northeast'!AO26)</f>
        <v>0</v>
      </c>
      <c r="W26" s="360">
        <f>-('5C1U_Acadiana Ren'!AL26+'5C1U_Acadiana Ren'!AO26)</f>
        <v>0</v>
      </c>
      <c r="X26" s="360">
        <f>-('5C1V_Laf Ren'!AL26+'5C1V_Laf Ren'!AO26)</f>
        <v>0</v>
      </c>
      <c r="Y26" s="360">
        <f>-('5C1W_Willow'!AL26+'5C1W_Willow'!AO26)</f>
        <v>0</v>
      </c>
      <c r="Z26" s="360">
        <f>-('5C1Y_GEO'!AL26+'5C1Y_GEO'!AO26)</f>
        <v>0</v>
      </c>
      <c r="AA26" s="360">
        <f>-('5C1Z_Lincoln Prep'!AL26+'5C1Z_Lincoln Prep'!AO26)</f>
        <v>0</v>
      </c>
      <c r="AB26" s="360">
        <f>-('5C1AD_Greater'!$AL26+'5C1AD_Greater'!$AO26)</f>
        <v>0</v>
      </c>
      <c r="AC26" s="360">
        <f>-('5C1AE_Noble Minds'!$AL26+'5C1AE_Noble Minds'!$AO26)</f>
        <v>0</v>
      </c>
      <c r="AD26" s="360">
        <f>-('5C1AF_JCFA-Laf'!$AL26+'5C1AF_JCFA-Laf'!$AO26)</f>
        <v>0</v>
      </c>
      <c r="AE26" s="360">
        <f>-('5C1AG_Collegiate'!$AL26+'5C1AG_Collegiate'!$AO26)</f>
        <v>0</v>
      </c>
      <c r="AF26" s="360">
        <f>-('5C1AH_BRUP'!$AL26+'5C1AH_BRUP'!$AO26)</f>
        <v>0</v>
      </c>
      <c r="AG26" s="657">
        <f>-('5C1AI_Harmony'!$AL26+'5C1AI_Harmony'!$AO26)</f>
        <v>0</v>
      </c>
      <c r="AH26" s="657">
        <f>-('5C1AJ_Athlos'!$AL26+'5C1AJ_Athlos'!$AO26)</f>
        <v>0</v>
      </c>
      <c r="AI26" s="892">
        <f>-('5C1AK_NxtGen'!$AL26+'5C1AK_NxtGen'!$AO26)</f>
        <v>0</v>
      </c>
      <c r="AJ26" s="892">
        <f>-('5C1AL_Red River'!$AL26+'5C1AL_Red River'!$AO26)</f>
        <v>0</v>
      </c>
      <c r="AK26" s="360">
        <f>-('5C2_LAVCA'!AM26+'5C2_LAVCA'!AP26)</f>
        <v>-45880</v>
      </c>
      <c r="AL26" s="360">
        <f>-('5C3_UnvView'!AM26+'5C3_UnvView'!AP26)</f>
        <v>-50709</v>
      </c>
      <c r="AM26" s="361">
        <f t="shared" si="2"/>
        <v>-111471</v>
      </c>
      <c r="AN26" s="362">
        <f t="shared" si="3"/>
        <v>36206320</v>
      </c>
    </row>
    <row r="27" spans="1:40" ht="15.6" customHeight="1" x14ac:dyDescent="0.2">
      <c r="A27" s="347">
        <v>21</v>
      </c>
      <c r="B27" s="348" t="s">
        <v>25</v>
      </c>
      <c r="C27" s="349">
        <f>'2_State Distrib and Adjs'!BD27</f>
        <v>20650696</v>
      </c>
      <c r="D27" s="349">
        <f>-'5A3_OJJ'!P27</f>
        <v>-11607</v>
      </c>
      <c r="E27" s="349"/>
      <c r="F27" s="349">
        <f>-('5C1A_Madison'!AL27+'5C1A_Madison'!AO27)</f>
        <v>0</v>
      </c>
      <c r="G27" s="349">
        <f>-('5C1B_DArbonne'!AL27+'5C1B_DArbonne'!AO27)</f>
        <v>0</v>
      </c>
      <c r="H27" s="349">
        <f>-('5C1C_Intl High'!AL27+'5C1C_Intl High'!AO27)</f>
        <v>0</v>
      </c>
      <c r="I27" s="349">
        <f>-('5C1D_NOMMA'!AL27+'5C1D_NOMMA'!AO27)</f>
        <v>0</v>
      </c>
      <c r="J27" s="349">
        <f>-('5C1E_LFNO'!AL27+'5C1E_LFNO'!AO27)</f>
        <v>0</v>
      </c>
      <c r="K27" s="349">
        <f>-('5C1F_L.C. Charter'!AL27+'5C1F_L.C. Charter'!AO27)</f>
        <v>0</v>
      </c>
      <c r="L27" s="349">
        <f>-('5C1G_JS Clark'!AL27+'5C1G_JS Clark'!AO27)</f>
        <v>0</v>
      </c>
      <c r="M27" s="349">
        <f>-('5C1H_Southwest'!AL27+'5C1H_Southwest'!AO27)</f>
        <v>0</v>
      </c>
      <c r="N27" s="349">
        <f>-('5C1I_LA Key'!AL27+'5C1I_LA Key'!AO27)</f>
        <v>0</v>
      </c>
      <c r="O27" s="349">
        <f>-('5C1J_JCFA-East'!AL27+'5C1J_JCFA-East'!AO27)</f>
        <v>0</v>
      </c>
      <c r="P27" s="349">
        <f>-('5C1M_GEO Mid'!AL27+'5C1M_GEO Mid'!AO27)</f>
        <v>0</v>
      </c>
      <c r="Q27" s="349">
        <f>-('5C1N_Delta'!AL27+'5C1N_Delta'!AO27)</f>
        <v>-5332</v>
      </c>
      <c r="R27" s="349">
        <f>-('5C1O_Impact'!AL27+'5C1O_Impact'!AO27)</f>
        <v>0</v>
      </c>
      <c r="S27" s="349">
        <f>-('5C1Q_Advantage'!AL27+'5C1Q_Advantage'!AO27)</f>
        <v>0</v>
      </c>
      <c r="T27" s="349">
        <f>-('5C1R_Iberville'!AL27+'5C1R_Iberville'!AO27)</f>
        <v>0</v>
      </c>
      <c r="U27" s="349">
        <f>-('5C1S_LC Col Prep'!AL27+'5C1S_LC Col Prep'!AO27)</f>
        <v>0</v>
      </c>
      <c r="V27" s="349">
        <f>-('5C1T_Northeast'!AL27+'5C1T_Northeast'!AO27)</f>
        <v>0</v>
      </c>
      <c r="W27" s="349">
        <f>-('5C1U_Acadiana Ren'!AL27+'5C1U_Acadiana Ren'!AO27)</f>
        <v>0</v>
      </c>
      <c r="X27" s="349">
        <f>-('5C1V_Laf Ren'!AL27+'5C1V_Laf Ren'!AO27)</f>
        <v>0</v>
      </c>
      <c r="Y27" s="349">
        <f>-('5C1W_Willow'!AL27+'5C1W_Willow'!AO27)</f>
        <v>0</v>
      </c>
      <c r="Z27" s="349">
        <f>-('5C1Y_GEO'!AL27+'5C1Y_GEO'!AO27)</f>
        <v>0</v>
      </c>
      <c r="AA27" s="350">
        <f>-('5C1Z_Lincoln Prep'!AL27+'5C1Z_Lincoln Prep'!AO27)</f>
        <v>0</v>
      </c>
      <c r="AB27" s="350">
        <f>-('5C1AD_Greater'!$AL27+'5C1AD_Greater'!$AO27)</f>
        <v>0</v>
      </c>
      <c r="AC27" s="350">
        <f>-('5C1AE_Noble Minds'!$AL27+'5C1AE_Noble Minds'!$AO27)</f>
        <v>0</v>
      </c>
      <c r="AD27" s="350">
        <f>-('5C1AF_JCFA-Laf'!$AL27+'5C1AF_JCFA-Laf'!$AO27)</f>
        <v>0</v>
      </c>
      <c r="AE27" s="350">
        <f>-('5C1AG_Collegiate'!$AL27+'5C1AG_Collegiate'!$AO27)</f>
        <v>0</v>
      </c>
      <c r="AF27" s="350">
        <f>-('5C1AH_BRUP'!$AL27+'5C1AH_BRUP'!$AO27)</f>
        <v>0</v>
      </c>
      <c r="AG27" s="656">
        <f>-('5C1AI_Harmony'!$AL27+'5C1AI_Harmony'!$AO27)</f>
        <v>0</v>
      </c>
      <c r="AH27" s="656">
        <f>-('5C1AJ_Athlos'!$AL27+'5C1AJ_Athlos'!$AO27)</f>
        <v>0</v>
      </c>
      <c r="AI27" s="656">
        <f>-('5C1AK_NxtGen'!$AL27+'5C1AK_NxtGen'!$AO27)</f>
        <v>0</v>
      </c>
      <c r="AJ27" s="656">
        <f>-('5C1AL_Red River'!$AL27+'5C1AL_Red River'!$AO27)</f>
        <v>0</v>
      </c>
      <c r="AK27" s="349">
        <f>-('5C2_LAVCA'!AM27+'5C2_LAVCA'!AP27)</f>
        <v>-20395</v>
      </c>
      <c r="AL27" s="349">
        <f>-('5C3_UnvView'!AM27+'5C3_UnvView'!AP27)</f>
        <v>-26394</v>
      </c>
      <c r="AM27" s="351">
        <f t="shared" si="2"/>
        <v>-63728</v>
      </c>
      <c r="AN27" s="352">
        <f t="shared" si="3"/>
        <v>20586968</v>
      </c>
    </row>
    <row r="28" spans="1:40" ht="15.6" customHeight="1" x14ac:dyDescent="0.2">
      <c r="A28" s="353">
        <v>22</v>
      </c>
      <c r="B28" s="354" t="s">
        <v>26</v>
      </c>
      <c r="C28" s="355">
        <f>'2_State Distrib and Adjs'!BD28</f>
        <v>21917932</v>
      </c>
      <c r="D28" s="355">
        <f>-'5A3_OJJ'!P28</f>
        <v>-1218</v>
      </c>
      <c r="E28" s="355"/>
      <c r="F28" s="355">
        <f>-('5C1A_Madison'!AL28+'5C1A_Madison'!AO28)</f>
        <v>0</v>
      </c>
      <c r="G28" s="355">
        <f>-('5C1B_DArbonne'!AL28+'5C1B_DArbonne'!AO28)</f>
        <v>0</v>
      </c>
      <c r="H28" s="355">
        <f>-('5C1C_Intl High'!AL28+'5C1C_Intl High'!AO28)</f>
        <v>0</v>
      </c>
      <c r="I28" s="355">
        <f>-('5C1D_NOMMA'!AL28+'5C1D_NOMMA'!AO28)</f>
        <v>0</v>
      </c>
      <c r="J28" s="355">
        <f>-('5C1E_LFNO'!AL28+'5C1E_LFNO'!AO28)</f>
        <v>0</v>
      </c>
      <c r="K28" s="355">
        <f>-('5C1F_L.C. Charter'!AL28+'5C1F_L.C. Charter'!AO28)</f>
        <v>0</v>
      </c>
      <c r="L28" s="355">
        <f>-('5C1G_JS Clark'!AL28+'5C1G_JS Clark'!AO28)</f>
        <v>0</v>
      </c>
      <c r="M28" s="355">
        <f>-('5C1H_Southwest'!AL28+'5C1H_Southwest'!AO28)</f>
        <v>0</v>
      </c>
      <c r="N28" s="355">
        <f>-('5C1I_LA Key'!AL28+'5C1I_LA Key'!AO28)</f>
        <v>0</v>
      </c>
      <c r="O28" s="355">
        <f>-('5C1J_JCFA-East'!AL28+'5C1J_JCFA-East'!AO28)</f>
        <v>0</v>
      </c>
      <c r="P28" s="355">
        <f>-('5C1M_GEO Mid'!AL28+'5C1M_GEO Mid'!AO28)</f>
        <v>0</v>
      </c>
      <c r="Q28" s="355">
        <f>-('5C1N_Delta'!AL28+'5C1N_Delta'!AO28)</f>
        <v>0</v>
      </c>
      <c r="R28" s="355">
        <f>-('5C1O_Impact'!AL28+'5C1O_Impact'!AO28)</f>
        <v>0</v>
      </c>
      <c r="S28" s="355">
        <f>-('5C1Q_Advantage'!AL28+'5C1Q_Advantage'!AO28)</f>
        <v>0</v>
      </c>
      <c r="T28" s="355">
        <f>-('5C1R_Iberville'!AL28+'5C1R_Iberville'!AO28)</f>
        <v>0</v>
      </c>
      <c r="U28" s="355">
        <f>-('5C1S_LC Col Prep'!AL28+'5C1S_LC Col Prep'!AO28)</f>
        <v>0</v>
      </c>
      <c r="V28" s="355">
        <f>-('5C1T_Northeast'!AL28+'5C1T_Northeast'!AO28)</f>
        <v>0</v>
      </c>
      <c r="W28" s="355">
        <f>-('5C1U_Acadiana Ren'!AL28+'5C1U_Acadiana Ren'!AO28)</f>
        <v>0</v>
      </c>
      <c r="X28" s="355">
        <f>-('5C1V_Laf Ren'!AL28+'5C1V_Laf Ren'!AO28)</f>
        <v>0</v>
      </c>
      <c r="Y28" s="355">
        <f>-('5C1W_Willow'!AL28+'5C1W_Willow'!AO28)</f>
        <v>0</v>
      </c>
      <c r="Z28" s="355">
        <f>-('5C1Y_GEO'!AL28+'5C1Y_GEO'!AO28)</f>
        <v>0</v>
      </c>
      <c r="AA28" s="355">
        <f>-('5C1Z_Lincoln Prep'!AL28+'5C1Z_Lincoln Prep'!AO28)</f>
        <v>0</v>
      </c>
      <c r="AB28" s="355">
        <f>-('5C1AD_Greater'!$AL28+'5C1AD_Greater'!$AO28)</f>
        <v>0</v>
      </c>
      <c r="AC28" s="355">
        <f>-('5C1AE_Noble Minds'!$AL28+'5C1AE_Noble Minds'!$AO28)</f>
        <v>0</v>
      </c>
      <c r="AD28" s="355">
        <f>-('5C1AF_JCFA-Laf'!$AL28+'5C1AF_JCFA-Laf'!$AO28)</f>
        <v>0</v>
      </c>
      <c r="AE28" s="355">
        <f>-('5C1AG_Collegiate'!$AL28+'5C1AG_Collegiate'!$AO28)</f>
        <v>0</v>
      </c>
      <c r="AF28" s="355">
        <f>-('5C1AH_BRUP'!$AL28+'5C1AH_BRUP'!$AO28)</f>
        <v>0</v>
      </c>
      <c r="AG28" s="355">
        <f>-('5C1AI_Harmony'!$AL28+'5C1AI_Harmony'!$AO28)</f>
        <v>0</v>
      </c>
      <c r="AH28" s="355">
        <f>-('5C1AJ_Athlos'!$AL28+'5C1AJ_Athlos'!$AO28)</f>
        <v>0</v>
      </c>
      <c r="AI28" s="355">
        <f>-('5C1AK_NxtGen'!$AL28+'5C1AK_NxtGen'!$AO28)</f>
        <v>0</v>
      </c>
      <c r="AJ28" s="355">
        <f>-('5C1AL_Red River'!$AL28+'5C1AL_Red River'!$AO28)</f>
        <v>0</v>
      </c>
      <c r="AK28" s="355">
        <f>-('5C2_LAVCA'!AM28+'5C2_LAVCA'!AP28)</f>
        <v>-18136</v>
      </c>
      <c r="AL28" s="355">
        <f>-('5C3_UnvView'!AM28+'5C3_UnvView'!AP28)</f>
        <v>-33550</v>
      </c>
      <c r="AM28" s="356">
        <f t="shared" si="2"/>
        <v>-52904</v>
      </c>
      <c r="AN28" s="357">
        <f t="shared" si="3"/>
        <v>21865028</v>
      </c>
    </row>
    <row r="29" spans="1:40" ht="15.6" customHeight="1" x14ac:dyDescent="0.2">
      <c r="A29" s="353">
        <v>23</v>
      </c>
      <c r="B29" s="354" t="s">
        <v>27</v>
      </c>
      <c r="C29" s="355">
        <f>'2_State Distrib and Adjs'!BD29</f>
        <v>76297864</v>
      </c>
      <c r="D29" s="355">
        <f>-'5A3_OJJ'!P29</f>
        <v>-3869</v>
      </c>
      <c r="E29" s="355"/>
      <c r="F29" s="355">
        <f>-('5C1A_Madison'!AL29+'5C1A_Madison'!AO29)</f>
        <v>0</v>
      </c>
      <c r="G29" s="355">
        <f>-('5C1B_DArbonne'!AL29+'5C1B_DArbonne'!AO29)</f>
        <v>0</v>
      </c>
      <c r="H29" s="355">
        <f>-('5C1C_Intl High'!AL29+'5C1C_Intl High'!AO29)</f>
        <v>0</v>
      </c>
      <c r="I29" s="355">
        <f>-('5C1D_NOMMA'!AL29+'5C1D_NOMMA'!AO29)</f>
        <v>0</v>
      </c>
      <c r="J29" s="355">
        <f>-('5C1E_LFNO'!AL29+'5C1E_LFNO'!AO29)</f>
        <v>0</v>
      </c>
      <c r="K29" s="355">
        <f>-('5C1F_L.C. Charter'!AL29+'5C1F_L.C. Charter'!AO29)</f>
        <v>0</v>
      </c>
      <c r="L29" s="355">
        <f>-('5C1G_JS Clark'!AL29+'5C1G_JS Clark'!AO29)</f>
        <v>0</v>
      </c>
      <c r="M29" s="355">
        <f>-('5C1H_Southwest'!AL29+'5C1H_Southwest'!AO29)</f>
        <v>0</v>
      </c>
      <c r="N29" s="355">
        <f>-('5C1I_LA Key'!AL29+'5C1I_LA Key'!AO29)</f>
        <v>0</v>
      </c>
      <c r="O29" s="355">
        <f>-('5C1J_JCFA-East'!AL29+'5C1J_JCFA-East'!AO29)</f>
        <v>0</v>
      </c>
      <c r="P29" s="355">
        <f>-('5C1M_GEO Mid'!AL29+'5C1M_GEO Mid'!AO29)</f>
        <v>0</v>
      </c>
      <c r="Q29" s="355">
        <f>-('5C1N_Delta'!AL29+'5C1N_Delta'!AO29)</f>
        <v>0</v>
      </c>
      <c r="R29" s="355">
        <f>-('5C1O_Impact'!AL29+'5C1O_Impact'!AO29)</f>
        <v>0</v>
      </c>
      <c r="S29" s="355">
        <f>-('5C1Q_Advantage'!AL29+'5C1Q_Advantage'!AO29)</f>
        <v>0</v>
      </c>
      <c r="T29" s="355">
        <f>-('5C1R_Iberville'!AL29+'5C1R_Iberville'!AO29)</f>
        <v>0</v>
      </c>
      <c r="U29" s="355">
        <f>-('5C1S_LC Col Prep'!AL29+'5C1S_LC Col Prep'!AO29)</f>
        <v>0</v>
      </c>
      <c r="V29" s="355">
        <f>-('5C1T_Northeast'!AL29+'5C1T_Northeast'!AO29)</f>
        <v>0</v>
      </c>
      <c r="W29" s="355">
        <f>-('5C1U_Acadiana Ren'!AL29+'5C1U_Acadiana Ren'!AO29)</f>
        <v>-244464</v>
      </c>
      <c r="X29" s="355">
        <f>-('5C1V_Laf Ren'!AL29+'5C1V_Laf Ren'!AO29)</f>
        <v>-12964</v>
      </c>
      <c r="Y29" s="355">
        <f>-('5C1W_Willow'!AL29+'5C1W_Willow'!AO29)</f>
        <v>0</v>
      </c>
      <c r="Z29" s="355">
        <f>-('5C1Y_GEO'!AL29+'5C1Y_GEO'!AO29)</f>
        <v>0</v>
      </c>
      <c r="AA29" s="355">
        <f>-('5C1Z_Lincoln Prep'!AL29+'5C1Z_Lincoln Prep'!AO29)</f>
        <v>0</v>
      </c>
      <c r="AB29" s="355">
        <f>-('5C1AD_Greater'!$AL29+'5C1AD_Greater'!$AO29)</f>
        <v>0</v>
      </c>
      <c r="AC29" s="355">
        <f>-('5C1AE_Noble Minds'!$AL29+'5C1AE_Noble Minds'!$AO29)</f>
        <v>0</v>
      </c>
      <c r="AD29" s="355">
        <f>-('5C1AF_JCFA-Laf'!$AL29+'5C1AF_JCFA-Laf'!$AO29)</f>
        <v>-3704</v>
      </c>
      <c r="AE29" s="355">
        <f>-('5C1AG_Collegiate'!$AL29+'5C1AG_Collegiate'!$AO29)</f>
        <v>0</v>
      </c>
      <c r="AF29" s="355">
        <f>-('5C1AH_BRUP'!$AL29+'5C1AH_BRUP'!$AO29)</f>
        <v>0</v>
      </c>
      <c r="AG29" s="355">
        <f>-('5C1AI_Harmony'!$AL29+'5C1AI_Harmony'!$AO29)</f>
        <v>0</v>
      </c>
      <c r="AH29" s="355">
        <f>-('5C1AJ_Athlos'!$AL29+'5C1AJ_Athlos'!$AO29)</f>
        <v>0</v>
      </c>
      <c r="AI29" s="355">
        <f>-('5C1AK_NxtGen'!$AL29+'5C1AK_NxtGen'!$AO29)</f>
        <v>0</v>
      </c>
      <c r="AJ29" s="355">
        <f>-('5C1AL_Red River'!$AL29+'5C1AL_Red River'!$AO29)</f>
        <v>0</v>
      </c>
      <c r="AK29" s="355">
        <f>-('5C2_LAVCA'!AM29+'5C2_LAVCA'!AP29)</f>
        <v>-105009</v>
      </c>
      <c r="AL29" s="355">
        <f>-('5C3_UnvView'!AM29+'5C3_UnvView'!AP29)</f>
        <v>-138344</v>
      </c>
      <c r="AM29" s="356">
        <f t="shared" si="2"/>
        <v>-508354</v>
      </c>
      <c r="AN29" s="357">
        <f t="shared" si="3"/>
        <v>75789510</v>
      </c>
    </row>
    <row r="30" spans="1:40" ht="15.6" customHeight="1" x14ac:dyDescent="0.2">
      <c r="A30" s="353">
        <v>24</v>
      </c>
      <c r="B30" s="354" t="s">
        <v>28</v>
      </c>
      <c r="C30" s="355">
        <f>'2_State Distrib and Adjs'!BD30</f>
        <v>14759077</v>
      </c>
      <c r="D30" s="355">
        <f>-'5A3_OJJ'!P30</f>
        <v>-6091</v>
      </c>
      <c r="E30" s="355"/>
      <c r="F30" s="355">
        <f>-('5C1A_Madison'!AL30+'5C1A_Madison'!AO30)</f>
        <v>-27422</v>
      </c>
      <c r="G30" s="355">
        <f>-('5C1B_DArbonne'!AL30+'5C1B_DArbonne'!AO30)</f>
        <v>0</v>
      </c>
      <c r="H30" s="355">
        <f>-('5C1C_Intl High'!AL30+'5C1C_Intl High'!AO30)</f>
        <v>0</v>
      </c>
      <c r="I30" s="355">
        <f>-('5C1D_NOMMA'!AL30+'5C1D_NOMMA'!AO30)</f>
        <v>0</v>
      </c>
      <c r="J30" s="355">
        <f>-('5C1E_LFNO'!AL30+'5C1E_LFNO'!AO30)</f>
        <v>0</v>
      </c>
      <c r="K30" s="355">
        <f>-('5C1F_L.C. Charter'!AL30+'5C1F_L.C. Charter'!AO30)</f>
        <v>0</v>
      </c>
      <c r="L30" s="355">
        <f>-('5C1G_JS Clark'!AL30+'5C1G_JS Clark'!AO30)</f>
        <v>0</v>
      </c>
      <c r="M30" s="355">
        <f>-('5C1H_Southwest'!AL30+'5C1H_Southwest'!AO30)</f>
        <v>0</v>
      </c>
      <c r="N30" s="355">
        <f>-('5C1I_LA Key'!AL30+'5C1I_LA Key'!AO30)</f>
        <v>-246798</v>
      </c>
      <c r="O30" s="355">
        <f>-('5C1J_JCFA-East'!AL30+'5C1J_JCFA-East'!AO30)</f>
        <v>0</v>
      </c>
      <c r="P30" s="355">
        <f>-('5C1M_GEO Mid'!AL30+'5C1M_GEO Mid'!AO30)</f>
        <v>0</v>
      </c>
      <c r="Q30" s="355">
        <f>-('5C1N_Delta'!AL30+'5C1N_Delta'!AO30)</f>
        <v>0</v>
      </c>
      <c r="R30" s="355">
        <f>-('5C1O_Impact'!AL30+'5C1O_Impact'!AO30)</f>
        <v>-13711</v>
      </c>
      <c r="S30" s="355">
        <f>-('5C1Q_Advantage'!AL30+'5C1Q_Advantage'!AO30)</f>
        <v>-27422</v>
      </c>
      <c r="T30" s="355">
        <f>-('5C1R_Iberville'!AL30+'5C1R_Iberville'!AO30)</f>
        <v>-2748996</v>
      </c>
      <c r="U30" s="355">
        <f>-('5C1S_LC Col Prep'!AL30+'5C1S_LC Col Prep'!AO30)</f>
        <v>0</v>
      </c>
      <c r="V30" s="355">
        <f>-('5C1T_Northeast'!AL30+'5C1T_Northeast'!AO30)</f>
        <v>0</v>
      </c>
      <c r="W30" s="355">
        <f>-('5C1U_Acadiana Ren'!AL30+'5C1U_Acadiana Ren'!AO30)</f>
        <v>0</v>
      </c>
      <c r="X30" s="355">
        <f>-('5C1V_Laf Ren'!AL30+'5C1V_Laf Ren'!AO30)</f>
        <v>0</v>
      </c>
      <c r="Y30" s="355">
        <f>-('5C1W_Willow'!AL30+'5C1W_Willow'!AO30)</f>
        <v>0</v>
      </c>
      <c r="Z30" s="355">
        <f>-('5C1Y_GEO'!AL30+'5C1Y_GEO'!AO30)</f>
        <v>0</v>
      </c>
      <c r="AA30" s="355">
        <f>-('5C1Z_Lincoln Prep'!AL30+'5C1Z_Lincoln Prep'!AO30)</f>
        <v>0</v>
      </c>
      <c r="AB30" s="355">
        <f>-('5C1AD_Greater'!$AL30+'5C1AD_Greater'!$AO30)</f>
        <v>0</v>
      </c>
      <c r="AC30" s="355">
        <f>-('5C1AE_Noble Minds'!$AL30+'5C1AE_Noble Minds'!$AO30)</f>
        <v>0</v>
      </c>
      <c r="AD30" s="355">
        <f>-('5C1AF_JCFA-Laf'!$AL30+'5C1AF_JCFA-Laf'!$AO30)</f>
        <v>0</v>
      </c>
      <c r="AE30" s="355">
        <f>-('5C1AG_Collegiate'!$AL30+'5C1AG_Collegiate'!$AO30)</f>
        <v>0</v>
      </c>
      <c r="AF30" s="355">
        <f>-('5C1AH_BRUP'!$AL30+'5C1AH_BRUP'!$AO30)</f>
        <v>0</v>
      </c>
      <c r="AG30" s="355">
        <f>-('5C1AI_Harmony'!$AL30+'5C1AI_Harmony'!$AO30)</f>
        <v>0</v>
      </c>
      <c r="AH30" s="355">
        <f>-('5C1AJ_Athlos'!$AL30+'5C1AJ_Athlos'!$AO30)</f>
        <v>0</v>
      </c>
      <c r="AI30" s="355">
        <f>-('5C1AK_NxtGen'!$AL30+'5C1AK_NxtGen'!$AO30)</f>
        <v>0</v>
      </c>
      <c r="AJ30" s="355">
        <f>-('5C1AL_Red River'!$AL30+'5C1AL_Red River'!$AO30)</f>
        <v>0</v>
      </c>
      <c r="AK30" s="355">
        <f>-('5C2_LAVCA'!AM30+'5C2_LAVCA'!AP30)</f>
        <v>-92549</v>
      </c>
      <c r="AL30" s="355">
        <f>-('5C3_UnvView'!AM30+'5C3_UnvView'!AP30)</f>
        <v>-185151</v>
      </c>
      <c r="AM30" s="356">
        <f t="shared" si="2"/>
        <v>-3348140</v>
      </c>
      <c r="AN30" s="357">
        <f t="shared" si="3"/>
        <v>11410937</v>
      </c>
    </row>
    <row r="31" spans="1:40" ht="15.6" customHeight="1" x14ac:dyDescent="0.2">
      <c r="A31" s="358">
        <v>25</v>
      </c>
      <c r="B31" s="359" t="s">
        <v>29</v>
      </c>
      <c r="C31" s="360">
        <f>'2_State Distrib and Adjs'!BD31</f>
        <v>12464863</v>
      </c>
      <c r="D31" s="360">
        <f>-'5A3_OJJ'!P31</f>
        <v>-4233</v>
      </c>
      <c r="E31" s="360"/>
      <c r="F31" s="360">
        <f>-('5C1A_Madison'!AL31+'5C1A_Madison'!AO31)</f>
        <v>0</v>
      </c>
      <c r="G31" s="360">
        <f>-('5C1B_DArbonne'!AL31+'5C1B_DArbonne'!AO31)</f>
        <v>0</v>
      </c>
      <c r="H31" s="360">
        <f>-('5C1C_Intl High'!AL31+'5C1C_Intl High'!AO31)</f>
        <v>0</v>
      </c>
      <c r="I31" s="360">
        <f>-('5C1D_NOMMA'!AL31+'5C1D_NOMMA'!AO31)</f>
        <v>0</v>
      </c>
      <c r="J31" s="360">
        <f>-('5C1E_LFNO'!AL31+'5C1E_LFNO'!AO31)</f>
        <v>0</v>
      </c>
      <c r="K31" s="360">
        <f>-('5C1F_L.C. Charter'!AL31+'5C1F_L.C. Charter'!AO31)</f>
        <v>0</v>
      </c>
      <c r="L31" s="360">
        <f>-('5C1G_JS Clark'!AL31+'5C1G_JS Clark'!AO31)</f>
        <v>0</v>
      </c>
      <c r="M31" s="360">
        <f>-('5C1H_Southwest'!AL31+'5C1H_Southwest'!AO31)</f>
        <v>0</v>
      </c>
      <c r="N31" s="360">
        <f>-('5C1I_LA Key'!AL31+'5C1I_LA Key'!AO31)</f>
        <v>0</v>
      </c>
      <c r="O31" s="360">
        <f>-('5C1J_JCFA-East'!AL31+'5C1J_JCFA-East'!AO31)</f>
        <v>0</v>
      </c>
      <c r="P31" s="360">
        <f>-('5C1M_GEO Mid'!AL31+'5C1M_GEO Mid'!AO31)</f>
        <v>0</v>
      </c>
      <c r="Q31" s="360">
        <f>-('5C1N_Delta'!AL31+'5C1N_Delta'!AO31)</f>
        <v>0</v>
      </c>
      <c r="R31" s="360">
        <f>-('5C1O_Impact'!AL31+'5C1O_Impact'!AO31)</f>
        <v>0</v>
      </c>
      <c r="S31" s="360">
        <f>-('5C1Q_Advantage'!AL31+'5C1Q_Advantage'!AO31)</f>
        <v>0</v>
      </c>
      <c r="T31" s="360">
        <f>-('5C1R_Iberville'!AL31+'5C1R_Iberville'!AO31)</f>
        <v>0</v>
      </c>
      <c r="U31" s="360">
        <f>-('5C1S_LC Col Prep'!AL31+'5C1S_LC Col Prep'!AO31)</f>
        <v>0</v>
      </c>
      <c r="V31" s="360">
        <f>-('5C1T_Northeast'!AL31+'5C1T_Northeast'!AO31)</f>
        <v>0</v>
      </c>
      <c r="W31" s="360">
        <f>-('5C1U_Acadiana Ren'!AL31+'5C1U_Acadiana Ren'!AO31)</f>
        <v>0</v>
      </c>
      <c r="X31" s="360">
        <f>-('5C1V_Laf Ren'!AL31+'5C1V_Laf Ren'!AO31)</f>
        <v>0</v>
      </c>
      <c r="Y31" s="360">
        <f>-('5C1W_Willow'!AL31+'5C1W_Willow'!AO31)</f>
        <v>0</v>
      </c>
      <c r="Z31" s="360">
        <f>-('5C1Y_GEO'!AL31+'5C1Y_GEO'!AO31)</f>
        <v>0</v>
      </c>
      <c r="AA31" s="360">
        <f>-('5C1Z_Lincoln Prep'!AL31+'5C1Z_Lincoln Prep'!AO31)</f>
        <v>-83160</v>
      </c>
      <c r="AB31" s="360">
        <f>-('5C1AD_Greater'!$AL31+'5C1AD_Greater'!$AO31)</f>
        <v>0</v>
      </c>
      <c r="AC31" s="360">
        <f>-('5C1AE_Noble Minds'!$AL31+'5C1AE_Noble Minds'!$AO31)</f>
        <v>0</v>
      </c>
      <c r="AD31" s="360">
        <f>-('5C1AF_JCFA-Laf'!$AL31+'5C1AF_JCFA-Laf'!$AO31)</f>
        <v>0</v>
      </c>
      <c r="AE31" s="360">
        <f>-('5C1AG_Collegiate'!$AL31+'5C1AG_Collegiate'!$AO31)</f>
        <v>0</v>
      </c>
      <c r="AF31" s="360">
        <f>-('5C1AH_BRUP'!$AL31+'5C1AH_BRUP'!$AO31)</f>
        <v>0</v>
      </c>
      <c r="AG31" s="657">
        <f>-('5C1AI_Harmony'!$AL31+'5C1AI_Harmony'!$AO31)</f>
        <v>0</v>
      </c>
      <c r="AH31" s="657">
        <f>-('5C1AJ_Athlos'!$AL31+'5C1AJ_Athlos'!$AO31)</f>
        <v>0</v>
      </c>
      <c r="AI31" s="892">
        <f>-('5C1AK_NxtGen'!$AL31+'5C1AK_NxtGen'!$AO31)</f>
        <v>0</v>
      </c>
      <c r="AJ31" s="892">
        <f>-('5C1AL_Red River'!$AL31+'5C1AL_Red River'!$AO31)</f>
        <v>0</v>
      </c>
      <c r="AK31" s="360">
        <f>-('5C2_LAVCA'!AM31+'5C2_LAVCA'!AP31)</f>
        <v>-57736</v>
      </c>
      <c r="AL31" s="360">
        <f>-('5C3_UnvView'!AM31+'5C3_UnvView'!AP31)</f>
        <v>-25431</v>
      </c>
      <c r="AM31" s="361">
        <f t="shared" si="2"/>
        <v>-170560</v>
      </c>
      <c r="AN31" s="362">
        <f t="shared" si="3"/>
        <v>12294303</v>
      </c>
    </row>
    <row r="32" spans="1:40" ht="15.6" customHeight="1" x14ac:dyDescent="0.2">
      <c r="A32" s="347">
        <v>26</v>
      </c>
      <c r="B32" s="348" t="s">
        <v>30</v>
      </c>
      <c r="C32" s="349">
        <f>'2_State Distrib and Adjs'!BD32</f>
        <v>243738884</v>
      </c>
      <c r="D32" s="349">
        <f>-'5A3_OJJ'!P32</f>
        <v>-37544</v>
      </c>
      <c r="E32" s="349"/>
      <c r="F32" s="349">
        <f>-('5C1A_Madison'!AL32+'5C1A_Madison'!AO32)</f>
        <v>0</v>
      </c>
      <c r="G32" s="349">
        <f>-('5C1B_DArbonne'!AL32+'5C1B_DArbonne'!AO32)</f>
        <v>0</v>
      </c>
      <c r="H32" s="349">
        <f>-('5C1C_Intl High'!AL32+'5C1C_Intl High'!AO32)</f>
        <v>-231115</v>
      </c>
      <c r="I32" s="349">
        <f>-('5C1D_NOMMA'!AL32+'5C1D_NOMMA'!AO32)</f>
        <v>-3663314</v>
      </c>
      <c r="J32" s="349">
        <f>-('5C1E_LFNO'!AL32+'5C1E_LFNO'!AO32)</f>
        <v>-1248555</v>
      </c>
      <c r="K32" s="349">
        <f>-('5C1F_L.C. Charter'!AL32+'5C1F_L.C. Charter'!AO32)</f>
        <v>0</v>
      </c>
      <c r="L32" s="349">
        <f>-('5C1G_JS Clark'!AL32+'5C1G_JS Clark'!AO32)</f>
        <v>0</v>
      </c>
      <c r="M32" s="349">
        <f>-('5C1H_Southwest'!AL32+'5C1H_Southwest'!AO32)</f>
        <v>0</v>
      </c>
      <c r="N32" s="349">
        <f>-('5C1I_LA Key'!AL32+'5C1I_LA Key'!AO32)</f>
        <v>-2657</v>
      </c>
      <c r="O32" s="349">
        <f>-('5C1J_JCFA-East'!AL32+'5C1J_JCFA-East'!AO32)</f>
        <v>-927139</v>
      </c>
      <c r="P32" s="349">
        <f>-('5C1M_GEO Mid'!AL32+'5C1M_GEO Mid'!AO32)</f>
        <v>0</v>
      </c>
      <c r="Q32" s="349">
        <f>-('5C1N_Delta'!AL32+'5C1N_Delta'!AO32)</f>
        <v>0</v>
      </c>
      <c r="R32" s="349">
        <f>-('5C1O_Impact'!AL32+'5C1O_Impact'!AO32)</f>
        <v>0</v>
      </c>
      <c r="S32" s="349">
        <f>-('5C1Q_Advantage'!AL32+'5C1Q_Advantage'!AO32)</f>
        <v>0</v>
      </c>
      <c r="T32" s="349">
        <f>-('5C1R_Iberville'!AL32+'5C1R_Iberville'!AO32)</f>
        <v>-42504</v>
      </c>
      <c r="U32" s="349">
        <f>-('5C1S_LC Col Prep'!AL32+'5C1S_LC Col Prep'!AO32)</f>
        <v>0</v>
      </c>
      <c r="V32" s="349">
        <f>-('5C1T_Northeast'!AL32+'5C1T_Northeast'!AO32)</f>
        <v>0</v>
      </c>
      <c r="W32" s="349">
        <f>-('5C1U_Acadiana Ren'!AL32+'5C1U_Acadiana Ren'!AO32)</f>
        <v>0</v>
      </c>
      <c r="X32" s="349">
        <f>-('5C1V_Laf Ren'!AL32+'5C1V_Laf Ren'!AO32)</f>
        <v>0</v>
      </c>
      <c r="Y32" s="349">
        <f>-('5C1W_Willow'!AL32+'5C1W_Willow'!AO32)</f>
        <v>0</v>
      </c>
      <c r="Z32" s="349">
        <f>-('5C1Y_GEO'!AL32+'5C1Y_GEO'!AO32)</f>
        <v>0</v>
      </c>
      <c r="AA32" s="350">
        <f>-('5C1Z_Lincoln Prep'!AL32+'5C1Z_Lincoln Prep'!AO32)</f>
        <v>0</v>
      </c>
      <c r="AB32" s="350">
        <f>-('5C1AD_Greater'!$AL32+'5C1AD_Greater'!$AO32)</f>
        <v>0</v>
      </c>
      <c r="AC32" s="350">
        <f>-('5C1AE_Noble Minds'!$AL32+'5C1AE_Noble Minds'!$AO32)</f>
        <v>-61099</v>
      </c>
      <c r="AD32" s="350">
        <f>-('5C1AF_JCFA-Laf'!$AL32+'5C1AF_JCFA-Laf'!$AO32)</f>
        <v>0</v>
      </c>
      <c r="AE32" s="350">
        <f>-('5C1AG_Collegiate'!$AL32+'5C1AG_Collegiate'!$AO32)</f>
        <v>0</v>
      </c>
      <c r="AF32" s="350">
        <f>-('5C1AH_BRUP'!$AL32+'5C1AH_BRUP'!$AO32)</f>
        <v>0</v>
      </c>
      <c r="AG32" s="656">
        <f>-('5C1AI_Harmony'!$AL32+'5C1AI_Harmony'!$AO32)</f>
        <v>-34535</v>
      </c>
      <c r="AH32" s="656">
        <f>-('5C1AJ_Athlos'!$AL32+'5C1AJ_Athlos'!$AO32)</f>
        <v>-5485672</v>
      </c>
      <c r="AI32" s="656">
        <f>-('5C1AK_NxtGen'!$AL32+'5C1AK_NxtGen'!$AO32)</f>
        <v>0</v>
      </c>
      <c r="AJ32" s="656">
        <f>-('5C1AL_Red River'!$AL32+'5C1AL_Red River'!$AO32)</f>
        <v>0</v>
      </c>
      <c r="AK32" s="349">
        <f>-('5C2_LAVCA'!AM32+'5C2_LAVCA'!AP32)</f>
        <v>-817671</v>
      </c>
      <c r="AL32" s="349">
        <f>-('5C3_UnvView'!AM32+'5C3_UnvView'!AP32)</f>
        <v>-906650</v>
      </c>
      <c r="AM32" s="351">
        <f t="shared" si="2"/>
        <v>-13458455</v>
      </c>
      <c r="AN32" s="352">
        <f t="shared" si="3"/>
        <v>230280429</v>
      </c>
    </row>
    <row r="33" spans="1:40" ht="15.6" customHeight="1" x14ac:dyDescent="0.2">
      <c r="A33" s="353">
        <v>27</v>
      </c>
      <c r="B33" s="354" t="s">
        <v>31</v>
      </c>
      <c r="C33" s="355">
        <f>'2_State Distrib and Adjs'!BD33</f>
        <v>37483195</v>
      </c>
      <c r="D33" s="355">
        <f>-'5A3_OJJ'!P33</f>
        <v>-1647</v>
      </c>
      <c r="E33" s="355"/>
      <c r="F33" s="355">
        <f>-('5C1A_Madison'!AL33+'5C1A_Madison'!AO33)</f>
        <v>0</v>
      </c>
      <c r="G33" s="355">
        <f>-('5C1B_DArbonne'!AL33+'5C1B_DArbonne'!AO33)</f>
        <v>0</v>
      </c>
      <c r="H33" s="355">
        <f>-('5C1C_Intl High'!AL33+'5C1C_Intl High'!AO33)</f>
        <v>0</v>
      </c>
      <c r="I33" s="355">
        <f>-('5C1D_NOMMA'!AL33+'5C1D_NOMMA'!AO33)</f>
        <v>0</v>
      </c>
      <c r="J33" s="355">
        <f>-('5C1E_LFNO'!AL33+'5C1E_LFNO'!AO33)</f>
        <v>0</v>
      </c>
      <c r="K33" s="355">
        <f>-('5C1F_L.C. Charter'!AL33+'5C1F_L.C. Charter'!AO33)</f>
        <v>-14416</v>
      </c>
      <c r="L33" s="355">
        <f>-('5C1G_JS Clark'!AL33+'5C1G_JS Clark'!AO33)</f>
        <v>0</v>
      </c>
      <c r="M33" s="355">
        <f>-('5C1H_Southwest'!AL33+'5C1H_Southwest'!AO33)</f>
        <v>-7208</v>
      </c>
      <c r="N33" s="355">
        <f>-('5C1I_LA Key'!AL33+'5C1I_LA Key'!AO33)</f>
        <v>0</v>
      </c>
      <c r="O33" s="355">
        <f>-('5C1J_JCFA-East'!AL33+'5C1J_JCFA-East'!AO33)</f>
        <v>0</v>
      </c>
      <c r="P33" s="355">
        <f>-('5C1M_GEO Mid'!AL33+'5C1M_GEO Mid'!AO33)</f>
        <v>0</v>
      </c>
      <c r="Q33" s="355">
        <f>-('5C1N_Delta'!AL33+'5C1N_Delta'!AO33)</f>
        <v>0</v>
      </c>
      <c r="R33" s="355">
        <f>-('5C1O_Impact'!AL33+'5C1O_Impact'!AO33)</f>
        <v>0</v>
      </c>
      <c r="S33" s="355">
        <f>-('5C1Q_Advantage'!AL33+'5C1Q_Advantage'!AO33)</f>
        <v>0</v>
      </c>
      <c r="T33" s="355">
        <f>-('5C1R_Iberville'!AL33+'5C1R_Iberville'!AO33)</f>
        <v>0</v>
      </c>
      <c r="U33" s="355">
        <f>-('5C1S_LC Col Prep'!AL33+'5C1S_LC Col Prep'!AO33)</f>
        <v>0</v>
      </c>
      <c r="V33" s="355">
        <f>-('5C1T_Northeast'!AL33+'5C1T_Northeast'!AO33)</f>
        <v>0</v>
      </c>
      <c r="W33" s="355">
        <f>-('5C1U_Acadiana Ren'!AL33+'5C1U_Acadiana Ren'!AO33)</f>
        <v>0</v>
      </c>
      <c r="X33" s="355">
        <f>-('5C1V_Laf Ren'!AL33+'5C1V_Laf Ren'!AO33)</f>
        <v>0</v>
      </c>
      <c r="Y33" s="355">
        <f>-('5C1W_Willow'!AL33+'5C1W_Willow'!AO33)</f>
        <v>0</v>
      </c>
      <c r="Z33" s="355">
        <f>-('5C1Y_GEO'!AL33+'5C1Y_GEO'!AO33)</f>
        <v>0</v>
      </c>
      <c r="AA33" s="355">
        <f>-('5C1Z_Lincoln Prep'!AL33+'5C1Z_Lincoln Prep'!AO33)</f>
        <v>0</v>
      </c>
      <c r="AB33" s="355">
        <f>-('5C1AD_Greater'!$AL33+'5C1AD_Greater'!$AO33)</f>
        <v>0</v>
      </c>
      <c r="AC33" s="355">
        <f>-('5C1AE_Noble Minds'!$AL33+'5C1AE_Noble Minds'!$AO33)</f>
        <v>0</v>
      </c>
      <c r="AD33" s="355">
        <f>-('5C1AF_JCFA-Laf'!$AL33+'5C1AF_JCFA-Laf'!$AO33)</f>
        <v>-3604</v>
      </c>
      <c r="AE33" s="355">
        <f>-('5C1AG_Collegiate'!$AL33+'5C1AG_Collegiate'!$AO33)</f>
        <v>0</v>
      </c>
      <c r="AF33" s="355">
        <f>-('5C1AH_BRUP'!$AL33+'5C1AH_BRUP'!$AO33)</f>
        <v>0</v>
      </c>
      <c r="AG33" s="355">
        <f>-('5C1AI_Harmony'!$AL33+'5C1AI_Harmony'!$AO33)</f>
        <v>0</v>
      </c>
      <c r="AH33" s="355">
        <f>-('5C1AJ_Athlos'!$AL33+'5C1AJ_Athlos'!$AO33)</f>
        <v>0</v>
      </c>
      <c r="AI33" s="355">
        <f>-('5C1AK_NxtGen'!$AL33+'5C1AK_NxtGen'!$AO33)</f>
        <v>0</v>
      </c>
      <c r="AJ33" s="355">
        <f>-('5C1AL_Red River'!$AL33+'5C1AL_Red River'!$AO33)</f>
        <v>0</v>
      </c>
      <c r="AK33" s="355">
        <f>-('5C2_LAVCA'!AM33+'5C2_LAVCA'!AP33)</f>
        <v>-47032</v>
      </c>
      <c r="AL33" s="355">
        <f>-('5C3_UnvView'!AM33+'5C3_UnvView'!AP33)</f>
        <v>-6487</v>
      </c>
      <c r="AM33" s="356">
        <f t="shared" si="2"/>
        <v>-80394</v>
      </c>
      <c r="AN33" s="357">
        <f t="shared" si="3"/>
        <v>37402801</v>
      </c>
    </row>
    <row r="34" spans="1:40" ht="15.6" customHeight="1" x14ac:dyDescent="0.2">
      <c r="A34" s="353">
        <v>28</v>
      </c>
      <c r="B34" s="354" t="s">
        <v>32</v>
      </c>
      <c r="C34" s="355">
        <f>'2_State Distrib and Adjs'!BD34</f>
        <v>139964505</v>
      </c>
      <c r="D34" s="355">
        <f>-'5A3_OJJ'!P34</f>
        <v>-19621</v>
      </c>
      <c r="E34" s="355"/>
      <c r="F34" s="355">
        <f>-('5C1A_Madison'!AL34+'5C1A_Madison'!AO34)</f>
        <v>0</v>
      </c>
      <c r="G34" s="355">
        <f>-('5C1B_DArbonne'!AL34+'5C1B_DArbonne'!AO34)</f>
        <v>0</v>
      </c>
      <c r="H34" s="355">
        <f>-('5C1C_Intl High'!AL34+'5C1C_Intl High'!AO34)</f>
        <v>0</v>
      </c>
      <c r="I34" s="355">
        <f>-('5C1D_NOMMA'!AL34+'5C1D_NOMMA'!AO34)</f>
        <v>0</v>
      </c>
      <c r="J34" s="355">
        <f>-('5C1E_LFNO'!AL34+'5C1E_LFNO'!AO34)</f>
        <v>0</v>
      </c>
      <c r="K34" s="355">
        <f>-('5C1F_L.C. Charter'!AL34+'5C1F_L.C. Charter'!AO34)</f>
        <v>0</v>
      </c>
      <c r="L34" s="355">
        <f>-('5C1G_JS Clark'!AL34+'5C1G_JS Clark'!AO34)</f>
        <v>0</v>
      </c>
      <c r="M34" s="355">
        <f>-('5C1H_Southwest'!AL34+'5C1H_Southwest'!AO34)</f>
        <v>0</v>
      </c>
      <c r="N34" s="355">
        <f>-('5C1I_LA Key'!AL34+'5C1I_LA Key'!AO34)</f>
        <v>0</v>
      </c>
      <c r="O34" s="355">
        <f>-('5C1J_JCFA-East'!AL34+'5C1J_JCFA-East'!AO34)</f>
        <v>0</v>
      </c>
      <c r="P34" s="355">
        <f>-('5C1M_GEO Mid'!AL34+'5C1M_GEO Mid'!AO34)</f>
        <v>0</v>
      </c>
      <c r="Q34" s="355">
        <f>-('5C1N_Delta'!AL34+'5C1N_Delta'!AO34)</f>
        <v>0</v>
      </c>
      <c r="R34" s="355">
        <f>-('5C1O_Impact'!AL34+'5C1O_Impact'!AO34)</f>
        <v>0</v>
      </c>
      <c r="S34" s="355">
        <f>-('5C1Q_Advantage'!AL34+'5C1Q_Advantage'!AO34)</f>
        <v>0</v>
      </c>
      <c r="T34" s="355">
        <f>-('5C1R_Iberville'!AL34+'5C1R_Iberville'!AO34)</f>
        <v>0</v>
      </c>
      <c r="U34" s="355">
        <f>-('5C1S_LC Col Prep'!AL34+'5C1S_LC Col Prep'!AO34)</f>
        <v>0</v>
      </c>
      <c r="V34" s="355">
        <f>-('5C1T_Northeast'!AL34+'5C1T_Northeast'!AO34)</f>
        <v>0</v>
      </c>
      <c r="W34" s="355">
        <f>-('5C1U_Acadiana Ren'!AL34+'5C1U_Acadiana Ren'!AO34)</f>
        <v>-4319996</v>
      </c>
      <c r="X34" s="355">
        <f>-('5C1V_Laf Ren'!AL34+'5C1V_Laf Ren'!AO34)</f>
        <v>-4725085</v>
      </c>
      <c r="Y34" s="355">
        <f>-('5C1W_Willow'!AL34+'5C1W_Willow'!AO34)</f>
        <v>-3153915</v>
      </c>
      <c r="Z34" s="355">
        <f>-('5C1Y_GEO'!AL34+'5C1Y_GEO'!AO34)</f>
        <v>0</v>
      </c>
      <c r="AA34" s="355">
        <f>-('5C1Z_Lincoln Prep'!AL34+'5C1Z_Lincoln Prep'!AO34)</f>
        <v>0</v>
      </c>
      <c r="AB34" s="355">
        <f>-('5C1AD_Greater'!$AL34+'5C1AD_Greater'!$AO34)</f>
        <v>0</v>
      </c>
      <c r="AC34" s="355">
        <f>-('5C1AE_Noble Minds'!$AL34+'5C1AE_Noble Minds'!$AO34)</f>
        <v>0</v>
      </c>
      <c r="AD34" s="355">
        <f>-('5C1AF_JCFA-Laf'!$AL34+'5C1AF_JCFA-Laf'!$AO34)</f>
        <v>-338540</v>
      </c>
      <c r="AE34" s="355">
        <f>-('5C1AG_Collegiate'!$AL34+'5C1AG_Collegiate'!$AO34)</f>
        <v>0</v>
      </c>
      <c r="AF34" s="355">
        <f>-('5C1AH_BRUP'!$AL34+'5C1AH_BRUP'!$AO34)</f>
        <v>0</v>
      </c>
      <c r="AG34" s="355">
        <f>-('5C1AI_Harmony'!$AL34+'5C1AI_Harmony'!$AO34)</f>
        <v>0</v>
      </c>
      <c r="AH34" s="355">
        <f>-('5C1AJ_Athlos'!$AL34+'5C1AJ_Athlos'!$AO34)</f>
        <v>0</v>
      </c>
      <c r="AI34" s="355">
        <f>-('5C1AK_NxtGen'!$AL34+'5C1AK_NxtGen'!$AO34)</f>
        <v>0</v>
      </c>
      <c r="AJ34" s="355">
        <f>-('5C1AL_Red River'!$AL34+'5C1AL_Red River'!$AO34)</f>
        <v>0</v>
      </c>
      <c r="AK34" s="355">
        <f>-('5C2_LAVCA'!AM34+'5C2_LAVCA'!AP34)</f>
        <v>-348957</v>
      </c>
      <c r="AL34" s="355">
        <f>-('5C3_UnvView'!AM34+'5C3_UnvView'!AP34)</f>
        <v>-554691</v>
      </c>
      <c r="AM34" s="356">
        <f t="shared" si="2"/>
        <v>-13460805</v>
      </c>
      <c r="AN34" s="357">
        <f t="shared" si="3"/>
        <v>126503700</v>
      </c>
    </row>
    <row r="35" spans="1:40" ht="15.6" customHeight="1" x14ac:dyDescent="0.2">
      <c r="A35" s="353">
        <v>29</v>
      </c>
      <c r="B35" s="354" t="s">
        <v>33</v>
      </c>
      <c r="C35" s="355">
        <f>'2_State Distrib and Adjs'!BD35</f>
        <v>75718768</v>
      </c>
      <c r="D35" s="355">
        <f>-'5A3_OJJ'!P35</f>
        <v>-11223</v>
      </c>
      <c r="E35" s="355"/>
      <c r="F35" s="355">
        <f>-('5C1A_Madison'!AL35+'5C1A_Madison'!AO35)</f>
        <v>0</v>
      </c>
      <c r="G35" s="355">
        <f>-('5C1B_DArbonne'!AL35+'5C1B_DArbonne'!AO35)</f>
        <v>0</v>
      </c>
      <c r="H35" s="355">
        <f>-('5C1C_Intl High'!AL35+'5C1C_Intl High'!AO35)</f>
        <v>-5006</v>
      </c>
      <c r="I35" s="355">
        <f>-('5C1D_NOMMA'!AL35+'5C1D_NOMMA'!AO35)</f>
        <v>0</v>
      </c>
      <c r="J35" s="355">
        <f>-('5C1E_LFNO'!AL35+'5C1E_LFNO'!AO35)</f>
        <v>0</v>
      </c>
      <c r="K35" s="355">
        <f>-('5C1F_L.C. Charter'!AL35+'5C1F_L.C. Charter'!AO35)</f>
        <v>0</v>
      </c>
      <c r="L35" s="355">
        <f>-('5C1G_JS Clark'!AL35+'5C1G_JS Clark'!AO35)</f>
        <v>0</v>
      </c>
      <c r="M35" s="355">
        <f>-('5C1H_Southwest'!AL35+'5C1H_Southwest'!AO35)</f>
        <v>0</v>
      </c>
      <c r="N35" s="355">
        <f>-('5C1I_LA Key'!AL35+'5C1I_LA Key'!AO35)</f>
        <v>0</v>
      </c>
      <c r="O35" s="355">
        <f>-('5C1J_JCFA-East'!AL35+'5C1J_JCFA-East'!AO35)</f>
        <v>-2503</v>
      </c>
      <c r="P35" s="355">
        <f>-('5C1M_GEO Mid'!AL35+'5C1M_GEO Mid'!AO35)</f>
        <v>0</v>
      </c>
      <c r="Q35" s="355">
        <f>-('5C1N_Delta'!AL35+'5C1N_Delta'!AO35)</f>
        <v>0</v>
      </c>
      <c r="R35" s="355">
        <f>-('5C1O_Impact'!AL35+'5C1O_Impact'!AO35)</f>
        <v>0</v>
      </c>
      <c r="S35" s="355">
        <f>-('5C1Q_Advantage'!AL35+'5C1Q_Advantage'!AO35)</f>
        <v>0</v>
      </c>
      <c r="T35" s="355">
        <f>-('5C1R_Iberville'!AL35+'5C1R_Iberville'!AO35)</f>
        <v>-310372</v>
      </c>
      <c r="U35" s="355">
        <f>-('5C1S_LC Col Prep'!AL35+'5C1S_LC Col Prep'!AO35)</f>
        <v>0</v>
      </c>
      <c r="V35" s="355">
        <f>-('5C1T_Northeast'!AL35+'5C1T_Northeast'!AO35)</f>
        <v>0</v>
      </c>
      <c r="W35" s="355">
        <f>-('5C1U_Acadiana Ren'!AL35+'5C1U_Acadiana Ren'!AO35)</f>
        <v>-5006</v>
      </c>
      <c r="X35" s="355">
        <f>-('5C1V_Laf Ren'!AL35+'5C1V_Laf Ren'!AO35)</f>
        <v>0</v>
      </c>
      <c r="Y35" s="355">
        <f>-('5C1W_Willow'!AL35+'5C1W_Willow'!AO35)</f>
        <v>0</v>
      </c>
      <c r="Z35" s="355">
        <f>-('5C1Y_GEO'!AL35+'5C1Y_GEO'!AO35)</f>
        <v>0</v>
      </c>
      <c r="AA35" s="355">
        <f>-('5C1Z_Lincoln Prep'!AL35+'5C1Z_Lincoln Prep'!AO35)</f>
        <v>0</v>
      </c>
      <c r="AB35" s="355">
        <f>-('5C1AD_Greater'!$AL35+'5C1AD_Greater'!$AO35)</f>
        <v>-7509</v>
      </c>
      <c r="AC35" s="355">
        <f>-('5C1AE_Noble Minds'!$AL35+'5C1AE_Noble Minds'!$AO35)</f>
        <v>0</v>
      </c>
      <c r="AD35" s="355">
        <f>-('5C1AF_JCFA-Laf'!$AL35+'5C1AF_JCFA-Laf'!$AO35)</f>
        <v>0</v>
      </c>
      <c r="AE35" s="355">
        <f>-('5C1AG_Collegiate'!$AL35+'5C1AG_Collegiate'!$AO35)</f>
        <v>0</v>
      </c>
      <c r="AF35" s="355">
        <f>-('5C1AH_BRUP'!$AL35+'5C1AH_BRUP'!$AO35)</f>
        <v>0</v>
      </c>
      <c r="AG35" s="355">
        <f>-('5C1AI_Harmony'!$AL35+'5C1AI_Harmony'!$AO35)</f>
        <v>0</v>
      </c>
      <c r="AH35" s="355">
        <f>-('5C1AJ_Athlos'!$AL35+'5C1AJ_Athlos'!$AO35)</f>
        <v>0</v>
      </c>
      <c r="AI35" s="355">
        <f>-('5C1AK_NxtGen'!$AL35+'5C1AK_NxtGen'!$AO35)</f>
        <v>0</v>
      </c>
      <c r="AJ35" s="355">
        <f>-('5C1AL_Red River'!$AL35+'5C1AL_Red River'!$AO35)</f>
        <v>0</v>
      </c>
      <c r="AK35" s="355">
        <f>-('5C2_LAVCA'!AM35+'5C2_LAVCA'!AP35)</f>
        <v>-128390</v>
      </c>
      <c r="AL35" s="355">
        <f>-('5C3_UnvView'!AM35+'5C3_UnvView'!AP35)</f>
        <v>-274643</v>
      </c>
      <c r="AM35" s="356">
        <f t="shared" si="2"/>
        <v>-744652</v>
      </c>
      <c r="AN35" s="357">
        <f t="shared" si="3"/>
        <v>74974116</v>
      </c>
    </row>
    <row r="36" spans="1:40" ht="15.6" customHeight="1" x14ac:dyDescent="0.2">
      <c r="A36" s="358">
        <v>30</v>
      </c>
      <c r="B36" s="359" t="s">
        <v>34</v>
      </c>
      <c r="C36" s="360">
        <f>'2_State Distrib and Adjs'!BD36</f>
        <v>17627018</v>
      </c>
      <c r="D36" s="360">
        <f>-'5A3_OJJ'!P36</f>
        <v>0</v>
      </c>
      <c r="E36" s="360"/>
      <c r="F36" s="360">
        <f>-('5C1A_Madison'!AL36+'5C1A_Madison'!AO36)</f>
        <v>0</v>
      </c>
      <c r="G36" s="360">
        <f>-('5C1B_DArbonne'!AL36+'5C1B_DArbonne'!AO36)</f>
        <v>0</v>
      </c>
      <c r="H36" s="360">
        <f>-('5C1C_Intl High'!AL36+'5C1C_Intl High'!AO36)</f>
        <v>0</v>
      </c>
      <c r="I36" s="360">
        <f>-('5C1D_NOMMA'!AL36+'5C1D_NOMMA'!AO36)</f>
        <v>0</v>
      </c>
      <c r="J36" s="360">
        <f>-('5C1E_LFNO'!AL36+'5C1E_LFNO'!AO36)</f>
        <v>0</v>
      </c>
      <c r="K36" s="360">
        <f>-('5C1F_L.C. Charter'!AL36+'5C1F_L.C. Charter'!AO36)</f>
        <v>0</v>
      </c>
      <c r="L36" s="360">
        <f>-('5C1G_JS Clark'!AL36+'5C1G_JS Clark'!AO36)</f>
        <v>0</v>
      </c>
      <c r="M36" s="360">
        <f>-('5C1H_Southwest'!AL36+'5C1H_Southwest'!AO36)</f>
        <v>0</v>
      </c>
      <c r="N36" s="360">
        <f>-('5C1I_LA Key'!AL36+'5C1I_LA Key'!AO36)</f>
        <v>0</v>
      </c>
      <c r="O36" s="360">
        <f>-('5C1J_JCFA-East'!AL36+'5C1J_JCFA-East'!AO36)</f>
        <v>0</v>
      </c>
      <c r="P36" s="360">
        <f>-('5C1M_GEO Mid'!AL36+'5C1M_GEO Mid'!AO36)</f>
        <v>0</v>
      </c>
      <c r="Q36" s="360">
        <f>-('5C1N_Delta'!AL36+'5C1N_Delta'!AO36)</f>
        <v>0</v>
      </c>
      <c r="R36" s="360">
        <f>-('5C1O_Impact'!AL36+'5C1O_Impact'!AO36)</f>
        <v>0</v>
      </c>
      <c r="S36" s="360">
        <f>-('5C1Q_Advantage'!AL36+'5C1Q_Advantage'!AO36)</f>
        <v>0</v>
      </c>
      <c r="T36" s="360">
        <f>-('5C1R_Iberville'!AL36+'5C1R_Iberville'!AO36)</f>
        <v>0</v>
      </c>
      <c r="U36" s="360">
        <f>-('5C1S_LC Col Prep'!AL36+'5C1S_LC Col Prep'!AO36)</f>
        <v>0</v>
      </c>
      <c r="V36" s="360">
        <f>-('5C1T_Northeast'!AL36+'5C1T_Northeast'!AO36)</f>
        <v>0</v>
      </c>
      <c r="W36" s="360">
        <f>-('5C1U_Acadiana Ren'!AL36+'5C1U_Acadiana Ren'!AO36)</f>
        <v>-2491</v>
      </c>
      <c r="X36" s="360">
        <f>-('5C1V_Laf Ren'!AL36+'5C1V_Laf Ren'!AO36)</f>
        <v>0</v>
      </c>
      <c r="Y36" s="360">
        <f>-('5C1W_Willow'!AL36+'5C1W_Willow'!AO36)</f>
        <v>0</v>
      </c>
      <c r="Z36" s="360">
        <f>-('5C1Y_GEO'!AL36+'5C1Y_GEO'!AO36)</f>
        <v>0</v>
      </c>
      <c r="AA36" s="360">
        <f>-('5C1Z_Lincoln Prep'!AL36+'5C1Z_Lincoln Prep'!AO36)</f>
        <v>0</v>
      </c>
      <c r="AB36" s="360">
        <f>-('5C1AD_Greater'!$AL36+'5C1AD_Greater'!$AO36)</f>
        <v>0</v>
      </c>
      <c r="AC36" s="360">
        <f>-('5C1AE_Noble Minds'!$AL36+'5C1AE_Noble Minds'!$AO36)</f>
        <v>0</v>
      </c>
      <c r="AD36" s="360">
        <f>-('5C1AF_JCFA-Laf'!$AL36+'5C1AF_JCFA-Laf'!$AO36)</f>
        <v>0</v>
      </c>
      <c r="AE36" s="360">
        <f>-('5C1AG_Collegiate'!$AL36+'5C1AG_Collegiate'!$AO36)</f>
        <v>0</v>
      </c>
      <c r="AF36" s="360">
        <f>-('5C1AH_BRUP'!$AL36+'5C1AH_BRUP'!$AO36)</f>
        <v>0</v>
      </c>
      <c r="AG36" s="657">
        <f>-('5C1AI_Harmony'!$AL36+'5C1AI_Harmony'!$AO36)</f>
        <v>0</v>
      </c>
      <c r="AH36" s="657">
        <f>-('5C1AJ_Athlos'!$AL36+'5C1AJ_Athlos'!$AO36)</f>
        <v>0</v>
      </c>
      <c r="AI36" s="892">
        <f>-('5C1AK_NxtGen'!$AL36+'5C1AK_NxtGen'!$AO36)</f>
        <v>0</v>
      </c>
      <c r="AJ36" s="892">
        <f>-('5C1AL_Red River'!$AL36+'5C1AL_Red River'!$AO36)</f>
        <v>0</v>
      </c>
      <c r="AK36" s="360">
        <f>-('5C2_LAVCA'!AM36+'5C2_LAVCA'!AP36)</f>
        <v>-6726</v>
      </c>
      <c r="AL36" s="360">
        <f>-('5C3_UnvView'!AM36+'5C3_UnvView'!AP36)</f>
        <v>-40354</v>
      </c>
      <c r="AM36" s="361">
        <f t="shared" si="2"/>
        <v>-49571</v>
      </c>
      <c r="AN36" s="362">
        <f t="shared" si="3"/>
        <v>17577447</v>
      </c>
    </row>
    <row r="37" spans="1:40" ht="15.6" customHeight="1" x14ac:dyDescent="0.2">
      <c r="A37" s="347">
        <v>31</v>
      </c>
      <c r="B37" s="348" t="s">
        <v>35</v>
      </c>
      <c r="C37" s="349">
        <f>'2_State Distrib and Adjs'!BD37</f>
        <v>30374571</v>
      </c>
      <c r="D37" s="349">
        <f>-'5A3_OJJ'!P37</f>
        <v>-8344</v>
      </c>
      <c r="E37" s="349"/>
      <c r="F37" s="349">
        <f>-('5C1A_Madison'!AL37+'5C1A_Madison'!AO37)</f>
        <v>0</v>
      </c>
      <c r="G37" s="349">
        <f>-('5C1B_DArbonne'!AL37+'5C1B_DArbonne'!AO37)</f>
        <v>-336441</v>
      </c>
      <c r="H37" s="349">
        <f>-('5C1C_Intl High'!AL37+'5C1C_Intl High'!AO37)</f>
        <v>0</v>
      </c>
      <c r="I37" s="349">
        <f>-('5C1D_NOMMA'!AL37+'5C1D_NOMMA'!AO37)</f>
        <v>0</v>
      </c>
      <c r="J37" s="349">
        <f>-('5C1E_LFNO'!AL37+'5C1E_LFNO'!AO37)</f>
        <v>0</v>
      </c>
      <c r="K37" s="349">
        <f>-('5C1F_L.C. Charter'!AL37+'5C1F_L.C. Charter'!AO37)</f>
        <v>0</v>
      </c>
      <c r="L37" s="349">
        <f>-('5C1G_JS Clark'!AL37+'5C1G_JS Clark'!AO37)</f>
        <v>0</v>
      </c>
      <c r="M37" s="349">
        <f>-('5C1H_Southwest'!AL37+'5C1H_Southwest'!AO37)</f>
        <v>0</v>
      </c>
      <c r="N37" s="349">
        <f>-('5C1I_LA Key'!AL37+'5C1I_LA Key'!AO37)</f>
        <v>0</v>
      </c>
      <c r="O37" s="349">
        <f>-('5C1J_JCFA-East'!AL37+'5C1J_JCFA-East'!AO37)</f>
        <v>0</v>
      </c>
      <c r="P37" s="349">
        <f>-('5C1M_GEO Mid'!AL37+'5C1M_GEO Mid'!AO37)</f>
        <v>0</v>
      </c>
      <c r="Q37" s="349">
        <f>-('5C1N_Delta'!AL37+'5C1N_Delta'!AO37)</f>
        <v>0</v>
      </c>
      <c r="R37" s="349">
        <f>-('5C1O_Impact'!AL37+'5C1O_Impact'!AO37)</f>
        <v>0</v>
      </c>
      <c r="S37" s="349">
        <f>-('5C1Q_Advantage'!AL37+'5C1Q_Advantage'!AO37)</f>
        <v>0</v>
      </c>
      <c r="T37" s="349">
        <f>-('5C1R_Iberville'!AL37+'5C1R_Iberville'!AO37)</f>
        <v>0</v>
      </c>
      <c r="U37" s="349">
        <f>-('5C1S_LC Col Prep'!AL37+'5C1S_LC Col Prep'!AO37)</f>
        <v>0</v>
      </c>
      <c r="V37" s="349">
        <f>-('5C1T_Northeast'!AL37+'5C1T_Northeast'!AO37)</f>
        <v>-30310</v>
      </c>
      <c r="W37" s="349">
        <f>-('5C1U_Acadiana Ren'!AL37+'5C1U_Acadiana Ren'!AO37)</f>
        <v>0</v>
      </c>
      <c r="X37" s="349">
        <f>-('5C1V_Laf Ren'!AL37+'5C1V_Laf Ren'!AO37)</f>
        <v>0</v>
      </c>
      <c r="Y37" s="349">
        <f>-('5C1W_Willow'!AL37+'5C1W_Willow'!AO37)</f>
        <v>0</v>
      </c>
      <c r="Z37" s="349">
        <f>-('5C1Y_GEO'!AL37+'5C1Y_GEO'!AO37)</f>
        <v>0</v>
      </c>
      <c r="AA37" s="350">
        <f>-('5C1Z_Lincoln Prep'!AL37+'5C1Z_Lincoln Prep'!AO37)</f>
        <v>-1991367</v>
      </c>
      <c r="AB37" s="350">
        <f>-('5C1AD_Greater'!$AL37+'5C1AD_Greater'!$AO37)</f>
        <v>0</v>
      </c>
      <c r="AC37" s="350">
        <f>-('5C1AE_Noble Minds'!$AL37+'5C1AE_Noble Minds'!$AO37)</f>
        <v>0</v>
      </c>
      <c r="AD37" s="350">
        <f>-('5C1AF_JCFA-Laf'!$AL37+'5C1AF_JCFA-Laf'!$AO37)</f>
        <v>0</v>
      </c>
      <c r="AE37" s="350">
        <f>-('5C1AG_Collegiate'!$AL37+'5C1AG_Collegiate'!$AO37)</f>
        <v>0</v>
      </c>
      <c r="AF37" s="350">
        <f>-('5C1AH_BRUP'!$AL37+'5C1AH_BRUP'!$AO37)</f>
        <v>0</v>
      </c>
      <c r="AG37" s="656">
        <f>-('5C1AI_Harmony'!$AL37+'5C1AI_Harmony'!$AO37)</f>
        <v>0</v>
      </c>
      <c r="AH37" s="656">
        <f>-('5C1AJ_Athlos'!$AL37+'5C1AJ_Athlos'!$AO37)</f>
        <v>0</v>
      </c>
      <c r="AI37" s="656">
        <f>-('5C1AK_NxtGen'!$AL37+'5C1AK_NxtGen'!$AO37)</f>
        <v>0</v>
      </c>
      <c r="AJ37" s="656">
        <f>-('5C1AL_Red River'!$AL37+'5C1AL_Red River'!$AO37)</f>
        <v>0</v>
      </c>
      <c r="AK37" s="349">
        <f>-('5C2_LAVCA'!AM37+'5C2_LAVCA'!AP37)</f>
        <v>-68198</v>
      </c>
      <c r="AL37" s="349">
        <f>-('5C3_UnvView'!AM37+'5C3_UnvView'!AP37)</f>
        <v>-27279</v>
      </c>
      <c r="AM37" s="351">
        <f t="shared" si="2"/>
        <v>-2461939</v>
      </c>
      <c r="AN37" s="352">
        <f t="shared" si="3"/>
        <v>27912632</v>
      </c>
    </row>
    <row r="38" spans="1:40" ht="15.6" customHeight="1" x14ac:dyDescent="0.2">
      <c r="A38" s="353">
        <v>32</v>
      </c>
      <c r="B38" s="354" t="s">
        <v>36</v>
      </c>
      <c r="C38" s="355">
        <f>'2_State Distrib and Adjs'!BD38</f>
        <v>170674825</v>
      </c>
      <c r="D38" s="355">
        <f>-'5A3_OJJ'!P38</f>
        <v>-2041</v>
      </c>
      <c r="E38" s="355"/>
      <c r="F38" s="355">
        <f>-('5C1A_Madison'!AL38+'5C1A_Madison'!AO38)</f>
        <v>-17141</v>
      </c>
      <c r="G38" s="355">
        <f>-('5C1B_DArbonne'!AL38+'5C1B_DArbonne'!AO38)</f>
        <v>0</v>
      </c>
      <c r="H38" s="355">
        <f>-('5C1C_Intl High'!AL38+'5C1C_Intl High'!AO38)</f>
        <v>0</v>
      </c>
      <c r="I38" s="355">
        <f>-('5C1D_NOMMA'!AL38+'5C1D_NOMMA'!AO38)</f>
        <v>0</v>
      </c>
      <c r="J38" s="355">
        <f>-('5C1E_LFNO'!AL38+'5C1E_LFNO'!AO38)</f>
        <v>0</v>
      </c>
      <c r="K38" s="355">
        <f>-('5C1F_L.C. Charter'!AL38+'5C1F_L.C. Charter'!AO38)</f>
        <v>0</v>
      </c>
      <c r="L38" s="355">
        <f>-('5C1G_JS Clark'!AL38+'5C1G_JS Clark'!AO38)</f>
        <v>0</v>
      </c>
      <c r="M38" s="355">
        <f>-('5C1H_Southwest'!AL38+'5C1H_Southwest'!AO38)</f>
        <v>0</v>
      </c>
      <c r="N38" s="355">
        <f>-('5C1I_LA Key'!AL38+'5C1I_LA Key'!AO38)</f>
        <v>-50103</v>
      </c>
      <c r="O38" s="355">
        <f>-('5C1J_JCFA-East'!AL38+'5C1J_JCFA-East'!AO38)</f>
        <v>0</v>
      </c>
      <c r="P38" s="355">
        <f>-('5C1M_GEO Mid'!AL38+'5C1M_GEO Mid'!AO38)</f>
        <v>-10548</v>
      </c>
      <c r="Q38" s="355">
        <f>-('5C1N_Delta'!AL38+'5C1N_Delta'!AO38)</f>
        <v>0</v>
      </c>
      <c r="R38" s="355">
        <f>-('5C1O_Impact'!AL38+'5C1O_Impact'!AO38)</f>
        <v>0</v>
      </c>
      <c r="S38" s="355">
        <f>-('5C1Q_Advantage'!AL38+'5C1Q_Advantage'!AO38)</f>
        <v>0</v>
      </c>
      <c r="T38" s="355">
        <f>-('5C1R_Iberville'!AL38+'5C1R_Iberville'!AO38)</f>
        <v>-1319</v>
      </c>
      <c r="U38" s="355">
        <f>-('5C1S_LC Col Prep'!AL38+'5C1S_LC Col Prep'!AO38)</f>
        <v>0</v>
      </c>
      <c r="V38" s="355">
        <f>-('5C1T_Northeast'!AL38+'5C1T_Northeast'!AO38)</f>
        <v>0</v>
      </c>
      <c r="W38" s="355">
        <f>-('5C1U_Acadiana Ren'!AL38+'5C1U_Acadiana Ren'!AO38)</f>
        <v>0</v>
      </c>
      <c r="X38" s="355">
        <f>-('5C1V_Laf Ren'!AL38+'5C1V_Laf Ren'!AO38)</f>
        <v>0</v>
      </c>
      <c r="Y38" s="355">
        <f>-('5C1W_Willow'!AL38+'5C1W_Willow'!AO38)</f>
        <v>0</v>
      </c>
      <c r="Z38" s="355">
        <f>-('5C1Y_GEO'!AL38+'5C1Y_GEO'!AO38)</f>
        <v>-11867</v>
      </c>
      <c r="AA38" s="355">
        <f>-('5C1Z_Lincoln Prep'!AL38+'5C1Z_Lincoln Prep'!AO38)</f>
        <v>0</v>
      </c>
      <c r="AB38" s="355">
        <f>-('5C1AD_Greater'!$AL38+'5C1AD_Greater'!$AO38)</f>
        <v>0</v>
      </c>
      <c r="AC38" s="355">
        <f>-('5C1AE_Noble Minds'!$AL38+'5C1AE_Noble Minds'!$AO38)</f>
        <v>0</v>
      </c>
      <c r="AD38" s="355">
        <f>-('5C1AF_JCFA-Laf'!$AL38+'5C1AF_JCFA-Laf'!$AO38)</f>
        <v>0</v>
      </c>
      <c r="AE38" s="355">
        <f>-('5C1AG_Collegiate'!$AL38+'5C1AG_Collegiate'!$AO38)</f>
        <v>0</v>
      </c>
      <c r="AF38" s="355">
        <f>-('5C1AH_BRUP'!$AL38+'5C1AH_BRUP'!$AO38)</f>
        <v>0</v>
      </c>
      <c r="AG38" s="355">
        <f>-('5C1AI_Harmony'!$AL38+'5C1AI_Harmony'!$AO38)</f>
        <v>0</v>
      </c>
      <c r="AH38" s="355">
        <f>-('5C1AJ_Athlos'!$AL38+'5C1AJ_Athlos'!$AO38)</f>
        <v>0</v>
      </c>
      <c r="AI38" s="355">
        <f>-('5C1AK_NxtGen'!$AL38+'5C1AK_NxtGen'!$AO38)</f>
        <v>0</v>
      </c>
      <c r="AJ38" s="355">
        <f>-('5C1AL_Red River'!$AL38+'5C1AL_Red River'!$AO38)</f>
        <v>0</v>
      </c>
      <c r="AK38" s="355">
        <f>-('5C2_LAVCA'!AM38+'5C2_LAVCA'!AP38)</f>
        <v>-210037</v>
      </c>
      <c r="AL38" s="355">
        <f>-('5C3_UnvView'!AM38+'5C3_UnvView'!AP38)</f>
        <v>-594950</v>
      </c>
      <c r="AM38" s="356">
        <f t="shared" si="2"/>
        <v>-898006</v>
      </c>
      <c r="AN38" s="357">
        <f t="shared" si="3"/>
        <v>169776819</v>
      </c>
    </row>
    <row r="39" spans="1:40" ht="15.6" customHeight="1" x14ac:dyDescent="0.2">
      <c r="A39" s="353">
        <v>33</v>
      </c>
      <c r="B39" s="354" t="s">
        <v>37</v>
      </c>
      <c r="C39" s="355">
        <f>'2_State Distrib and Adjs'!BD39</f>
        <v>7733002</v>
      </c>
      <c r="D39" s="355">
        <f>-'5A3_OJJ'!P39</f>
        <v>-7680</v>
      </c>
      <c r="E39" s="355"/>
      <c r="F39" s="355">
        <f>-('5C1A_Madison'!AL39+'5C1A_Madison'!AO39)</f>
        <v>0</v>
      </c>
      <c r="G39" s="355">
        <f>-('5C1B_DArbonne'!AL39+'5C1B_DArbonne'!AO39)</f>
        <v>0</v>
      </c>
      <c r="H39" s="355">
        <f>-('5C1C_Intl High'!AL39+'5C1C_Intl High'!AO39)</f>
        <v>0</v>
      </c>
      <c r="I39" s="355">
        <f>-('5C1D_NOMMA'!AL39+'5C1D_NOMMA'!AO39)</f>
        <v>0</v>
      </c>
      <c r="J39" s="355">
        <f>-('5C1E_LFNO'!AL39+'5C1E_LFNO'!AO39)</f>
        <v>0</v>
      </c>
      <c r="K39" s="355">
        <f>-('5C1F_L.C. Charter'!AL39+'5C1F_L.C. Charter'!AO39)</f>
        <v>0</v>
      </c>
      <c r="L39" s="355">
        <f>-('5C1G_JS Clark'!AL39+'5C1G_JS Clark'!AO39)</f>
        <v>0</v>
      </c>
      <c r="M39" s="355">
        <f>-('5C1H_Southwest'!AL39+'5C1H_Southwest'!AO39)</f>
        <v>0</v>
      </c>
      <c r="N39" s="355">
        <f>-('5C1I_LA Key'!AL39+'5C1I_LA Key'!AO39)</f>
        <v>0</v>
      </c>
      <c r="O39" s="355">
        <f>-('5C1J_JCFA-East'!AL39+'5C1J_JCFA-East'!AO39)</f>
        <v>0</v>
      </c>
      <c r="P39" s="355">
        <f>-('5C1M_GEO Mid'!AL39+'5C1M_GEO Mid'!AO39)</f>
        <v>0</v>
      </c>
      <c r="Q39" s="355">
        <f>-('5C1N_Delta'!AL39+'5C1N_Delta'!AO39)</f>
        <v>0</v>
      </c>
      <c r="R39" s="355">
        <f>-('5C1O_Impact'!AL39+'5C1O_Impact'!AO39)</f>
        <v>0</v>
      </c>
      <c r="S39" s="355">
        <f>-('5C1Q_Advantage'!AL39+'5C1Q_Advantage'!AO39)</f>
        <v>0</v>
      </c>
      <c r="T39" s="355">
        <f>-('5C1R_Iberville'!AL39+'5C1R_Iberville'!AO39)</f>
        <v>0</v>
      </c>
      <c r="U39" s="355">
        <f>-('5C1S_LC Col Prep'!AL39+'5C1S_LC Col Prep'!AO39)</f>
        <v>0</v>
      </c>
      <c r="V39" s="355">
        <f>-('5C1T_Northeast'!AL39+'5C1T_Northeast'!AO39)</f>
        <v>0</v>
      </c>
      <c r="W39" s="355">
        <f>-('5C1U_Acadiana Ren'!AL39+'5C1U_Acadiana Ren'!AO39)</f>
        <v>0</v>
      </c>
      <c r="X39" s="355">
        <f>-('5C1V_Laf Ren'!AL39+'5C1V_Laf Ren'!AO39)</f>
        <v>0</v>
      </c>
      <c r="Y39" s="355">
        <f>-('5C1W_Willow'!AL39+'5C1W_Willow'!AO39)</f>
        <v>0</v>
      </c>
      <c r="Z39" s="355">
        <f>-('5C1Y_GEO'!AL39+'5C1Y_GEO'!AO39)</f>
        <v>0</v>
      </c>
      <c r="AA39" s="355">
        <f>-('5C1Z_Lincoln Prep'!AL39+'5C1Z_Lincoln Prep'!AO39)</f>
        <v>0</v>
      </c>
      <c r="AB39" s="355">
        <f>-('5C1AD_Greater'!$AL39+'5C1AD_Greater'!$AO39)</f>
        <v>0</v>
      </c>
      <c r="AC39" s="355">
        <f>-('5C1AE_Noble Minds'!$AL39+'5C1AE_Noble Minds'!$AO39)</f>
        <v>0</v>
      </c>
      <c r="AD39" s="355">
        <f>-('5C1AF_JCFA-Laf'!$AL39+'5C1AF_JCFA-Laf'!$AO39)</f>
        <v>0</v>
      </c>
      <c r="AE39" s="355">
        <f>-('5C1AG_Collegiate'!$AL39+'5C1AG_Collegiate'!$AO39)</f>
        <v>0</v>
      </c>
      <c r="AF39" s="355">
        <f>-('5C1AH_BRUP'!$AL39+'5C1AH_BRUP'!$AO39)</f>
        <v>0</v>
      </c>
      <c r="AG39" s="355">
        <f>-('5C1AI_Harmony'!$AL39+'5C1AI_Harmony'!$AO39)</f>
        <v>0</v>
      </c>
      <c r="AH39" s="355">
        <f>-('5C1AJ_Athlos'!$AL39+'5C1AJ_Athlos'!$AO39)</f>
        <v>0</v>
      </c>
      <c r="AI39" s="355">
        <f>-('5C1AK_NxtGen'!$AL39+'5C1AK_NxtGen'!$AO39)</f>
        <v>0</v>
      </c>
      <c r="AJ39" s="355">
        <f>-('5C1AL_Red River'!$AL39+'5C1AL_Red River'!$AO39)</f>
        <v>0</v>
      </c>
      <c r="AK39" s="355">
        <f>-('5C2_LAVCA'!AM39+'5C2_LAVCA'!AP39)</f>
        <v>-8948</v>
      </c>
      <c r="AL39" s="355">
        <f>-('5C3_UnvView'!AM39+'5C3_UnvView'!AP39)</f>
        <v>-1084528</v>
      </c>
      <c r="AM39" s="356">
        <f t="shared" ref="AM39:AM70" si="4">SUM(D39:AL39)</f>
        <v>-1101156</v>
      </c>
      <c r="AN39" s="357">
        <f t="shared" ref="AN39:AN75" si="5">SUM(C39:AL39)</f>
        <v>6631846</v>
      </c>
    </row>
    <row r="40" spans="1:40" ht="15.6" customHeight="1" x14ac:dyDescent="0.2">
      <c r="A40" s="353">
        <v>34</v>
      </c>
      <c r="B40" s="354" t="s">
        <v>38</v>
      </c>
      <c r="C40" s="355">
        <f>'2_State Distrib and Adjs'!BD40</f>
        <v>25882175</v>
      </c>
      <c r="D40" s="355">
        <f>-'5A3_OJJ'!P40</f>
        <v>-4951</v>
      </c>
      <c r="E40" s="355"/>
      <c r="F40" s="355">
        <f>-('5C1A_Madison'!AL40+'5C1A_Madison'!AO40)</f>
        <v>0</v>
      </c>
      <c r="G40" s="355">
        <f>-('5C1B_DArbonne'!AL40+'5C1B_DArbonne'!AO40)</f>
        <v>-3226</v>
      </c>
      <c r="H40" s="355">
        <f>-('5C1C_Intl High'!AL40+'5C1C_Intl High'!AO40)</f>
        <v>0</v>
      </c>
      <c r="I40" s="355">
        <f>-('5C1D_NOMMA'!AL40+'5C1D_NOMMA'!AO40)</f>
        <v>0</v>
      </c>
      <c r="J40" s="355">
        <f>-('5C1E_LFNO'!AL40+'5C1E_LFNO'!AO40)</f>
        <v>0</v>
      </c>
      <c r="K40" s="355">
        <f>-('5C1F_L.C. Charter'!AL40+'5C1F_L.C. Charter'!AO40)</f>
        <v>0</v>
      </c>
      <c r="L40" s="355">
        <f>-('5C1G_JS Clark'!AL40+'5C1G_JS Clark'!AO40)</f>
        <v>0</v>
      </c>
      <c r="M40" s="355">
        <f>-('5C1H_Southwest'!AL40+'5C1H_Southwest'!AO40)</f>
        <v>0</v>
      </c>
      <c r="N40" s="355">
        <f>-('5C1I_LA Key'!AL40+'5C1I_LA Key'!AO40)</f>
        <v>0</v>
      </c>
      <c r="O40" s="355">
        <f>-('5C1J_JCFA-East'!AL40+'5C1J_JCFA-East'!AO40)</f>
        <v>0</v>
      </c>
      <c r="P40" s="355">
        <f>-('5C1M_GEO Mid'!AL40+'5C1M_GEO Mid'!AO40)</f>
        <v>0</v>
      </c>
      <c r="Q40" s="355">
        <f>-('5C1N_Delta'!AL40+'5C1N_Delta'!AO40)</f>
        <v>0</v>
      </c>
      <c r="R40" s="355">
        <f>-('5C1O_Impact'!AL40+'5C1O_Impact'!AO40)</f>
        <v>0</v>
      </c>
      <c r="S40" s="355">
        <f>-('5C1Q_Advantage'!AL40+'5C1Q_Advantage'!AO40)</f>
        <v>0</v>
      </c>
      <c r="T40" s="355">
        <f>-('5C1R_Iberville'!AL40+'5C1R_Iberville'!AO40)</f>
        <v>0</v>
      </c>
      <c r="U40" s="355">
        <f>-('5C1S_LC Col Prep'!AL40+'5C1S_LC Col Prep'!AO40)</f>
        <v>0</v>
      </c>
      <c r="V40" s="355">
        <f>-('5C1T_Northeast'!AL40+'5C1T_Northeast'!AO40)</f>
        <v>0</v>
      </c>
      <c r="W40" s="355">
        <f>-('5C1U_Acadiana Ren'!AL40+'5C1U_Acadiana Ren'!AO40)</f>
        <v>0</v>
      </c>
      <c r="X40" s="355">
        <f>-('5C1V_Laf Ren'!AL40+'5C1V_Laf Ren'!AO40)</f>
        <v>0</v>
      </c>
      <c r="Y40" s="355">
        <f>-('5C1W_Willow'!AL40+'5C1W_Willow'!AO40)</f>
        <v>0</v>
      </c>
      <c r="Z40" s="355">
        <f>-('5C1Y_GEO'!AL40+'5C1Y_GEO'!AO40)</f>
        <v>0</v>
      </c>
      <c r="AA40" s="355">
        <f>-('5C1Z_Lincoln Prep'!AL40+'5C1Z_Lincoln Prep'!AO40)</f>
        <v>0</v>
      </c>
      <c r="AB40" s="355">
        <f>-('5C1AD_Greater'!$AL40+'5C1AD_Greater'!$AO40)</f>
        <v>0</v>
      </c>
      <c r="AC40" s="355">
        <f>-('5C1AE_Noble Minds'!$AL40+'5C1AE_Noble Minds'!$AO40)</f>
        <v>0</v>
      </c>
      <c r="AD40" s="355">
        <f>-('5C1AF_JCFA-Laf'!$AL40+'5C1AF_JCFA-Laf'!$AO40)</f>
        <v>0</v>
      </c>
      <c r="AE40" s="355">
        <f>-('5C1AG_Collegiate'!$AL40+'5C1AG_Collegiate'!$AO40)</f>
        <v>0</v>
      </c>
      <c r="AF40" s="355">
        <f>-('5C1AH_BRUP'!$AL40+'5C1AH_BRUP'!$AO40)</f>
        <v>0</v>
      </c>
      <c r="AG40" s="355">
        <f>-('5C1AI_Harmony'!$AL40+'5C1AI_Harmony'!$AO40)</f>
        <v>0</v>
      </c>
      <c r="AH40" s="355">
        <f>-('5C1AJ_Athlos'!$AL40+'5C1AJ_Athlos'!$AO40)</f>
        <v>0</v>
      </c>
      <c r="AI40" s="355">
        <f>-('5C1AK_NxtGen'!$AL40+'5C1AK_NxtGen'!$AO40)</f>
        <v>0</v>
      </c>
      <c r="AJ40" s="355">
        <f>-('5C1AL_Red River'!$AL40+'5C1AL_Red River'!$AO40)</f>
        <v>0</v>
      </c>
      <c r="AK40" s="355">
        <f>-('5C2_LAVCA'!AM40+'5C2_LAVCA'!AP40)</f>
        <v>-113233</v>
      </c>
      <c r="AL40" s="355">
        <f>-('5C3_UnvView'!AM40+'5C3_UnvView'!AP40)</f>
        <v>-66854</v>
      </c>
      <c r="AM40" s="356">
        <f t="shared" si="4"/>
        <v>-188264</v>
      </c>
      <c r="AN40" s="357">
        <f t="shared" si="5"/>
        <v>25693911</v>
      </c>
    </row>
    <row r="41" spans="1:40" ht="15.6" customHeight="1" x14ac:dyDescent="0.2">
      <c r="A41" s="358">
        <v>35</v>
      </c>
      <c r="B41" s="359" t="s">
        <v>39</v>
      </c>
      <c r="C41" s="360">
        <f>'2_State Distrib and Adjs'!BD41</f>
        <v>32613427</v>
      </c>
      <c r="D41" s="360">
        <f>-'5A3_OJJ'!P41</f>
        <v>-1859</v>
      </c>
      <c r="E41" s="360"/>
      <c r="F41" s="360">
        <f>-('5C1A_Madison'!AL41+'5C1A_Madison'!AO41)</f>
        <v>0</v>
      </c>
      <c r="G41" s="360">
        <f>-('5C1B_DArbonne'!AL41+'5C1B_DArbonne'!AO41)</f>
        <v>0</v>
      </c>
      <c r="H41" s="360">
        <f>-('5C1C_Intl High'!AL41+'5C1C_Intl High'!AO41)</f>
        <v>0</v>
      </c>
      <c r="I41" s="360">
        <f>-('5C1D_NOMMA'!AL41+'5C1D_NOMMA'!AO41)</f>
        <v>0</v>
      </c>
      <c r="J41" s="360">
        <f>-('5C1E_LFNO'!AL41+'5C1E_LFNO'!AO41)</f>
        <v>0</v>
      </c>
      <c r="K41" s="360">
        <f>-('5C1F_L.C. Charter'!AL41+'5C1F_L.C. Charter'!AO41)</f>
        <v>0</v>
      </c>
      <c r="L41" s="360">
        <f>-('5C1G_JS Clark'!AL41+'5C1G_JS Clark'!AO41)</f>
        <v>0</v>
      </c>
      <c r="M41" s="360">
        <f>-('5C1H_Southwest'!AL41+'5C1H_Southwest'!AO41)</f>
        <v>0</v>
      </c>
      <c r="N41" s="360">
        <f>-('5C1I_LA Key'!AL41+'5C1I_LA Key'!AO41)</f>
        <v>0</v>
      </c>
      <c r="O41" s="360">
        <f>-('5C1J_JCFA-East'!AL41+'5C1J_JCFA-East'!AO41)</f>
        <v>0</v>
      </c>
      <c r="P41" s="360">
        <f>-('5C1M_GEO Mid'!AL41+'5C1M_GEO Mid'!AO41)</f>
        <v>0</v>
      </c>
      <c r="Q41" s="360">
        <f>-('5C1N_Delta'!AL41+'5C1N_Delta'!AO41)</f>
        <v>0</v>
      </c>
      <c r="R41" s="360">
        <f>-('5C1O_Impact'!AL41+'5C1O_Impact'!AO41)</f>
        <v>0</v>
      </c>
      <c r="S41" s="360">
        <f>-('5C1Q_Advantage'!AL41+'5C1Q_Advantage'!AO41)</f>
        <v>0</v>
      </c>
      <c r="T41" s="360">
        <f>-('5C1R_Iberville'!AL41+'5C1R_Iberville'!AO41)</f>
        <v>0</v>
      </c>
      <c r="U41" s="360">
        <f>-('5C1S_LC Col Prep'!AL41+'5C1S_LC Col Prep'!AO41)</f>
        <v>0</v>
      </c>
      <c r="V41" s="360">
        <f>-('5C1T_Northeast'!AL41+'5C1T_Northeast'!AO41)</f>
        <v>0</v>
      </c>
      <c r="W41" s="360">
        <f>-('5C1U_Acadiana Ren'!AL41+'5C1U_Acadiana Ren'!AO41)</f>
        <v>0</v>
      </c>
      <c r="X41" s="360">
        <f>-('5C1V_Laf Ren'!AL41+'5C1V_Laf Ren'!AO41)</f>
        <v>0</v>
      </c>
      <c r="Y41" s="360">
        <f>-('5C1W_Willow'!AL41+'5C1W_Willow'!AO41)</f>
        <v>0</v>
      </c>
      <c r="Z41" s="360">
        <f>-('5C1Y_GEO'!AL41+'5C1Y_GEO'!AO41)</f>
        <v>0</v>
      </c>
      <c r="AA41" s="360">
        <f>-('5C1Z_Lincoln Prep'!AL41+'5C1Z_Lincoln Prep'!AO41)</f>
        <v>0</v>
      </c>
      <c r="AB41" s="360">
        <f>-('5C1AD_Greater'!$AL41+'5C1AD_Greater'!$AO41)</f>
        <v>0</v>
      </c>
      <c r="AC41" s="360">
        <f>-('5C1AE_Noble Minds'!$AL41+'5C1AE_Noble Minds'!$AO41)</f>
        <v>0</v>
      </c>
      <c r="AD41" s="360">
        <f>-('5C1AF_JCFA-Laf'!$AL41+'5C1AF_JCFA-Laf'!$AO41)</f>
        <v>0</v>
      </c>
      <c r="AE41" s="360">
        <f>-('5C1AG_Collegiate'!$AL41+'5C1AG_Collegiate'!$AO41)</f>
        <v>0</v>
      </c>
      <c r="AF41" s="360">
        <f>-('5C1AH_BRUP'!$AL41+'5C1AH_BRUP'!$AO41)</f>
        <v>0</v>
      </c>
      <c r="AG41" s="657">
        <f>-('5C1AI_Harmony'!$AL41+'5C1AI_Harmony'!$AO41)</f>
        <v>0</v>
      </c>
      <c r="AH41" s="657">
        <f>-('5C1AJ_Athlos'!$AL41+'5C1AJ_Athlos'!$AO41)</f>
        <v>0</v>
      </c>
      <c r="AI41" s="892">
        <f>-('5C1AK_NxtGen'!$AL41+'5C1AK_NxtGen'!$AO41)</f>
        <v>0</v>
      </c>
      <c r="AJ41" s="892">
        <f>-('5C1AL_Red River'!$AL41+'5C1AL_Red River'!$AO41)</f>
        <v>0</v>
      </c>
      <c r="AK41" s="360">
        <f>-('5C2_LAVCA'!AM41+'5C2_LAVCA'!AP41)</f>
        <v>-67443</v>
      </c>
      <c r="AL41" s="360">
        <f>-('5C3_UnvView'!AM41+'5C3_UnvView'!AP41)</f>
        <v>-37689</v>
      </c>
      <c r="AM41" s="361">
        <f t="shared" si="4"/>
        <v>-106991</v>
      </c>
      <c r="AN41" s="362">
        <f t="shared" si="5"/>
        <v>32506436</v>
      </c>
    </row>
    <row r="42" spans="1:40" ht="15.6" customHeight="1" x14ac:dyDescent="0.2">
      <c r="A42" s="347">
        <v>36</v>
      </c>
      <c r="B42" s="438" t="s">
        <v>40</v>
      </c>
      <c r="C42" s="349">
        <f>'2_State Distrib and Adjs'!BD42</f>
        <v>210062700</v>
      </c>
      <c r="D42" s="349">
        <f>-'5A3_OJJ'!P42</f>
        <v>-153536</v>
      </c>
      <c r="E42" s="349"/>
      <c r="F42" s="349">
        <f>-('5C1A_Madison'!AL42+'5C1A_Madison'!AO42)</f>
        <v>0</v>
      </c>
      <c r="G42" s="349">
        <f>-('5C1B_DArbonne'!AL42+'5C1B_DArbonne'!AO42)</f>
        <v>0</v>
      </c>
      <c r="H42" s="349">
        <f>-('5C1C_Intl High'!AL42+'5C1C_Intl High'!AO42)</f>
        <v>-2266545</v>
      </c>
      <c r="I42" s="349">
        <f>-('5C1D_NOMMA'!AL42+'5C1D_NOMMA'!AO42)</f>
        <v>-1558062</v>
      </c>
      <c r="J42" s="349">
        <f>-('5C1E_LFNO'!AL42+'5C1E_LFNO'!AO42)</f>
        <v>-3950691</v>
      </c>
      <c r="K42" s="349">
        <f>-('5C1F_L.C. Charter'!AL42+'5C1F_L.C. Charter'!AO42)</f>
        <v>0</v>
      </c>
      <c r="L42" s="349">
        <f>-('5C1G_JS Clark'!AL42+'5C1G_JS Clark'!AO42)</f>
        <v>0</v>
      </c>
      <c r="M42" s="349">
        <f>-('5C1H_Southwest'!AL42+'5C1H_Southwest'!AO42)</f>
        <v>-6588</v>
      </c>
      <c r="N42" s="349">
        <f>-('5C1I_LA Key'!AL42+'5C1I_LA Key'!AO42)</f>
        <v>0</v>
      </c>
      <c r="O42" s="349">
        <f>-('5C1J_JCFA-East'!AL42+'5C1J_JCFA-East'!AO42)</f>
        <v>-273620</v>
      </c>
      <c r="P42" s="349">
        <f>-('5C1M_GEO Mid'!AL42+'5C1M_GEO Mid'!AO42)</f>
        <v>0</v>
      </c>
      <c r="Q42" s="349">
        <f>-('5C1N_Delta'!AL42+'5C1N_Delta'!AO42)</f>
        <v>0</v>
      </c>
      <c r="R42" s="349">
        <f>-('5C1O_Impact'!AL42+'5C1O_Impact'!AO42)</f>
        <v>0</v>
      </c>
      <c r="S42" s="349">
        <f>-('5C1Q_Advantage'!AL42+'5C1Q_Advantage'!AO42)</f>
        <v>0</v>
      </c>
      <c r="T42" s="349">
        <f>-('5C1R_Iberville'!AL42+'5C1R_Iberville'!AO42)</f>
        <v>-16470</v>
      </c>
      <c r="U42" s="349">
        <f>-('5C1S_LC Col Prep'!AL42+'5C1S_LC Col Prep'!AO42)</f>
        <v>0</v>
      </c>
      <c r="V42" s="349">
        <f>-('5C1T_Northeast'!AL42+'5C1T_Northeast'!AO42)</f>
        <v>0</v>
      </c>
      <c r="W42" s="349">
        <f>-('5C1U_Acadiana Ren'!AL42+'5C1U_Acadiana Ren'!AO42)</f>
        <v>0</v>
      </c>
      <c r="X42" s="349">
        <f>-('5C1V_Laf Ren'!AL42+'5C1V_Laf Ren'!AO42)</f>
        <v>0</v>
      </c>
      <c r="Y42" s="349">
        <f>-('5C1W_Willow'!AL42+'5C1W_Willow'!AO42)</f>
        <v>0</v>
      </c>
      <c r="Z42" s="349">
        <f>-('5C1Y_GEO'!AL42+'5C1Y_GEO'!AO42)</f>
        <v>0</v>
      </c>
      <c r="AA42" s="350">
        <f>-('5C1Z_Lincoln Prep'!AL42+'5C1Z_Lincoln Prep'!AO42)</f>
        <v>0</v>
      </c>
      <c r="AB42" s="350">
        <f>-('5C1AD_Greater'!$AL42+'5C1AD_Greater'!$AO42)</f>
        <v>0</v>
      </c>
      <c r="AC42" s="350">
        <f>-('5C1AE_Noble Minds'!$AL42+'5C1AE_Noble Minds'!$AO42)</f>
        <v>-539320</v>
      </c>
      <c r="AD42" s="350">
        <f>-('5C1AF_JCFA-Laf'!$AL42+'5C1AF_JCFA-Laf'!$AO42)</f>
        <v>0</v>
      </c>
      <c r="AE42" s="350">
        <f>-('5C1AG_Collegiate'!$AL42+'5C1AG_Collegiate'!$AO42)</f>
        <v>0</v>
      </c>
      <c r="AF42" s="350">
        <f>-('5C1AH_BRUP'!$AL42+'5C1AH_BRUP'!$AO42)</f>
        <v>0</v>
      </c>
      <c r="AG42" s="656">
        <f>-('5C1AI_Harmony'!$AL42+'5C1AI_Harmony'!$AO42)</f>
        <v>-625860</v>
      </c>
      <c r="AH42" s="656">
        <f>-('5C1AJ_Athlos'!$AL42+'5C1AJ_Athlos'!$AO42)</f>
        <v>-533628</v>
      </c>
      <c r="AI42" s="656">
        <f>-('5C1AK_NxtGen'!$AL42+'5C1AK_NxtGen'!$AO42)</f>
        <v>0</v>
      </c>
      <c r="AJ42" s="656">
        <f>-('5C1AL_Red River'!$AL42+'5C1AL_Red River'!$AO42)</f>
        <v>0</v>
      </c>
      <c r="AK42" s="349">
        <f>-('5C2_LAVCA'!AM42+'5C2_LAVCA'!AP42)</f>
        <v>-530467</v>
      </c>
      <c r="AL42" s="349">
        <f>-('5C3_UnvView'!AM42+'5C3_UnvView'!AP42)</f>
        <v>-385791</v>
      </c>
      <c r="AM42" s="351">
        <f t="shared" si="4"/>
        <v>-10840578</v>
      </c>
      <c r="AN42" s="352">
        <f t="shared" si="5"/>
        <v>199222122</v>
      </c>
    </row>
    <row r="43" spans="1:40" ht="15.6" customHeight="1" x14ac:dyDescent="0.2">
      <c r="A43" s="353">
        <v>37</v>
      </c>
      <c r="B43" s="354" t="s">
        <v>41</v>
      </c>
      <c r="C43" s="355">
        <f>'2_State Distrib and Adjs'!BD43</f>
        <v>123509473</v>
      </c>
      <c r="D43" s="355">
        <f>-'5A3_OJJ'!P43</f>
        <v>-28351</v>
      </c>
      <c r="E43" s="355"/>
      <c r="F43" s="355">
        <f>-('5C1A_Madison'!AL43+'5C1A_Madison'!AO43)</f>
        <v>0</v>
      </c>
      <c r="G43" s="355">
        <f>-('5C1B_DArbonne'!AL43+'5C1B_DArbonne'!AO43)</f>
        <v>-55468</v>
      </c>
      <c r="H43" s="355">
        <f>-('5C1C_Intl High'!AL43+'5C1C_Intl High'!AO43)</f>
        <v>0</v>
      </c>
      <c r="I43" s="355">
        <f>-('5C1D_NOMMA'!AL43+'5C1D_NOMMA'!AO43)</f>
        <v>0</v>
      </c>
      <c r="J43" s="355">
        <f>-('5C1E_LFNO'!AL43+'5C1E_LFNO'!AO43)</f>
        <v>0</v>
      </c>
      <c r="K43" s="355">
        <f>-('5C1F_L.C. Charter'!AL43+'5C1F_L.C. Charter'!AO43)</f>
        <v>0</v>
      </c>
      <c r="L43" s="355">
        <f>-('5C1G_JS Clark'!AL43+'5C1G_JS Clark'!AO43)</f>
        <v>0</v>
      </c>
      <c r="M43" s="355">
        <f>-('5C1H_Southwest'!AL43+'5C1H_Southwest'!AO43)</f>
        <v>0</v>
      </c>
      <c r="N43" s="355">
        <f>-('5C1I_LA Key'!AL43+'5C1I_LA Key'!AO43)</f>
        <v>0</v>
      </c>
      <c r="O43" s="355">
        <f>-('5C1J_JCFA-East'!AL43+'5C1J_JCFA-East'!AO43)</f>
        <v>0</v>
      </c>
      <c r="P43" s="355">
        <f>-('5C1M_GEO Mid'!AL43+'5C1M_GEO Mid'!AO43)</f>
        <v>0</v>
      </c>
      <c r="Q43" s="355">
        <f>-('5C1N_Delta'!AL43+'5C1N_Delta'!AO43)</f>
        <v>-1981</v>
      </c>
      <c r="R43" s="355">
        <f>-('5C1O_Impact'!AL43+'5C1O_Impact'!AO43)</f>
        <v>-3962</v>
      </c>
      <c r="S43" s="355">
        <f>-('5C1Q_Advantage'!AL43+'5C1Q_Advantage'!AO43)</f>
        <v>0</v>
      </c>
      <c r="T43" s="355">
        <f>-('5C1R_Iberville'!AL43+'5C1R_Iberville'!AO43)</f>
        <v>0</v>
      </c>
      <c r="U43" s="355">
        <f>-('5C1S_LC Col Prep'!AL43+'5C1S_LC Col Prep'!AO43)</f>
        <v>0</v>
      </c>
      <c r="V43" s="355">
        <f>-('5C1T_Northeast'!AL43+'5C1T_Northeast'!AO43)</f>
        <v>0</v>
      </c>
      <c r="W43" s="355">
        <f>-('5C1U_Acadiana Ren'!AL43+'5C1U_Acadiana Ren'!AO43)</f>
        <v>0</v>
      </c>
      <c r="X43" s="355">
        <f>-('5C1V_Laf Ren'!AL43+'5C1V_Laf Ren'!AO43)</f>
        <v>0</v>
      </c>
      <c r="Y43" s="355">
        <f>-('5C1W_Willow'!AL43+'5C1W_Willow'!AO43)</f>
        <v>0</v>
      </c>
      <c r="Z43" s="355">
        <f>-('5C1Y_GEO'!AL43+'5C1Y_GEO'!AO43)</f>
        <v>0</v>
      </c>
      <c r="AA43" s="355">
        <f>-('5C1Z_Lincoln Prep'!AL43+'5C1Z_Lincoln Prep'!AO43)</f>
        <v>-37639</v>
      </c>
      <c r="AB43" s="355">
        <f>-('5C1AD_Greater'!$AL43+'5C1AD_Greater'!$AO43)</f>
        <v>0</v>
      </c>
      <c r="AC43" s="355">
        <f>-('5C1AE_Noble Minds'!$AL43+'5C1AE_Noble Minds'!$AO43)</f>
        <v>0</v>
      </c>
      <c r="AD43" s="355">
        <f>-('5C1AF_JCFA-Laf'!$AL43+'5C1AF_JCFA-Laf'!$AO43)</f>
        <v>0</v>
      </c>
      <c r="AE43" s="355">
        <f>-('5C1AG_Collegiate'!$AL43+'5C1AG_Collegiate'!$AO43)</f>
        <v>0</v>
      </c>
      <c r="AF43" s="355">
        <f>-('5C1AH_BRUP'!$AL43+'5C1AH_BRUP'!$AO43)</f>
        <v>0</v>
      </c>
      <c r="AG43" s="355">
        <f>-('5C1AI_Harmony'!$AL43+'5C1AI_Harmony'!$AO43)</f>
        <v>0</v>
      </c>
      <c r="AH43" s="355">
        <f>-('5C1AJ_Athlos'!$AL43+'5C1AJ_Athlos'!$AO43)</f>
        <v>0</v>
      </c>
      <c r="AI43" s="355">
        <f>-('5C1AK_NxtGen'!$AL43+'5C1AK_NxtGen'!$AO43)</f>
        <v>0</v>
      </c>
      <c r="AJ43" s="355">
        <f>-('5C1AL_Red River'!$AL43+'5C1AL_Red River'!$AO43)</f>
        <v>0</v>
      </c>
      <c r="AK43" s="355">
        <f>-('5C2_LAVCA'!AM43+'5C2_LAVCA'!AP43)</f>
        <v>-197902</v>
      </c>
      <c r="AL43" s="355">
        <f>-('5C3_UnvView'!AM43+'5C3_UnvView'!AP43)</f>
        <v>-217603</v>
      </c>
      <c r="AM43" s="356">
        <f t="shared" si="4"/>
        <v>-542906</v>
      </c>
      <c r="AN43" s="357">
        <f t="shared" si="5"/>
        <v>122966567</v>
      </c>
    </row>
    <row r="44" spans="1:40" ht="15.6" customHeight="1" x14ac:dyDescent="0.2">
      <c r="A44" s="353">
        <v>38</v>
      </c>
      <c r="B44" s="354" t="s">
        <v>42</v>
      </c>
      <c r="C44" s="355">
        <f>'2_State Distrib and Adjs'!BD44</f>
        <v>11618165</v>
      </c>
      <c r="D44" s="355">
        <f>-'5A3_OJJ'!P44</f>
        <v>0</v>
      </c>
      <c r="E44" s="355"/>
      <c r="F44" s="355">
        <f>-('5C1A_Madison'!AL44+'5C1A_Madison'!AO44)</f>
        <v>0</v>
      </c>
      <c r="G44" s="355">
        <f>-('5C1B_DArbonne'!AL44+'5C1B_DArbonne'!AO44)</f>
        <v>0</v>
      </c>
      <c r="H44" s="355">
        <f>-('5C1C_Intl High'!AL44+'5C1C_Intl High'!AO44)</f>
        <v>0</v>
      </c>
      <c r="I44" s="355">
        <f>-('5C1D_NOMMA'!AL44+'5C1D_NOMMA'!AO44)</f>
        <v>-158964</v>
      </c>
      <c r="J44" s="355">
        <f>-('5C1E_LFNO'!AL44+'5C1E_LFNO'!AO44)</f>
        <v>-65778</v>
      </c>
      <c r="K44" s="355">
        <f>-('5C1F_L.C. Charter'!AL44+'5C1F_L.C. Charter'!AO44)</f>
        <v>0</v>
      </c>
      <c r="L44" s="355">
        <f>-('5C1G_JS Clark'!AL44+'5C1G_JS Clark'!AO44)</f>
        <v>0</v>
      </c>
      <c r="M44" s="355">
        <f>-('5C1H_Southwest'!AL44+'5C1H_Southwest'!AO44)</f>
        <v>0</v>
      </c>
      <c r="N44" s="355">
        <f>-('5C1I_LA Key'!AL44+'5C1I_LA Key'!AO44)</f>
        <v>0</v>
      </c>
      <c r="O44" s="355">
        <f>-('5C1J_JCFA-East'!AL44+'5C1J_JCFA-East'!AO44)</f>
        <v>0</v>
      </c>
      <c r="P44" s="355">
        <f>-('5C1M_GEO Mid'!AL44+'5C1M_GEO Mid'!AO44)</f>
        <v>0</v>
      </c>
      <c r="Q44" s="355">
        <f>-('5C1N_Delta'!AL44+'5C1N_Delta'!AO44)</f>
        <v>0</v>
      </c>
      <c r="R44" s="355">
        <f>-('5C1O_Impact'!AL44+'5C1O_Impact'!AO44)</f>
        <v>0</v>
      </c>
      <c r="S44" s="355">
        <f>-('5C1Q_Advantage'!AL44+'5C1Q_Advantage'!AO44)</f>
        <v>0</v>
      </c>
      <c r="T44" s="355">
        <f>-('5C1R_Iberville'!AL44+'5C1R_Iberville'!AO44)</f>
        <v>0</v>
      </c>
      <c r="U44" s="355">
        <f>-('5C1S_LC Col Prep'!AL44+'5C1S_LC Col Prep'!AO44)</f>
        <v>0</v>
      </c>
      <c r="V44" s="355">
        <f>-('5C1T_Northeast'!AL44+'5C1T_Northeast'!AO44)</f>
        <v>0</v>
      </c>
      <c r="W44" s="355">
        <f>-('5C1U_Acadiana Ren'!AL44+'5C1U_Acadiana Ren'!AO44)</f>
        <v>0</v>
      </c>
      <c r="X44" s="355">
        <f>-('5C1V_Laf Ren'!AL44+'5C1V_Laf Ren'!AO44)</f>
        <v>0</v>
      </c>
      <c r="Y44" s="355">
        <f>-('5C1W_Willow'!AL44+'5C1W_Willow'!AO44)</f>
        <v>0</v>
      </c>
      <c r="Z44" s="355">
        <f>-('5C1Y_GEO'!AL44+'5C1Y_GEO'!AO44)</f>
        <v>0</v>
      </c>
      <c r="AA44" s="355">
        <f>-('5C1Z_Lincoln Prep'!AL44+'5C1Z_Lincoln Prep'!AO44)</f>
        <v>0</v>
      </c>
      <c r="AB44" s="355">
        <f>-('5C1AD_Greater'!$AL44+'5C1AD_Greater'!$AO44)</f>
        <v>0</v>
      </c>
      <c r="AC44" s="355">
        <f>-('5C1AE_Noble Minds'!$AL44+'5C1AE_Noble Minds'!$AO44)</f>
        <v>0</v>
      </c>
      <c r="AD44" s="355">
        <f>-('5C1AF_JCFA-Laf'!$AL44+'5C1AF_JCFA-Laf'!$AO44)</f>
        <v>0</v>
      </c>
      <c r="AE44" s="355">
        <f>-('5C1AG_Collegiate'!$AL44+'5C1AG_Collegiate'!$AO44)</f>
        <v>0</v>
      </c>
      <c r="AF44" s="355">
        <f>-('5C1AH_BRUP'!$AL44+'5C1AH_BRUP'!$AO44)</f>
        <v>0</v>
      </c>
      <c r="AG44" s="355">
        <f>-('5C1AI_Harmony'!$AL44+'5C1AI_Harmony'!$AO44)</f>
        <v>-10963</v>
      </c>
      <c r="AH44" s="355">
        <f>-('5C1AJ_Athlos'!$AL44+'5C1AJ_Athlos'!$AO44)</f>
        <v>-71259</v>
      </c>
      <c r="AI44" s="355">
        <f>-('5C1AK_NxtGen'!$AL44+'5C1AK_NxtGen'!$AO44)</f>
        <v>0</v>
      </c>
      <c r="AJ44" s="355">
        <f>-('5C1AL_Red River'!$AL44+'5C1AL_Red River'!$AO44)</f>
        <v>0</v>
      </c>
      <c r="AK44" s="355">
        <f>-('5C2_LAVCA'!AM44+'5C2_LAVCA'!AP44)</f>
        <v>-103601</v>
      </c>
      <c r="AL44" s="355">
        <f>-('5C3_UnvView'!AM44+'5C3_UnvView'!AP44)</f>
        <v>-128267</v>
      </c>
      <c r="AM44" s="356">
        <f t="shared" si="4"/>
        <v>-538832</v>
      </c>
      <c r="AN44" s="357">
        <f t="shared" si="5"/>
        <v>11079333</v>
      </c>
    </row>
    <row r="45" spans="1:40" ht="15.6" customHeight="1" x14ac:dyDescent="0.2">
      <c r="A45" s="353">
        <v>39</v>
      </c>
      <c r="B45" s="354" t="s">
        <v>43</v>
      </c>
      <c r="C45" s="355">
        <f>'2_State Distrib and Adjs'!BD45</f>
        <v>10352999</v>
      </c>
      <c r="D45" s="355">
        <f>-'5A3_OJJ'!P45</f>
        <v>-19329</v>
      </c>
      <c r="E45" s="355"/>
      <c r="F45" s="355">
        <f>-('5C1A_Madison'!AL45+'5C1A_Madison'!AO45)</f>
        <v>0</v>
      </c>
      <c r="G45" s="355">
        <f>-('5C1B_DArbonne'!AL45+'5C1B_DArbonne'!AO45)</f>
        <v>0</v>
      </c>
      <c r="H45" s="355">
        <f>-('5C1C_Intl High'!AL45+'5C1C_Intl High'!AO45)</f>
        <v>0</v>
      </c>
      <c r="I45" s="355">
        <f>-('5C1D_NOMMA'!AL45+'5C1D_NOMMA'!AO45)</f>
        <v>0</v>
      </c>
      <c r="J45" s="355">
        <f>-('5C1E_LFNO'!AL45+'5C1E_LFNO'!AO45)</f>
        <v>0</v>
      </c>
      <c r="K45" s="355">
        <f>-('5C1F_L.C. Charter'!AL45+'5C1F_L.C. Charter'!AO45)</f>
        <v>0</v>
      </c>
      <c r="L45" s="355">
        <f>-('5C1G_JS Clark'!AL45+'5C1G_JS Clark'!AO45)</f>
        <v>0</v>
      </c>
      <c r="M45" s="355">
        <f>-('5C1H_Southwest'!AL45+'5C1H_Southwest'!AO45)</f>
        <v>0</v>
      </c>
      <c r="N45" s="355">
        <f>-('5C1I_LA Key'!AL45+'5C1I_LA Key'!AO45)</f>
        <v>-36582</v>
      </c>
      <c r="O45" s="355">
        <f>-('5C1J_JCFA-East'!AL45+'5C1J_JCFA-East'!AO45)</f>
        <v>0</v>
      </c>
      <c r="P45" s="355">
        <f>-('5C1M_GEO Mid'!AL45+'5C1M_GEO Mid'!AO45)</f>
        <v>0</v>
      </c>
      <c r="Q45" s="355">
        <f>-('5C1N_Delta'!AL45+'5C1N_Delta'!AO45)</f>
        <v>0</v>
      </c>
      <c r="R45" s="355">
        <f>-('5C1O_Impact'!AL45+'5C1O_Impact'!AO45)</f>
        <v>0</v>
      </c>
      <c r="S45" s="355">
        <f>-('5C1Q_Advantage'!AL45+'5C1Q_Advantage'!AO45)</f>
        <v>-25326</v>
      </c>
      <c r="T45" s="355">
        <f>-('5C1R_Iberville'!AL45+'5C1R_Iberville'!AO45)</f>
        <v>0</v>
      </c>
      <c r="U45" s="355">
        <f>-('5C1S_LC Col Prep'!AL45+'5C1S_LC Col Prep'!AO45)</f>
        <v>0</v>
      </c>
      <c r="V45" s="355">
        <f>-('5C1T_Northeast'!AL45+'5C1T_Northeast'!AO45)</f>
        <v>0</v>
      </c>
      <c r="W45" s="355">
        <f>-('5C1U_Acadiana Ren'!AL45+'5C1U_Acadiana Ren'!AO45)</f>
        <v>0</v>
      </c>
      <c r="X45" s="355">
        <f>-('5C1V_Laf Ren'!AL45+'5C1V_Laf Ren'!AO45)</f>
        <v>0</v>
      </c>
      <c r="Y45" s="355">
        <f>-('5C1W_Willow'!AL45+'5C1W_Willow'!AO45)</f>
        <v>0</v>
      </c>
      <c r="Z45" s="355">
        <f>-('5C1Y_GEO'!AL45+'5C1Y_GEO'!AO45)</f>
        <v>0</v>
      </c>
      <c r="AA45" s="355">
        <f>-('5C1Z_Lincoln Prep'!AL45+'5C1Z_Lincoln Prep'!AO45)</f>
        <v>0</v>
      </c>
      <c r="AB45" s="355">
        <f>-('5C1AD_Greater'!$AL45+'5C1AD_Greater'!$AO45)</f>
        <v>0</v>
      </c>
      <c r="AC45" s="355">
        <f>-('5C1AE_Noble Minds'!$AL45+'5C1AE_Noble Minds'!$AO45)</f>
        <v>0</v>
      </c>
      <c r="AD45" s="355">
        <f>-('5C1AF_JCFA-Laf'!$AL45+'5C1AF_JCFA-Laf'!$AO45)</f>
        <v>0</v>
      </c>
      <c r="AE45" s="355">
        <f>-('5C1AG_Collegiate'!$AL45+'5C1AG_Collegiate'!$AO45)</f>
        <v>0</v>
      </c>
      <c r="AF45" s="355">
        <f>-('5C1AH_BRUP'!$AL45+'5C1AH_BRUP'!$AO45)</f>
        <v>0</v>
      </c>
      <c r="AG45" s="355">
        <f>-('5C1AI_Harmony'!$AL45+'5C1AI_Harmony'!$AO45)</f>
        <v>0</v>
      </c>
      <c r="AH45" s="355">
        <f>-('5C1AJ_Athlos'!$AL45+'5C1AJ_Athlos'!$AO45)</f>
        <v>0</v>
      </c>
      <c r="AI45" s="355">
        <f>-('5C1AK_NxtGen'!$AL45+'5C1AK_NxtGen'!$AO45)</f>
        <v>0</v>
      </c>
      <c r="AJ45" s="355">
        <f>-('5C1AL_Red River'!$AL45+'5C1AL_Red River'!$AO45)</f>
        <v>0</v>
      </c>
      <c r="AK45" s="355">
        <f>-('5C2_LAVCA'!AM45+'5C2_LAVCA'!AP45)</f>
        <v>-60783</v>
      </c>
      <c r="AL45" s="355">
        <f>-('5C3_UnvView'!AM45+'5C3_UnvView'!AP45)</f>
        <v>-70913</v>
      </c>
      <c r="AM45" s="356">
        <f t="shared" si="4"/>
        <v>-212933</v>
      </c>
      <c r="AN45" s="357">
        <f t="shared" si="5"/>
        <v>10140066</v>
      </c>
    </row>
    <row r="46" spans="1:40" ht="15.6" customHeight="1" x14ac:dyDescent="0.2">
      <c r="A46" s="358">
        <v>40</v>
      </c>
      <c r="B46" s="359" t="s">
        <v>44</v>
      </c>
      <c r="C46" s="360">
        <f>'2_State Distrib and Adjs'!BD46</f>
        <v>137424932</v>
      </c>
      <c r="D46" s="360">
        <f>-'5A3_OJJ'!P46</f>
        <v>-16432</v>
      </c>
      <c r="E46" s="360"/>
      <c r="F46" s="360">
        <f>-('5C1A_Madison'!AL46+'5C1A_Madison'!AO46)</f>
        <v>0</v>
      </c>
      <c r="G46" s="360">
        <f>-('5C1B_DArbonne'!AL46+'5C1B_DArbonne'!AO46)</f>
        <v>0</v>
      </c>
      <c r="H46" s="360">
        <f>-('5C1C_Intl High'!AL46+'5C1C_Intl High'!AO46)</f>
        <v>0</v>
      </c>
      <c r="I46" s="360">
        <f>-('5C1D_NOMMA'!AL46+'5C1D_NOMMA'!AO46)</f>
        <v>0</v>
      </c>
      <c r="J46" s="360">
        <f>-('5C1E_LFNO'!AL46+'5C1E_LFNO'!AO46)</f>
        <v>0</v>
      </c>
      <c r="K46" s="360">
        <f>-('5C1F_L.C. Charter'!AL46+'5C1F_L.C. Charter'!AO46)</f>
        <v>0</v>
      </c>
      <c r="L46" s="360">
        <f>-('5C1G_JS Clark'!AL46+'5C1G_JS Clark'!AO46)</f>
        <v>0</v>
      </c>
      <c r="M46" s="360">
        <f>-('5C1H_Southwest'!AL46+'5C1H_Southwest'!AO46)</f>
        <v>0</v>
      </c>
      <c r="N46" s="360">
        <f>-('5C1I_LA Key'!AL46+'5C1I_LA Key'!AO46)</f>
        <v>0</v>
      </c>
      <c r="O46" s="360">
        <f>-('5C1J_JCFA-East'!AL46+'5C1J_JCFA-East'!AO46)</f>
        <v>0</v>
      </c>
      <c r="P46" s="360">
        <f>-('5C1M_GEO Mid'!AL46+'5C1M_GEO Mid'!AO46)</f>
        <v>0</v>
      </c>
      <c r="Q46" s="360">
        <f>-('5C1N_Delta'!AL46+'5C1N_Delta'!AO46)</f>
        <v>0</v>
      </c>
      <c r="R46" s="360">
        <f>-('5C1O_Impact'!AL46+'5C1O_Impact'!AO46)</f>
        <v>0</v>
      </c>
      <c r="S46" s="360">
        <f>-('5C1Q_Advantage'!AL46+'5C1Q_Advantage'!AO46)</f>
        <v>0</v>
      </c>
      <c r="T46" s="360">
        <f>-('5C1R_Iberville'!AL46+'5C1R_Iberville'!AO46)</f>
        <v>0</v>
      </c>
      <c r="U46" s="360">
        <f>-('5C1S_LC Col Prep'!AL46+'5C1S_LC Col Prep'!AO46)</f>
        <v>0</v>
      </c>
      <c r="V46" s="360">
        <f>-('5C1T_Northeast'!AL46+'5C1T_Northeast'!AO46)</f>
        <v>0</v>
      </c>
      <c r="W46" s="360">
        <f>-('5C1U_Acadiana Ren'!AL46+'5C1U_Acadiana Ren'!AO46)</f>
        <v>-2099</v>
      </c>
      <c r="X46" s="360">
        <f>-('5C1V_Laf Ren'!AL46+'5C1V_Laf Ren'!AO46)</f>
        <v>0</v>
      </c>
      <c r="Y46" s="360">
        <f>-('5C1W_Willow'!AL46+'5C1W_Willow'!AO46)</f>
        <v>0</v>
      </c>
      <c r="Z46" s="360">
        <f>-('5C1Y_GEO'!AL46+'5C1Y_GEO'!AO46)</f>
        <v>0</v>
      </c>
      <c r="AA46" s="360">
        <f>-('5C1Z_Lincoln Prep'!AL46+'5C1Z_Lincoln Prep'!AO46)</f>
        <v>0</v>
      </c>
      <c r="AB46" s="360">
        <f>-('5C1AD_Greater'!$AL46+'5C1AD_Greater'!$AO46)</f>
        <v>0</v>
      </c>
      <c r="AC46" s="360">
        <f>-('5C1AE_Noble Minds'!$AL46+'5C1AE_Noble Minds'!$AO46)</f>
        <v>0</v>
      </c>
      <c r="AD46" s="360">
        <f>-('5C1AF_JCFA-Laf'!$AL46+'5C1AF_JCFA-Laf'!$AO46)</f>
        <v>0</v>
      </c>
      <c r="AE46" s="360">
        <f>-('5C1AG_Collegiate'!$AL46+'5C1AG_Collegiate'!$AO46)</f>
        <v>0</v>
      </c>
      <c r="AF46" s="360">
        <f>-('5C1AH_BRUP'!$AL46+'5C1AH_BRUP'!$AO46)</f>
        <v>0</v>
      </c>
      <c r="AG46" s="657">
        <f>-('5C1AI_Harmony'!$AL46+'5C1AI_Harmony'!$AO46)</f>
        <v>0</v>
      </c>
      <c r="AH46" s="657">
        <f>-('5C1AJ_Athlos'!$AL46+'5C1AJ_Athlos'!$AO46)</f>
        <v>0</v>
      </c>
      <c r="AI46" s="892">
        <f>-('5C1AK_NxtGen'!$AL46+'5C1AK_NxtGen'!$AO46)</f>
        <v>0</v>
      </c>
      <c r="AJ46" s="892">
        <f>-('5C1AL_Red River'!$AL46+'5C1AL_Red River'!$AO46)</f>
        <v>-4197</v>
      </c>
      <c r="AK46" s="360">
        <f>-('5C2_LAVCA'!AM46+'5C2_LAVCA'!AP46)</f>
        <v>-213418</v>
      </c>
      <c r="AL46" s="360">
        <f>-('5C3_UnvView'!AM46+'5C3_UnvView'!AP46)</f>
        <v>-292902</v>
      </c>
      <c r="AM46" s="361">
        <f t="shared" si="4"/>
        <v>-529048</v>
      </c>
      <c r="AN46" s="362">
        <f t="shared" si="5"/>
        <v>136895884</v>
      </c>
    </row>
    <row r="47" spans="1:40" ht="15.6" customHeight="1" x14ac:dyDescent="0.2">
      <c r="A47" s="347">
        <v>41</v>
      </c>
      <c r="B47" s="348" t="s">
        <v>45</v>
      </c>
      <c r="C47" s="349">
        <f>'2_State Distrib and Adjs'!BD47</f>
        <v>5248136</v>
      </c>
      <c r="D47" s="349">
        <f>-'5A3_OJJ'!P47</f>
        <v>-4322</v>
      </c>
      <c r="E47" s="349"/>
      <c r="F47" s="349">
        <f>-('5C1A_Madison'!AL47+'5C1A_Madison'!AO47)</f>
        <v>0</v>
      </c>
      <c r="G47" s="349">
        <f>-('5C1B_DArbonne'!AL47+'5C1B_DArbonne'!AO47)</f>
        <v>0</v>
      </c>
      <c r="H47" s="349">
        <f>-('5C1C_Intl High'!AL47+'5C1C_Intl High'!AO47)</f>
        <v>0</v>
      </c>
      <c r="I47" s="349">
        <f>-('5C1D_NOMMA'!AL47+'5C1D_NOMMA'!AO47)</f>
        <v>0</v>
      </c>
      <c r="J47" s="349">
        <f>-('5C1E_LFNO'!AL47+'5C1E_LFNO'!AO47)</f>
        <v>0</v>
      </c>
      <c r="K47" s="349">
        <f>-('5C1F_L.C. Charter'!AL47+'5C1F_L.C. Charter'!AO47)</f>
        <v>0</v>
      </c>
      <c r="L47" s="349">
        <f>-('5C1G_JS Clark'!AL47+'5C1G_JS Clark'!AO47)</f>
        <v>0</v>
      </c>
      <c r="M47" s="349">
        <f>-('5C1H_Southwest'!AL47+'5C1H_Southwest'!AO47)</f>
        <v>0</v>
      </c>
      <c r="N47" s="349">
        <f>-('5C1I_LA Key'!AL47+'5C1I_LA Key'!AO47)</f>
        <v>0</v>
      </c>
      <c r="O47" s="349">
        <f>-('5C1J_JCFA-East'!AL47+'5C1J_JCFA-East'!AO47)</f>
        <v>0</v>
      </c>
      <c r="P47" s="349">
        <f>-('5C1M_GEO Mid'!AL47+'5C1M_GEO Mid'!AO47)</f>
        <v>0</v>
      </c>
      <c r="Q47" s="349">
        <f>-('5C1N_Delta'!AL47+'5C1N_Delta'!AO47)</f>
        <v>0</v>
      </c>
      <c r="R47" s="349">
        <f>-('5C1O_Impact'!AL47+'5C1O_Impact'!AO47)</f>
        <v>0</v>
      </c>
      <c r="S47" s="349">
        <f>-('5C1Q_Advantage'!AL47+'5C1Q_Advantage'!AO47)</f>
        <v>0</v>
      </c>
      <c r="T47" s="349">
        <f>-('5C1R_Iberville'!AL47+'5C1R_Iberville'!AO47)</f>
        <v>0</v>
      </c>
      <c r="U47" s="349">
        <f>-('5C1S_LC Col Prep'!AL47+'5C1S_LC Col Prep'!AO47)</f>
        <v>0</v>
      </c>
      <c r="V47" s="349">
        <f>-('5C1T_Northeast'!AL47+'5C1T_Northeast'!AO47)</f>
        <v>0</v>
      </c>
      <c r="W47" s="349">
        <f>-('5C1U_Acadiana Ren'!AL47+'5C1U_Acadiana Ren'!AO47)</f>
        <v>0</v>
      </c>
      <c r="X47" s="349">
        <f>-('5C1V_Laf Ren'!AL47+'5C1V_Laf Ren'!AO47)</f>
        <v>0</v>
      </c>
      <c r="Y47" s="349">
        <f>-('5C1W_Willow'!AL47+'5C1W_Willow'!AO47)</f>
        <v>0</v>
      </c>
      <c r="Z47" s="349">
        <f>-('5C1Y_GEO'!AL47+'5C1Y_GEO'!AO47)</f>
        <v>0</v>
      </c>
      <c r="AA47" s="350">
        <f>-('5C1Z_Lincoln Prep'!AL47+'5C1Z_Lincoln Prep'!AO47)</f>
        <v>0</v>
      </c>
      <c r="AB47" s="350">
        <f>-('5C1AD_Greater'!$AL47+'5C1AD_Greater'!$AO47)</f>
        <v>0</v>
      </c>
      <c r="AC47" s="350">
        <f>-('5C1AE_Noble Minds'!$AL47+'5C1AE_Noble Minds'!$AO47)</f>
        <v>0</v>
      </c>
      <c r="AD47" s="350">
        <f>-('5C1AF_JCFA-Laf'!$AL47+'5C1AF_JCFA-Laf'!$AO47)</f>
        <v>0</v>
      </c>
      <c r="AE47" s="350">
        <f>-('5C1AG_Collegiate'!$AL47+'5C1AG_Collegiate'!$AO47)</f>
        <v>0</v>
      </c>
      <c r="AF47" s="350">
        <f>-('5C1AH_BRUP'!$AL47+'5C1AH_BRUP'!$AO47)</f>
        <v>0</v>
      </c>
      <c r="AG47" s="656">
        <f>-('5C1AI_Harmony'!$AL47+'5C1AI_Harmony'!$AO47)</f>
        <v>0</v>
      </c>
      <c r="AH47" s="656">
        <f>-('5C1AJ_Athlos'!$AL47+'5C1AJ_Athlos'!$AO47)</f>
        <v>0</v>
      </c>
      <c r="AI47" s="656">
        <f>-('5C1AK_NxtGen'!$AL47+'5C1AK_NxtGen'!$AO47)</f>
        <v>0</v>
      </c>
      <c r="AJ47" s="656">
        <f>-('5C1AL_Red River'!$AL47+'5C1AL_Red River'!$AO47)</f>
        <v>0</v>
      </c>
      <c r="AK47" s="349">
        <f>-('5C2_LAVCA'!AM47+'5C2_LAVCA'!AP47)</f>
        <v>-11548</v>
      </c>
      <c r="AL47" s="349">
        <f>-('5C3_UnvView'!AM47+'5C3_UnvView'!AP47)</f>
        <v>-34643</v>
      </c>
      <c r="AM47" s="351">
        <f t="shared" si="4"/>
        <v>-50513</v>
      </c>
      <c r="AN47" s="352">
        <f t="shared" si="5"/>
        <v>5197623</v>
      </c>
    </row>
    <row r="48" spans="1:40" ht="15.6" customHeight="1" x14ac:dyDescent="0.2">
      <c r="A48" s="353">
        <v>42</v>
      </c>
      <c r="B48" s="354" t="s">
        <v>46</v>
      </c>
      <c r="C48" s="355">
        <f>'2_State Distrib and Adjs'!BD48</f>
        <v>15667442</v>
      </c>
      <c r="D48" s="355">
        <f>-'5A3_OJJ'!P48</f>
        <v>-14683</v>
      </c>
      <c r="E48" s="355"/>
      <c r="F48" s="355">
        <f>-('5C1A_Madison'!AL48+'5C1A_Madison'!AO48)</f>
        <v>0</v>
      </c>
      <c r="G48" s="355">
        <f>-('5C1B_DArbonne'!AL48+'5C1B_DArbonne'!AO48)</f>
        <v>0</v>
      </c>
      <c r="H48" s="355">
        <f>-('5C1C_Intl High'!AL48+'5C1C_Intl High'!AO48)</f>
        <v>0</v>
      </c>
      <c r="I48" s="355">
        <f>-('5C1D_NOMMA'!AL48+'5C1D_NOMMA'!AO48)</f>
        <v>0</v>
      </c>
      <c r="J48" s="355">
        <f>-('5C1E_LFNO'!AL48+'5C1E_LFNO'!AO48)</f>
        <v>0</v>
      </c>
      <c r="K48" s="355">
        <f>-('5C1F_L.C. Charter'!AL48+'5C1F_L.C. Charter'!AO48)</f>
        <v>0</v>
      </c>
      <c r="L48" s="355">
        <f>-('5C1G_JS Clark'!AL48+'5C1G_JS Clark'!AO48)</f>
        <v>0</v>
      </c>
      <c r="M48" s="355">
        <f>-('5C1H_Southwest'!AL48+'5C1H_Southwest'!AO48)</f>
        <v>0</v>
      </c>
      <c r="N48" s="355">
        <f>-('5C1I_LA Key'!AL48+'5C1I_LA Key'!AO48)</f>
        <v>0</v>
      </c>
      <c r="O48" s="355">
        <f>-('5C1J_JCFA-East'!AL48+'5C1J_JCFA-East'!AO48)</f>
        <v>0</v>
      </c>
      <c r="P48" s="355">
        <f>-('5C1M_GEO Mid'!AL48+'5C1M_GEO Mid'!AO48)</f>
        <v>0</v>
      </c>
      <c r="Q48" s="355">
        <f>-('5C1N_Delta'!AL48+'5C1N_Delta'!AO48)</f>
        <v>0</v>
      </c>
      <c r="R48" s="355">
        <f>-('5C1O_Impact'!AL48+'5C1O_Impact'!AO48)</f>
        <v>0</v>
      </c>
      <c r="S48" s="355">
        <f>-('5C1Q_Advantage'!AL48+'5C1Q_Advantage'!AO48)</f>
        <v>0</v>
      </c>
      <c r="T48" s="355">
        <f>-('5C1R_Iberville'!AL48+'5C1R_Iberville'!AO48)</f>
        <v>0</v>
      </c>
      <c r="U48" s="355">
        <f>-('5C1S_LC Col Prep'!AL48+'5C1S_LC Col Prep'!AO48)</f>
        <v>0</v>
      </c>
      <c r="V48" s="355">
        <f>-('5C1T_Northeast'!AL48+'5C1T_Northeast'!AO48)</f>
        <v>0</v>
      </c>
      <c r="W48" s="355">
        <f>-('5C1U_Acadiana Ren'!AL48+'5C1U_Acadiana Ren'!AO48)</f>
        <v>0</v>
      </c>
      <c r="X48" s="355">
        <f>-('5C1V_Laf Ren'!AL48+'5C1V_Laf Ren'!AO48)</f>
        <v>0</v>
      </c>
      <c r="Y48" s="355">
        <f>-('5C1W_Willow'!AL48+'5C1W_Willow'!AO48)</f>
        <v>0</v>
      </c>
      <c r="Z48" s="355">
        <f>-('5C1Y_GEO'!AL48+'5C1Y_GEO'!AO48)</f>
        <v>0</v>
      </c>
      <c r="AA48" s="355">
        <f>-('5C1Z_Lincoln Prep'!AL48+'5C1Z_Lincoln Prep'!AO48)</f>
        <v>0</v>
      </c>
      <c r="AB48" s="355">
        <f>-('5C1AD_Greater'!$AL48+'5C1AD_Greater'!$AO48)</f>
        <v>0</v>
      </c>
      <c r="AC48" s="355">
        <f>-('5C1AE_Noble Minds'!$AL48+'5C1AE_Noble Minds'!$AO48)</f>
        <v>0</v>
      </c>
      <c r="AD48" s="355">
        <f>-('5C1AF_JCFA-Laf'!$AL48+'5C1AF_JCFA-Laf'!$AO48)</f>
        <v>0</v>
      </c>
      <c r="AE48" s="355">
        <f>-('5C1AG_Collegiate'!$AL48+'5C1AG_Collegiate'!$AO48)</f>
        <v>0</v>
      </c>
      <c r="AF48" s="355">
        <f>-('5C1AH_BRUP'!$AL48+'5C1AH_BRUP'!$AO48)</f>
        <v>0</v>
      </c>
      <c r="AG48" s="355">
        <f>-('5C1AI_Harmony'!$AL48+'5C1AI_Harmony'!$AO48)</f>
        <v>0</v>
      </c>
      <c r="AH48" s="355">
        <f>-('5C1AJ_Athlos'!$AL48+'5C1AJ_Athlos'!$AO48)</f>
        <v>0</v>
      </c>
      <c r="AI48" s="355">
        <f>-('5C1AK_NxtGen'!$AL48+'5C1AK_NxtGen'!$AO48)</f>
        <v>0</v>
      </c>
      <c r="AJ48" s="355">
        <f>-('5C1AL_Red River'!$AL48+'5C1AL_Red River'!$AO48)</f>
        <v>0</v>
      </c>
      <c r="AK48" s="355">
        <f>-('5C2_LAVCA'!AM48+'5C2_LAVCA'!AP48)</f>
        <v>-15126</v>
      </c>
      <c r="AL48" s="355">
        <f>-('5C3_UnvView'!AM48+'5C3_UnvView'!AP48)</f>
        <v>-77793</v>
      </c>
      <c r="AM48" s="356">
        <f t="shared" si="4"/>
        <v>-107602</v>
      </c>
      <c r="AN48" s="357">
        <f t="shared" si="5"/>
        <v>15559840</v>
      </c>
    </row>
    <row r="49" spans="1:40" ht="15.6" customHeight="1" x14ac:dyDescent="0.2">
      <c r="A49" s="353">
        <v>43</v>
      </c>
      <c r="B49" s="354" t="s">
        <v>47</v>
      </c>
      <c r="C49" s="355">
        <f>'2_State Distrib and Adjs'!BD49</f>
        <v>28065672</v>
      </c>
      <c r="D49" s="355">
        <f>-'5A3_OJJ'!P49</f>
        <v>0</v>
      </c>
      <c r="E49" s="355"/>
      <c r="F49" s="355">
        <f>-('5C1A_Madison'!AL49+'5C1A_Madison'!AO49)</f>
        <v>0</v>
      </c>
      <c r="G49" s="355">
        <f>-('5C1B_DArbonne'!AL49+'5C1B_DArbonne'!AO49)</f>
        <v>0</v>
      </c>
      <c r="H49" s="355">
        <f>-('5C1C_Intl High'!AL49+'5C1C_Intl High'!AO49)</f>
        <v>0</v>
      </c>
      <c r="I49" s="355">
        <f>-('5C1D_NOMMA'!AL49+'5C1D_NOMMA'!AO49)</f>
        <v>0</v>
      </c>
      <c r="J49" s="355">
        <f>-('5C1E_LFNO'!AL49+'5C1E_LFNO'!AO49)</f>
        <v>0</v>
      </c>
      <c r="K49" s="355">
        <f>-('5C1F_L.C. Charter'!AL49+'5C1F_L.C. Charter'!AO49)</f>
        <v>0</v>
      </c>
      <c r="L49" s="355">
        <f>-('5C1G_JS Clark'!AL49+'5C1G_JS Clark'!AO49)</f>
        <v>0</v>
      </c>
      <c r="M49" s="355">
        <f>-('5C1H_Southwest'!AL49+'5C1H_Southwest'!AO49)</f>
        <v>0</v>
      </c>
      <c r="N49" s="355">
        <f>-('5C1I_LA Key'!AL49+'5C1I_LA Key'!AO49)</f>
        <v>0</v>
      </c>
      <c r="O49" s="355">
        <f>-('5C1J_JCFA-East'!AL49+'5C1J_JCFA-East'!AO49)</f>
        <v>0</v>
      </c>
      <c r="P49" s="355">
        <f>-('5C1M_GEO Mid'!AL49+'5C1M_GEO Mid'!AO49)</f>
        <v>0</v>
      </c>
      <c r="Q49" s="355">
        <f>-('5C1N_Delta'!AL49+'5C1N_Delta'!AO49)</f>
        <v>0</v>
      </c>
      <c r="R49" s="355">
        <f>-('5C1O_Impact'!AL49+'5C1O_Impact'!AO49)</f>
        <v>0</v>
      </c>
      <c r="S49" s="355">
        <f>-('5C1Q_Advantage'!AL49+'5C1Q_Advantage'!AO49)</f>
        <v>0</v>
      </c>
      <c r="T49" s="355">
        <f>-('5C1R_Iberville'!AL49+'5C1R_Iberville'!AO49)</f>
        <v>0</v>
      </c>
      <c r="U49" s="355">
        <f>-('5C1S_LC Col Prep'!AL49+'5C1S_LC Col Prep'!AO49)</f>
        <v>0</v>
      </c>
      <c r="V49" s="355">
        <f>-('5C1T_Northeast'!AL49+'5C1T_Northeast'!AO49)</f>
        <v>0</v>
      </c>
      <c r="W49" s="355">
        <f>-('5C1U_Acadiana Ren'!AL49+'5C1U_Acadiana Ren'!AO49)</f>
        <v>0</v>
      </c>
      <c r="X49" s="355">
        <f>-('5C1V_Laf Ren'!AL49+'5C1V_Laf Ren'!AO49)</f>
        <v>0</v>
      </c>
      <c r="Y49" s="355">
        <f>-('5C1W_Willow'!AL49+'5C1W_Willow'!AO49)</f>
        <v>0</v>
      </c>
      <c r="Z49" s="355">
        <f>-('5C1Y_GEO'!AL49+'5C1Y_GEO'!AO49)</f>
        <v>0</v>
      </c>
      <c r="AA49" s="355">
        <f>-('5C1Z_Lincoln Prep'!AL49+'5C1Z_Lincoln Prep'!AO49)</f>
        <v>0</v>
      </c>
      <c r="AB49" s="355">
        <f>-('5C1AD_Greater'!$AL49+'5C1AD_Greater'!$AO49)</f>
        <v>0</v>
      </c>
      <c r="AC49" s="355">
        <f>-('5C1AE_Noble Minds'!$AL49+'5C1AE_Noble Minds'!$AO49)</f>
        <v>0</v>
      </c>
      <c r="AD49" s="355">
        <f>-('5C1AF_JCFA-Laf'!$AL49+'5C1AF_JCFA-Laf'!$AO49)</f>
        <v>0</v>
      </c>
      <c r="AE49" s="355">
        <f>-('5C1AG_Collegiate'!$AL49+'5C1AG_Collegiate'!$AO49)</f>
        <v>0</v>
      </c>
      <c r="AF49" s="355">
        <f>-('5C1AH_BRUP'!$AL49+'5C1AH_BRUP'!$AO49)</f>
        <v>0</v>
      </c>
      <c r="AG49" s="355">
        <f>-('5C1AI_Harmony'!$AL49+'5C1AI_Harmony'!$AO49)</f>
        <v>0</v>
      </c>
      <c r="AH49" s="355">
        <f>-('5C1AJ_Athlos'!$AL49+'5C1AJ_Athlos'!$AO49)</f>
        <v>0</v>
      </c>
      <c r="AI49" s="355">
        <f>-('5C1AK_NxtGen'!$AL49+'5C1AK_NxtGen'!$AO49)</f>
        <v>0</v>
      </c>
      <c r="AJ49" s="355">
        <f>-('5C1AL_Red River'!$AL49+'5C1AL_Red River'!$AO49)</f>
        <v>0</v>
      </c>
      <c r="AK49" s="355">
        <f>-('5C2_LAVCA'!AM49+'5C2_LAVCA'!AP49)</f>
        <v>-33507</v>
      </c>
      <c r="AL49" s="355">
        <f>-('5C3_UnvView'!AM49+'5C3_UnvView'!AP49)</f>
        <v>-29565</v>
      </c>
      <c r="AM49" s="356">
        <f t="shared" si="4"/>
        <v>-63072</v>
      </c>
      <c r="AN49" s="357">
        <f t="shared" si="5"/>
        <v>28002600</v>
      </c>
    </row>
    <row r="50" spans="1:40" ht="15.6" customHeight="1" x14ac:dyDescent="0.2">
      <c r="A50" s="353">
        <v>44</v>
      </c>
      <c r="B50" s="354" t="s">
        <v>48</v>
      </c>
      <c r="C50" s="355">
        <f>'2_State Distrib and Adjs'!BD50</f>
        <v>45288116</v>
      </c>
      <c r="D50" s="355">
        <f>-'5A3_OJJ'!P50</f>
        <v>-3746</v>
      </c>
      <c r="E50" s="355"/>
      <c r="F50" s="355">
        <f>-('5C1A_Madison'!AL50+'5C1A_Madison'!AO50)</f>
        <v>0</v>
      </c>
      <c r="G50" s="355">
        <f>-('5C1B_DArbonne'!AL50+'5C1B_DArbonne'!AO50)</f>
        <v>0</v>
      </c>
      <c r="H50" s="355">
        <f>-('5C1C_Intl High'!AL50+'5C1C_Intl High'!AO50)</f>
        <v>-20850</v>
      </c>
      <c r="I50" s="355">
        <f>-('5C1D_NOMMA'!AL50+'5C1D_NOMMA'!AO50)</f>
        <v>-9477</v>
      </c>
      <c r="J50" s="355">
        <f>-('5C1E_LFNO'!AL50+'5C1E_LFNO'!AO50)</f>
        <v>-11373</v>
      </c>
      <c r="K50" s="355">
        <f>-('5C1F_L.C. Charter'!AL50+'5C1F_L.C. Charter'!AO50)</f>
        <v>0</v>
      </c>
      <c r="L50" s="355">
        <f>-('5C1G_JS Clark'!AL50+'5C1G_JS Clark'!AO50)</f>
        <v>0</v>
      </c>
      <c r="M50" s="355">
        <f>-('5C1H_Southwest'!AL50+'5C1H_Southwest'!AO50)</f>
        <v>0</v>
      </c>
      <c r="N50" s="355">
        <f>-('5C1I_LA Key'!AL50+'5C1I_LA Key'!AO50)</f>
        <v>0</v>
      </c>
      <c r="O50" s="355">
        <f>-('5C1J_JCFA-East'!AL50+'5C1J_JCFA-East'!AO50)</f>
        <v>0</v>
      </c>
      <c r="P50" s="355">
        <f>-('5C1M_GEO Mid'!AL50+'5C1M_GEO Mid'!AO50)</f>
        <v>0</v>
      </c>
      <c r="Q50" s="355">
        <f>-('5C1N_Delta'!AL50+'5C1N_Delta'!AO50)</f>
        <v>0</v>
      </c>
      <c r="R50" s="355">
        <f>-('5C1O_Impact'!AL50+'5C1O_Impact'!AO50)</f>
        <v>0</v>
      </c>
      <c r="S50" s="355">
        <f>-('5C1Q_Advantage'!AL50+'5C1Q_Advantage'!AO50)</f>
        <v>0</v>
      </c>
      <c r="T50" s="355">
        <f>-('5C1R_Iberville'!AL50+'5C1R_Iberville'!AO50)</f>
        <v>0</v>
      </c>
      <c r="U50" s="355">
        <f>-('5C1S_LC Col Prep'!AL50+'5C1S_LC Col Prep'!AO50)</f>
        <v>0</v>
      </c>
      <c r="V50" s="355">
        <f>-('5C1T_Northeast'!AL50+'5C1T_Northeast'!AO50)</f>
        <v>0</v>
      </c>
      <c r="W50" s="355">
        <f>-('5C1U_Acadiana Ren'!AL50+'5C1U_Acadiana Ren'!AO50)</f>
        <v>0</v>
      </c>
      <c r="X50" s="355">
        <f>-('5C1V_Laf Ren'!AL50+'5C1V_Laf Ren'!AO50)</f>
        <v>0</v>
      </c>
      <c r="Y50" s="355">
        <f>-('5C1W_Willow'!AL50+'5C1W_Willow'!AO50)</f>
        <v>0</v>
      </c>
      <c r="Z50" s="355">
        <f>-('5C1Y_GEO'!AL50+'5C1Y_GEO'!AO50)</f>
        <v>0</v>
      </c>
      <c r="AA50" s="355">
        <f>-('5C1Z_Lincoln Prep'!AL50+'5C1Z_Lincoln Prep'!AO50)</f>
        <v>0</v>
      </c>
      <c r="AB50" s="355">
        <f>-('5C1AD_Greater'!$AL50+'5C1AD_Greater'!$AO50)</f>
        <v>0</v>
      </c>
      <c r="AC50" s="355">
        <f>-('5C1AE_Noble Minds'!$AL50+'5C1AE_Noble Minds'!$AO50)</f>
        <v>-7582</v>
      </c>
      <c r="AD50" s="355">
        <f>-('5C1AF_JCFA-Laf'!$AL50+'5C1AF_JCFA-Laf'!$AO50)</f>
        <v>0</v>
      </c>
      <c r="AE50" s="355">
        <f>-('5C1AG_Collegiate'!$AL50+'5C1AG_Collegiate'!$AO50)</f>
        <v>0</v>
      </c>
      <c r="AF50" s="355">
        <f>-('5C1AH_BRUP'!$AL50+'5C1AH_BRUP'!$AO50)</f>
        <v>0</v>
      </c>
      <c r="AG50" s="355">
        <f>-('5C1AI_Harmony'!$AL50+'5C1AI_Harmony'!$AO50)</f>
        <v>0</v>
      </c>
      <c r="AH50" s="355">
        <f>-('5C1AJ_Athlos'!$AL50+'5C1AJ_Athlos'!$AO50)</f>
        <v>-18955</v>
      </c>
      <c r="AI50" s="355">
        <f>-('5C1AK_NxtGen'!$AL50+'5C1AK_NxtGen'!$AO50)</f>
        <v>0</v>
      </c>
      <c r="AJ50" s="355">
        <f>-('5C1AL_Red River'!$AL50+'5C1AL_Red River'!$AO50)</f>
        <v>0</v>
      </c>
      <c r="AK50" s="355">
        <f>-('5C2_LAVCA'!AM50+'5C2_LAVCA'!AP50)</f>
        <v>-98946</v>
      </c>
      <c r="AL50" s="355">
        <f>-('5C3_UnvView'!AM50+'5C3_UnvView'!AP50)</f>
        <v>-54584</v>
      </c>
      <c r="AM50" s="356">
        <f t="shared" si="4"/>
        <v>-225513</v>
      </c>
      <c r="AN50" s="357">
        <f t="shared" si="5"/>
        <v>45062603</v>
      </c>
    </row>
    <row r="51" spans="1:40" ht="15.6" customHeight="1" x14ac:dyDescent="0.2">
      <c r="A51" s="358">
        <v>45</v>
      </c>
      <c r="B51" s="359" t="s">
        <v>49</v>
      </c>
      <c r="C51" s="360">
        <f>'2_State Distrib and Adjs'!BD51</f>
        <v>32212814</v>
      </c>
      <c r="D51" s="360">
        <f>-'5A3_OJJ'!P51</f>
        <v>-112</v>
      </c>
      <c r="E51" s="360"/>
      <c r="F51" s="360">
        <f>-('5C1A_Madison'!AL51+'5C1A_Madison'!AO51)</f>
        <v>0</v>
      </c>
      <c r="G51" s="360">
        <f>-('5C1B_DArbonne'!AL51+'5C1B_DArbonne'!AO51)</f>
        <v>0</v>
      </c>
      <c r="H51" s="360">
        <f>-('5C1C_Intl High'!AL51+'5C1C_Intl High'!AO51)</f>
        <v>0</v>
      </c>
      <c r="I51" s="360">
        <f>-('5C1D_NOMMA'!AL51+'5C1D_NOMMA'!AO51)</f>
        <v>-28672</v>
      </c>
      <c r="J51" s="360">
        <f>-('5C1E_LFNO'!AL51+'5C1E_LFNO'!AO51)</f>
        <v>-57344</v>
      </c>
      <c r="K51" s="360">
        <f>-('5C1F_L.C. Charter'!AL51+'5C1F_L.C. Charter'!AO51)</f>
        <v>6250</v>
      </c>
      <c r="L51" s="360">
        <f>-('5C1G_JS Clark'!AL51+'5C1G_JS Clark'!AO51)</f>
        <v>0</v>
      </c>
      <c r="M51" s="360">
        <f>-('5C1H_Southwest'!AL51+'5C1H_Southwest'!AO51)</f>
        <v>0</v>
      </c>
      <c r="N51" s="360">
        <f>-('5C1I_LA Key'!AL51+'5C1I_LA Key'!AO51)</f>
        <v>0</v>
      </c>
      <c r="O51" s="360">
        <f>-('5C1J_JCFA-East'!AL51+'5C1J_JCFA-East'!AO51)</f>
        <v>-14336</v>
      </c>
      <c r="P51" s="360">
        <f>-('5C1M_GEO Mid'!AL51+'5C1M_GEO Mid'!AO51)</f>
        <v>0</v>
      </c>
      <c r="Q51" s="360">
        <f>-('5C1N_Delta'!AL51+'5C1N_Delta'!AO51)</f>
        <v>0</v>
      </c>
      <c r="R51" s="360">
        <f>-('5C1O_Impact'!AL51+'5C1O_Impact'!AO51)</f>
        <v>0</v>
      </c>
      <c r="S51" s="360">
        <f>-('5C1Q_Advantage'!AL51+'5C1Q_Advantage'!AO51)</f>
        <v>0</v>
      </c>
      <c r="T51" s="360">
        <f>-('5C1R_Iberville'!AL51+'5C1R_Iberville'!AO51)</f>
        <v>0</v>
      </c>
      <c r="U51" s="360">
        <f>-('5C1S_LC Col Prep'!AL51+'5C1S_LC Col Prep'!AO51)</f>
        <v>0</v>
      </c>
      <c r="V51" s="360">
        <f>-('5C1T_Northeast'!AL51+'5C1T_Northeast'!AO51)</f>
        <v>0</v>
      </c>
      <c r="W51" s="360">
        <f>-('5C1U_Acadiana Ren'!AL51+'5C1U_Acadiana Ren'!AO51)</f>
        <v>0</v>
      </c>
      <c r="X51" s="360">
        <f>-('5C1V_Laf Ren'!AL51+'5C1V_Laf Ren'!AO51)</f>
        <v>0</v>
      </c>
      <c r="Y51" s="360">
        <f>-('5C1W_Willow'!AL51+'5C1W_Willow'!AO51)</f>
        <v>0</v>
      </c>
      <c r="Z51" s="360">
        <f>-('5C1Y_GEO'!AL51+'5C1Y_GEO'!AO51)</f>
        <v>0</v>
      </c>
      <c r="AA51" s="360">
        <f>-('5C1Z_Lincoln Prep'!AL51+'5C1Z_Lincoln Prep'!AO51)</f>
        <v>0</v>
      </c>
      <c r="AB51" s="360">
        <f>-('5C1AD_Greater'!$AL51+'5C1AD_Greater'!$AO51)</f>
        <v>0</v>
      </c>
      <c r="AC51" s="360">
        <f>-('5C1AE_Noble Minds'!$AL51+'5C1AE_Noble Minds'!$AO51)</f>
        <v>-7168</v>
      </c>
      <c r="AD51" s="360">
        <f>-('5C1AF_JCFA-Laf'!$AL51+'5C1AF_JCFA-Laf'!$AO51)</f>
        <v>0</v>
      </c>
      <c r="AE51" s="360">
        <f>-('5C1AG_Collegiate'!$AL51+'5C1AG_Collegiate'!$AO51)</f>
        <v>0</v>
      </c>
      <c r="AF51" s="360">
        <f>-('5C1AH_BRUP'!$AL51+'5C1AH_BRUP'!$AO51)</f>
        <v>0</v>
      </c>
      <c r="AG51" s="657">
        <f>-('5C1AI_Harmony'!$AL51+'5C1AI_Harmony'!$AO51)</f>
        <v>0</v>
      </c>
      <c r="AH51" s="657">
        <f>-('5C1AJ_Athlos'!$AL51+'5C1AJ_Athlos'!$AO51)</f>
        <v>-14336</v>
      </c>
      <c r="AI51" s="892">
        <f>-('5C1AK_NxtGen'!$AL51+'5C1AK_NxtGen'!$AO51)</f>
        <v>0</v>
      </c>
      <c r="AJ51" s="892">
        <f>-('5C1AL_Red River'!$AL51+'5C1AL_Red River'!$AO51)</f>
        <v>0</v>
      </c>
      <c r="AK51" s="360">
        <f>-('5C2_LAVCA'!AM51+'5C2_LAVCA'!AP51)</f>
        <v>-277402</v>
      </c>
      <c r="AL51" s="360">
        <f>-('5C3_UnvView'!AM51+'5C3_UnvView'!AP51)</f>
        <v>-103219</v>
      </c>
      <c r="AM51" s="361">
        <f t="shared" si="4"/>
        <v>-496339</v>
      </c>
      <c r="AN51" s="362">
        <f t="shared" si="5"/>
        <v>31716475</v>
      </c>
    </row>
    <row r="52" spans="1:40" ht="15.6" customHeight="1" x14ac:dyDescent="0.2">
      <c r="A52" s="347">
        <v>46</v>
      </c>
      <c r="B52" s="348" t="s">
        <v>50</v>
      </c>
      <c r="C52" s="349">
        <f>'2_State Distrib and Adjs'!BD52</f>
        <v>9608235</v>
      </c>
      <c r="D52" s="349">
        <f>-'5A3_OJJ'!P52</f>
        <v>0</v>
      </c>
      <c r="E52" s="349"/>
      <c r="F52" s="349">
        <f>-('5C1A_Madison'!AL52+'5C1A_Madison'!AO52)</f>
        <v>0</v>
      </c>
      <c r="G52" s="349">
        <f>-('5C1B_DArbonne'!AL52+'5C1B_DArbonne'!AO52)</f>
        <v>0</v>
      </c>
      <c r="H52" s="349">
        <f>-('5C1C_Intl High'!AL52+'5C1C_Intl High'!AO52)</f>
        <v>0</v>
      </c>
      <c r="I52" s="349">
        <f>-('5C1D_NOMMA'!AL52+'5C1D_NOMMA'!AO52)</f>
        <v>0</v>
      </c>
      <c r="J52" s="349">
        <f>-('5C1E_LFNO'!AL52+'5C1E_LFNO'!AO52)</f>
        <v>0</v>
      </c>
      <c r="K52" s="349">
        <f>-('5C1F_L.C. Charter'!AL52+'5C1F_L.C. Charter'!AO52)</f>
        <v>0</v>
      </c>
      <c r="L52" s="349">
        <f>-('5C1G_JS Clark'!AL52+'5C1G_JS Clark'!AO52)</f>
        <v>0</v>
      </c>
      <c r="M52" s="349">
        <f>-('5C1H_Southwest'!AL52+'5C1H_Southwest'!AO52)</f>
        <v>0</v>
      </c>
      <c r="N52" s="349">
        <f>-('5C1I_LA Key'!AL52+'5C1I_LA Key'!AO52)</f>
        <v>0</v>
      </c>
      <c r="O52" s="349">
        <f>-('5C1J_JCFA-East'!AL52+'5C1J_JCFA-East'!AO52)</f>
        <v>0</v>
      </c>
      <c r="P52" s="349">
        <f>-('5C1M_GEO Mid'!AL52+'5C1M_GEO Mid'!AO52)</f>
        <v>0</v>
      </c>
      <c r="Q52" s="349">
        <f>-('5C1N_Delta'!AL52+'5C1N_Delta'!AO52)</f>
        <v>0</v>
      </c>
      <c r="R52" s="349">
        <f>-('5C1O_Impact'!AL52+'5C1O_Impact'!AO52)</f>
        <v>0</v>
      </c>
      <c r="S52" s="349">
        <f>-('5C1Q_Advantage'!AL52+'5C1Q_Advantage'!AO52)</f>
        <v>0</v>
      </c>
      <c r="T52" s="349">
        <f>-('5C1R_Iberville'!AL52+'5C1R_Iberville'!AO52)</f>
        <v>0</v>
      </c>
      <c r="U52" s="349">
        <f>-('5C1S_LC Col Prep'!AL52+'5C1S_LC Col Prep'!AO52)</f>
        <v>0</v>
      </c>
      <c r="V52" s="349">
        <f>-('5C1T_Northeast'!AL52+'5C1T_Northeast'!AO52)</f>
        <v>0</v>
      </c>
      <c r="W52" s="349">
        <f>-('5C1U_Acadiana Ren'!AL52+'5C1U_Acadiana Ren'!AO52)</f>
        <v>0</v>
      </c>
      <c r="X52" s="349">
        <f>-('5C1V_Laf Ren'!AL52+'5C1V_Laf Ren'!AO52)</f>
        <v>0</v>
      </c>
      <c r="Y52" s="349">
        <f>-('5C1W_Willow'!AL52+'5C1W_Willow'!AO52)</f>
        <v>0</v>
      </c>
      <c r="Z52" s="349">
        <f>-('5C1Y_GEO'!AL52+'5C1Y_GEO'!AO52)</f>
        <v>0</v>
      </c>
      <c r="AA52" s="350">
        <f>-('5C1Z_Lincoln Prep'!AL52+'5C1Z_Lincoln Prep'!AO52)</f>
        <v>0</v>
      </c>
      <c r="AB52" s="350">
        <f>-('5C1AD_Greater'!$AL52+'5C1AD_Greater'!$AO52)</f>
        <v>0</v>
      </c>
      <c r="AC52" s="350">
        <f>-('5C1AE_Noble Minds'!$AL52+'5C1AE_Noble Minds'!$AO52)</f>
        <v>0</v>
      </c>
      <c r="AD52" s="350">
        <f>-('5C1AF_JCFA-Laf'!$AL52+'5C1AF_JCFA-Laf'!$AO52)</f>
        <v>0</v>
      </c>
      <c r="AE52" s="350">
        <f>-('5C1AG_Collegiate'!$AL52+'5C1AG_Collegiate'!$AO52)</f>
        <v>0</v>
      </c>
      <c r="AF52" s="350">
        <f>-('5C1AH_BRUP'!$AL52+'5C1AH_BRUP'!$AO52)</f>
        <v>0</v>
      </c>
      <c r="AG52" s="656">
        <f>-('5C1AI_Harmony'!$AL52+'5C1AI_Harmony'!$AO52)</f>
        <v>0</v>
      </c>
      <c r="AH52" s="656">
        <f>-('5C1AJ_Athlos'!$AL52+'5C1AJ_Athlos'!$AO52)</f>
        <v>0</v>
      </c>
      <c r="AI52" s="656">
        <f>-('5C1AK_NxtGen'!$AL52+'5C1AK_NxtGen'!$AO52)</f>
        <v>0</v>
      </c>
      <c r="AJ52" s="656">
        <f>-('5C1AL_Red River'!$AL52+'5C1AL_Red River'!$AO52)</f>
        <v>0</v>
      </c>
      <c r="AK52" s="349">
        <f>-('5C2_LAVCA'!AM52+'5C2_LAVCA'!AP52)</f>
        <v>-29541</v>
      </c>
      <c r="AL52" s="349">
        <f>-('5C3_UnvView'!AM52+'5C3_UnvView'!AP52)</f>
        <v>-33512</v>
      </c>
      <c r="AM52" s="351">
        <f t="shared" si="4"/>
        <v>-63053</v>
      </c>
      <c r="AN52" s="352">
        <f t="shared" si="5"/>
        <v>9545182</v>
      </c>
    </row>
    <row r="53" spans="1:40" ht="15.6" customHeight="1" x14ac:dyDescent="0.2">
      <c r="A53" s="353">
        <v>47</v>
      </c>
      <c r="B53" s="354" t="s">
        <v>51</v>
      </c>
      <c r="C53" s="355">
        <f>'2_State Distrib and Adjs'!BD53</f>
        <v>12652061</v>
      </c>
      <c r="D53" s="355">
        <f>-'5A3_OJJ'!P53</f>
        <v>0</v>
      </c>
      <c r="E53" s="355"/>
      <c r="F53" s="355">
        <f>-('5C1A_Madison'!AL53+'5C1A_Madison'!AO53)</f>
        <v>0</v>
      </c>
      <c r="G53" s="355">
        <f>-('5C1B_DArbonne'!AL53+'5C1B_DArbonne'!AO53)</f>
        <v>0</v>
      </c>
      <c r="H53" s="355">
        <f>-('5C1C_Intl High'!AL53+'5C1C_Intl High'!AO53)</f>
        <v>0</v>
      </c>
      <c r="I53" s="355">
        <f>-('5C1D_NOMMA'!AL53+'5C1D_NOMMA'!AO53)</f>
        <v>0</v>
      </c>
      <c r="J53" s="355">
        <f>-('5C1E_LFNO'!AL53+'5C1E_LFNO'!AO53)</f>
        <v>0</v>
      </c>
      <c r="K53" s="355">
        <f>-('5C1F_L.C. Charter'!AL53+'5C1F_L.C. Charter'!AO53)</f>
        <v>0</v>
      </c>
      <c r="L53" s="355">
        <f>-('5C1G_JS Clark'!AL53+'5C1G_JS Clark'!AO53)</f>
        <v>0</v>
      </c>
      <c r="M53" s="355">
        <f>-('5C1H_Southwest'!AL53+'5C1H_Southwest'!AO53)</f>
        <v>0</v>
      </c>
      <c r="N53" s="355">
        <f>-('5C1I_LA Key'!AL53+'5C1I_LA Key'!AO53)</f>
        <v>0</v>
      </c>
      <c r="O53" s="355">
        <f>-('5C1J_JCFA-East'!AL53+'5C1J_JCFA-East'!AO53)</f>
        <v>0</v>
      </c>
      <c r="P53" s="355">
        <f>-('5C1M_GEO Mid'!AL53+'5C1M_GEO Mid'!AO53)</f>
        <v>0</v>
      </c>
      <c r="Q53" s="355">
        <f>-('5C1N_Delta'!AL53+'5C1N_Delta'!AO53)</f>
        <v>0</v>
      </c>
      <c r="R53" s="355">
        <f>-('5C1O_Impact'!AL53+'5C1O_Impact'!AO53)</f>
        <v>0</v>
      </c>
      <c r="S53" s="355">
        <f>-('5C1Q_Advantage'!AL53+'5C1Q_Advantage'!AO53)</f>
        <v>0</v>
      </c>
      <c r="T53" s="355">
        <f>-('5C1R_Iberville'!AL53+'5C1R_Iberville'!AO53)</f>
        <v>-15068</v>
      </c>
      <c r="U53" s="355">
        <f>-('5C1S_LC Col Prep'!AL53+'5C1S_LC Col Prep'!AO53)</f>
        <v>0</v>
      </c>
      <c r="V53" s="355">
        <f>-('5C1T_Northeast'!AL53+'5C1T_Northeast'!AO53)</f>
        <v>0</v>
      </c>
      <c r="W53" s="355">
        <f>-('5C1U_Acadiana Ren'!AL53+'5C1U_Acadiana Ren'!AO53)</f>
        <v>0</v>
      </c>
      <c r="X53" s="355">
        <f>-('5C1V_Laf Ren'!AL53+'5C1V_Laf Ren'!AO53)</f>
        <v>0</v>
      </c>
      <c r="Y53" s="355">
        <f>-('5C1W_Willow'!AL53+'5C1W_Willow'!AO53)</f>
        <v>0</v>
      </c>
      <c r="Z53" s="355">
        <f>-('5C1Y_GEO'!AL53+'5C1Y_GEO'!AO53)</f>
        <v>0</v>
      </c>
      <c r="AA53" s="355">
        <f>-('5C1Z_Lincoln Prep'!AL53+'5C1Z_Lincoln Prep'!AO53)</f>
        <v>0</v>
      </c>
      <c r="AB53" s="355">
        <f>-('5C1AD_Greater'!$AL53+'5C1AD_Greater'!$AO53)</f>
        <v>-738332</v>
      </c>
      <c r="AC53" s="355">
        <f>-('5C1AE_Noble Minds'!$AL53+'5C1AE_Noble Minds'!$AO53)</f>
        <v>0</v>
      </c>
      <c r="AD53" s="355">
        <f>-('5C1AF_JCFA-Laf'!$AL53+'5C1AF_JCFA-Laf'!$AO53)</f>
        <v>0</v>
      </c>
      <c r="AE53" s="355">
        <f>-('5C1AG_Collegiate'!$AL53+'5C1AG_Collegiate'!$AO53)</f>
        <v>0</v>
      </c>
      <c r="AF53" s="355">
        <f>-('5C1AH_BRUP'!$AL53+'5C1AH_BRUP'!$AO53)</f>
        <v>0</v>
      </c>
      <c r="AG53" s="355">
        <f>-('5C1AI_Harmony'!$AL53+'5C1AI_Harmony'!$AO53)</f>
        <v>0</v>
      </c>
      <c r="AH53" s="355">
        <f>-('5C1AJ_Athlos'!$AL53+'5C1AJ_Athlos'!$AO53)</f>
        <v>0</v>
      </c>
      <c r="AI53" s="355">
        <f>-('5C1AK_NxtGen'!$AL53+'5C1AK_NxtGen'!$AO53)</f>
        <v>0</v>
      </c>
      <c r="AJ53" s="355">
        <f>-('5C1AL_Red River'!$AL53+'5C1AL_Red River'!$AO53)</f>
        <v>0</v>
      </c>
      <c r="AK53" s="355">
        <f>-('5C2_LAVCA'!AM53+'5C2_LAVCA'!AP53)</f>
        <v>-40683</v>
      </c>
      <c r="AL53" s="355">
        <f>-('5C3_UnvView'!AM53+'5C3_UnvView'!AP53)</f>
        <v>-54245</v>
      </c>
      <c r="AM53" s="356">
        <f t="shared" si="4"/>
        <v>-848328</v>
      </c>
      <c r="AN53" s="357">
        <f t="shared" si="5"/>
        <v>11803733</v>
      </c>
    </row>
    <row r="54" spans="1:40" ht="15.6" customHeight="1" x14ac:dyDescent="0.2">
      <c r="A54" s="353">
        <v>48</v>
      </c>
      <c r="B54" s="354" t="s">
        <v>73</v>
      </c>
      <c r="C54" s="355">
        <f>'2_State Distrib and Adjs'!BD54</f>
        <v>31275294</v>
      </c>
      <c r="D54" s="355">
        <f>-'5A3_OJJ'!P54</f>
        <v>0</v>
      </c>
      <c r="E54" s="355"/>
      <c r="F54" s="355">
        <f>-('5C1A_Madison'!AL54+'5C1A_Madison'!AO54)</f>
        <v>0</v>
      </c>
      <c r="G54" s="355">
        <f>-('5C1B_DArbonne'!AL54+'5C1B_DArbonne'!AO54)</f>
        <v>0</v>
      </c>
      <c r="H54" s="355">
        <f>-('5C1C_Intl High'!AL54+'5C1C_Intl High'!AO54)</f>
        <v>0</v>
      </c>
      <c r="I54" s="355">
        <f>-('5C1D_NOMMA'!AL54+'5C1D_NOMMA'!AO54)</f>
        <v>0</v>
      </c>
      <c r="J54" s="355">
        <f>-('5C1E_LFNO'!AL54+'5C1E_LFNO'!AO54)</f>
        <v>-14416</v>
      </c>
      <c r="K54" s="355">
        <f>-('5C1F_L.C. Charter'!AL54+'5C1F_L.C. Charter'!AO54)</f>
        <v>0</v>
      </c>
      <c r="L54" s="355">
        <f>-('5C1G_JS Clark'!AL54+'5C1G_JS Clark'!AO54)</f>
        <v>0</v>
      </c>
      <c r="M54" s="355">
        <f>-('5C1H_Southwest'!AL54+'5C1H_Southwest'!AO54)</f>
        <v>0</v>
      </c>
      <c r="N54" s="355">
        <f>-('5C1I_LA Key'!AL54+'5C1I_LA Key'!AO54)</f>
        <v>0</v>
      </c>
      <c r="O54" s="355">
        <f>-('5C1J_JCFA-East'!AL54+'5C1J_JCFA-East'!AO54)</f>
        <v>-7208</v>
      </c>
      <c r="P54" s="355">
        <f>-('5C1M_GEO Mid'!AL54+'5C1M_GEO Mid'!AO54)</f>
        <v>0</v>
      </c>
      <c r="Q54" s="355">
        <f>-('5C1N_Delta'!AL54+'5C1N_Delta'!AO54)</f>
        <v>0</v>
      </c>
      <c r="R54" s="355">
        <f>-('5C1O_Impact'!AL54+'5C1O_Impact'!AO54)</f>
        <v>0</v>
      </c>
      <c r="S54" s="355">
        <f>-('5C1Q_Advantage'!AL54+'5C1Q_Advantage'!AO54)</f>
        <v>-43248</v>
      </c>
      <c r="T54" s="355">
        <f>-('5C1R_Iberville'!AL54+'5C1R_Iberville'!AO54)</f>
        <v>-7208</v>
      </c>
      <c r="U54" s="355">
        <f>-('5C1S_LC Col Prep'!AL54+'5C1S_LC Col Prep'!AO54)</f>
        <v>0</v>
      </c>
      <c r="V54" s="355">
        <f>-('5C1T_Northeast'!AL54+'5C1T_Northeast'!AO54)</f>
        <v>0</v>
      </c>
      <c r="W54" s="355">
        <f>-('5C1U_Acadiana Ren'!AL54+'5C1U_Acadiana Ren'!AO54)</f>
        <v>0</v>
      </c>
      <c r="X54" s="355">
        <f>-('5C1V_Laf Ren'!AL54+'5C1V_Laf Ren'!AO54)</f>
        <v>0</v>
      </c>
      <c r="Y54" s="355">
        <f>-('5C1W_Willow'!AL54+'5C1W_Willow'!AO54)</f>
        <v>0</v>
      </c>
      <c r="Z54" s="355">
        <f>-('5C1Y_GEO'!AL54+'5C1Y_GEO'!AO54)</f>
        <v>0</v>
      </c>
      <c r="AA54" s="355">
        <f>-('5C1Z_Lincoln Prep'!AL54+'5C1Z_Lincoln Prep'!AO54)</f>
        <v>0</v>
      </c>
      <c r="AB54" s="355">
        <f>-('5C1AD_Greater'!$AL54+'5C1AD_Greater'!$AO54)</f>
        <v>-147764</v>
      </c>
      <c r="AC54" s="355">
        <f>-('5C1AE_Noble Minds'!$AL54+'5C1AE_Noble Minds'!$AO54)</f>
        <v>0</v>
      </c>
      <c r="AD54" s="355">
        <f>-('5C1AF_JCFA-Laf'!$AL54+'5C1AF_JCFA-Laf'!$AO54)</f>
        <v>0</v>
      </c>
      <c r="AE54" s="355">
        <f>-('5C1AG_Collegiate'!$AL54+'5C1AG_Collegiate'!$AO54)</f>
        <v>0</v>
      </c>
      <c r="AF54" s="355">
        <f>-('5C1AH_BRUP'!$AL54+'5C1AH_BRUP'!$AO54)</f>
        <v>0</v>
      </c>
      <c r="AG54" s="355">
        <f>-('5C1AI_Harmony'!$AL54+'5C1AI_Harmony'!$AO54)</f>
        <v>0</v>
      </c>
      <c r="AH54" s="355">
        <f>-('5C1AJ_Athlos'!$AL54+'5C1AJ_Athlos'!$AO54)</f>
        <v>0</v>
      </c>
      <c r="AI54" s="355">
        <f>-('5C1AK_NxtGen'!$AL54+'5C1AK_NxtGen'!$AO54)</f>
        <v>0</v>
      </c>
      <c r="AJ54" s="355">
        <f>-('5C1AL_Red River'!$AL54+'5C1AL_Red River'!$AO54)</f>
        <v>0</v>
      </c>
      <c r="AK54" s="355">
        <f>-('5C2_LAVCA'!AM54+'5C2_LAVCA'!AP54)</f>
        <v>-126501</v>
      </c>
      <c r="AL54" s="355">
        <f>-('5C3_UnvView'!AM54+'5C3_UnvView'!AP54)</f>
        <v>-253001</v>
      </c>
      <c r="AM54" s="356">
        <f t="shared" si="4"/>
        <v>-599346</v>
      </c>
      <c r="AN54" s="357">
        <f t="shared" si="5"/>
        <v>30675948</v>
      </c>
    </row>
    <row r="55" spans="1:40" ht="15.6" customHeight="1" x14ac:dyDescent="0.2">
      <c r="A55" s="353">
        <v>49</v>
      </c>
      <c r="B55" s="354" t="s">
        <v>52</v>
      </c>
      <c r="C55" s="355">
        <f>'2_State Distrib and Adjs'!BD55</f>
        <v>77107886</v>
      </c>
      <c r="D55" s="355">
        <f>-'5A3_OJJ'!P55</f>
        <v>-3576</v>
      </c>
      <c r="E55" s="355"/>
      <c r="F55" s="355">
        <f>-('5C1A_Madison'!AL55+'5C1A_Madison'!AO55)</f>
        <v>0</v>
      </c>
      <c r="G55" s="355">
        <f>-('5C1B_DArbonne'!AL55+'5C1B_DArbonne'!AO55)</f>
        <v>0</v>
      </c>
      <c r="H55" s="355">
        <f>-('5C1C_Intl High'!AL55+'5C1C_Intl High'!AO55)</f>
        <v>0</v>
      </c>
      <c r="I55" s="355">
        <f>-('5C1D_NOMMA'!AL55+'5C1D_NOMMA'!AO55)</f>
        <v>0</v>
      </c>
      <c r="J55" s="355">
        <f>-('5C1E_LFNO'!AL55+'5C1E_LFNO'!AO55)</f>
        <v>0</v>
      </c>
      <c r="K55" s="355">
        <f>-('5C1F_L.C. Charter'!AL55+'5C1F_L.C. Charter'!AO55)</f>
        <v>0</v>
      </c>
      <c r="L55" s="355">
        <f>-('5C1G_JS Clark'!AL55+'5C1G_JS Clark'!AO55)</f>
        <v>-682224</v>
      </c>
      <c r="M55" s="355">
        <f>-('5C1H_Southwest'!AL55+'5C1H_Southwest'!AO55)</f>
        <v>0</v>
      </c>
      <c r="N55" s="355">
        <f>-('5C1I_LA Key'!AL55+'5C1I_LA Key'!AO55)</f>
        <v>-2796</v>
      </c>
      <c r="O55" s="355">
        <f>-('5C1J_JCFA-East'!AL55+'5C1J_JCFA-East'!AO55)</f>
        <v>0</v>
      </c>
      <c r="P55" s="355">
        <f>-('5C1M_GEO Mid'!AL55+'5C1M_GEO Mid'!AO55)</f>
        <v>0</v>
      </c>
      <c r="Q55" s="355">
        <f>-('5C1N_Delta'!AL55+'5C1N_Delta'!AO55)</f>
        <v>0</v>
      </c>
      <c r="R55" s="355">
        <f>-('5C1O_Impact'!AL55+'5C1O_Impact'!AO55)</f>
        <v>0</v>
      </c>
      <c r="S55" s="355">
        <f>-('5C1Q_Advantage'!AL55+'5C1Q_Advantage'!AO55)</f>
        <v>0</v>
      </c>
      <c r="T55" s="355">
        <f>-('5C1R_Iberville'!AL55+'5C1R_Iberville'!AO55)</f>
        <v>0</v>
      </c>
      <c r="U55" s="355">
        <f>-('5C1S_LC Col Prep'!AL55+'5C1S_LC Col Prep'!AO55)</f>
        <v>0</v>
      </c>
      <c r="V55" s="355">
        <f>-('5C1T_Northeast'!AL55+'5C1T_Northeast'!AO55)</f>
        <v>0</v>
      </c>
      <c r="W55" s="355">
        <f>-('5C1U_Acadiana Ren'!AL55+'5C1U_Acadiana Ren'!AO55)</f>
        <v>-9786</v>
      </c>
      <c r="X55" s="355">
        <f>-('5C1V_Laf Ren'!AL55+'5C1V_Laf Ren'!AO55)</f>
        <v>-254436</v>
      </c>
      <c r="Y55" s="355">
        <f>-('5C1W_Willow'!AL55+'5C1W_Willow'!AO55)</f>
        <v>-88074</v>
      </c>
      <c r="Z55" s="355">
        <f>-('5C1Y_GEO'!AL55+'5C1Y_GEO'!AO55)</f>
        <v>0</v>
      </c>
      <c r="AA55" s="355">
        <f>-('5C1Z_Lincoln Prep'!AL55+'5C1Z_Lincoln Prep'!AO55)</f>
        <v>0</v>
      </c>
      <c r="AB55" s="355">
        <f>-('5C1AD_Greater'!$AL55+'5C1AD_Greater'!$AO55)</f>
        <v>0</v>
      </c>
      <c r="AC55" s="355">
        <f>-('5C1AE_Noble Minds'!$AL55+'5C1AE_Noble Minds'!$AO55)</f>
        <v>0</v>
      </c>
      <c r="AD55" s="355">
        <f>-('5C1AF_JCFA-Laf'!$AL55+'5C1AF_JCFA-Laf'!$AO55)</f>
        <v>-4194</v>
      </c>
      <c r="AE55" s="355">
        <f>-('5C1AG_Collegiate'!$AL55+'5C1AG_Collegiate'!$AO55)</f>
        <v>0</v>
      </c>
      <c r="AF55" s="355">
        <f>-('5C1AH_BRUP'!$AL55+'5C1AH_BRUP'!$AO55)</f>
        <v>0</v>
      </c>
      <c r="AG55" s="355">
        <f>-('5C1AI_Harmony'!$AL55+'5C1AI_Harmony'!$AO55)</f>
        <v>0</v>
      </c>
      <c r="AH55" s="355">
        <f>-('5C1AJ_Athlos'!$AL55+'5C1AJ_Athlos'!$AO55)</f>
        <v>0</v>
      </c>
      <c r="AI55" s="355">
        <f>-('5C1AK_NxtGen'!$AL55+'5C1AK_NxtGen'!$AO55)</f>
        <v>0</v>
      </c>
      <c r="AJ55" s="355">
        <f>-('5C1AL_Red River'!$AL55+'5C1AL_Red River'!$AO55)</f>
        <v>-2796</v>
      </c>
      <c r="AK55" s="355">
        <f>-('5C2_LAVCA'!AM55+'5C2_LAVCA'!AP55)</f>
        <v>-167341</v>
      </c>
      <c r="AL55" s="355">
        <f>-('5C3_UnvView'!AM55+'5C3_UnvView'!AP55)</f>
        <v>-156257</v>
      </c>
      <c r="AM55" s="356">
        <f t="shared" si="4"/>
        <v>-1371480</v>
      </c>
      <c r="AN55" s="357">
        <f t="shared" si="5"/>
        <v>75736406</v>
      </c>
    </row>
    <row r="56" spans="1:40" ht="15.6" customHeight="1" x14ac:dyDescent="0.2">
      <c r="A56" s="358">
        <v>50</v>
      </c>
      <c r="B56" s="359" t="s">
        <v>53</v>
      </c>
      <c r="C56" s="360">
        <f>'2_State Distrib and Adjs'!BD56</f>
        <v>43989841</v>
      </c>
      <c r="D56" s="360">
        <f>-'5A3_OJJ'!P56</f>
        <v>0</v>
      </c>
      <c r="E56" s="360"/>
      <c r="F56" s="360">
        <f>-('5C1A_Madison'!AL56+'5C1A_Madison'!AO56)</f>
        <v>0</v>
      </c>
      <c r="G56" s="360">
        <f>-('5C1B_DArbonne'!AL56+'5C1B_DArbonne'!AO56)</f>
        <v>0</v>
      </c>
      <c r="H56" s="360">
        <f>-('5C1C_Intl High'!AL56+'5C1C_Intl High'!AO56)</f>
        <v>0</v>
      </c>
      <c r="I56" s="360">
        <f>-('5C1D_NOMMA'!AL56+'5C1D_NOMMA'!AO56)</f>
        <v>0</v>
      </c>
      <c r="J56" s="360">
        <f>-('5C1E_LFNO'!AL56+'5C1E_LFNO'!AO56)</f>
        <v>0</v>
      </c>
      <c r="K56" s="360">
        <f>-('5C1F_L.C. Charter'!AL56+'5C1F_L.C. Charter'!AO56)</f>
        <v>0</v>
      </c>
      <c r="L56" s="360">
        <f>-('5C1G_JS Clark'!AL56+'5C1G_JS Clark'!AO56)</f>
        <v>0</v>
      </c>
      <c r="M56" s="360">
        <f>-('5C1H_Southwest'!AL56+'5C1H_Southwest'!AO56)</f>
        <v>0</v>
      </c>
      <c r="N56" s="360">
        <f>-('5C1I_LA Key'!AL56+'5C1I_LA Key'!AO56)</f>
        <v>0</v>
      </c>
      <c r="O56" s="360">
        <f>-('5C1J_JCFA-East'!AL56+'5C1J_JCFA-East'!AO56)</f>
        <v>0</v>
      </c>
      <c r="P56" s="360">
        <f>-('5C1M_GEO Mid'!AL56+'5C1M_GEO Mid'!AO56)</f>
        <v>0</v>
      </c>
      <c r="Q56" s="360">
        <f>-('5C1N_Delta'!AL56+'5C1N_Delta'!AO56)</f>
        <v>0</v>
      </c>
      <c r="R56" s="360">
        <f>-('5C1O_Impact'!AL56+'5C1O_Impact'!AO56)</f>
        <v>0</v>
      </c>
      <c r="S56" s="360">
        <f>-('5C1Q_Advantage'!AL56+'5C1Q_Advantage'!AO56)</f>
        <v>0</v>
      </c>
      <c r="T56" s="360">
        <f>-('5C1R_Iberville'!AL56+'5C1R_Iberville'!AO56)</f>
        <v>0</v>
      </c>
      <c r="U56" s="360">
        <f>-('5C1S_LC Col Prep'!AL56+'5C1S_LC Col Prep'!AO56)</f>
        <v>0</v>
      </c>
      <c r="V56" s="360">
        <f>-('5C1T_Northeast'!AL56+'5C1T_Northeast'!AO56)</f>
        <v>0</v>
      </c>
      <c r="W56" s="360">
        <f>-('5C1U_Acadiana Ren'!AL56+'5C1U_Acadiana Ren'!AO56)</f>
        <v>-195177</v>
      </c>
      <c r="X56" s="360">
        <f>-('5C1V_Laf Ren'!AL56+'5C1V_Laf Ren'!AO56)</f>
        <v>-166475</v>
      </c>
      <c r="Y56" s="360">
        <f>-('5C1W_Willow'!AL56+'5C1W_Willow'!AO56)</f>
        <v>-84194</v>
      </c>
      <c r="Z56" s="360">
        <f>-('5C1Y_GEO'!AL56+'5C1Y_GEO'!AO56)</f>
        <v>0</v>
      </c>
      <c r="AA56" s="360">
        <f>-('5C1Z_Lincoln Prep'!AL56+'5C1Z_Lincoln Prep'!AO56)</f>
        <v>0</v>
      </c>
      <c r="AB56" s="360">
        <f>-('5C1AD_Greater'!$AL56+'5C1AD_Greater'!$AO56)</f>
        <v>0</v>
      </c>
      <c r="AC56" s="360">
        <f>-('5C1AE_Noble Minds'!$AL56+'5C1AE_Noble Minds'!$AO56)</f>
        <v>0</v>
      </c>
      <c r="AD56" s="360">
        <f>-('5C1AF_JCFA-Laf'!$AL56+'5C1AF_JCFA-Laf'!$AO56)</f>
        <v>-7654</v>
      </c>
      <c r="AE56" s="360">
        <f>-('5C1AG_Collegiate'!$AL56+'5C1AG_Collegiate'!$AO56)</f>
        <v>0</v>
      </c>
      <c r="AF56" s="360">
        <f>-('5C1AH_BRUP'!$AL56+'5C1AH_BRUP'!$AO56)</f>
        <v>0</v>
      </c>
      <c r="AG56" s="657">
        <f>-('5C1AI_Harmony'!$AL56+'5C1AI_Harmony'!$AO56)</f>
        <v>0</v>
      </c>
      <c r="AH56" s="657">
        <f>-('5C1AJ_Athlos'!$AL56+'5C1AJ_Athlos'!$AO56)</f>
        <v>0</v>
      </c>
      <c r="AI56" s="892">
        <f>-('5C1AK_NxtGen'!$AL56+'5C1AK_NxtGen'!$AO56)</f>
        <v>0</v>
      </c>
      <c r="AJ56" s="892">
        <f>-('5C1AL_Red River'!$AL56+'5C1AL_Red River'!$AO56)</f>
        <v>0</v>
      </c>
      <c r="AK56" s="360">
        <f>-('5C2_LAVCA'!AM56+'5C2_LAVCA'!AP56)</f>
        <v>-86108</v>
      </c>
      <c r="AL56" s="360">
        <f>-('5C3_UnvView'!AM56+'5C3_UnvView'!AP56)</f>
        <v>-36519</v>
      </c>
      <c r="AM56" s="361">
        <f t="shared" si="4"/>
        <v>-576127</v>
      </c>
      <c r="AN56" s="362">
        <f t="shared" si="5"/>
        <v>43413714</v>
      </c>
    </row>
    <row r="57" spans="1:40" ht="15.6" customHeight="1" x14ac:dyDescent="0.2">
      <c r="A57" s="347">
        <v>51</v>
      </c>
      <c r="B57" s="348" t="s">
        <v>54</v>
      </c>
      <c r="C57" s="349">
        <f>'2_State Distrib and Adjs'!BD57</f>
        <v>50468303</v>
      </c>
      <c r="D57" s="349">
        <f>-'5A3_OJJ'!P57</f>
        <v>0</v>
      </c>
      <c r="E57" s="349"/>
      <c r="F57" s="349">
        <f>-('5C1A_Madison'!AL57+'5C1A_Madison'!AO57)</f>
        <v>0</v>
      </c>
      <c r="G57" s="349">
        <f>-('5C1B_DArbonne'!AL57+'5C1B_DArbonne'!AO57)</f>
        <v>0</v>
      </c>
      <c r="H57" s="349">
        <f>-('5C1C_Intl High'!AL57+'5C1C_Intl High'!AO57)</f>
        <v>0</v>
      </c>
      <c r="I57" s="349">
        <f>-('5C1D_NOMMA'!AL57+'5C1D_NOMMA'!AO57)</f>
        <v>0</v>
      </c>
      <c r="J57" s="349">
        <f>-('5C1E_LFNO'!AL57+'5C1E_LFNO'!AO57)</f>
        <v>0</v>
      </c>
      <c r="K57" s="349">
        <f>-('5C1F_L.C. Charter'!AL57+'5C1F_L.C. Charter'!AO57)</f>
        <v>0</v>
      </c>
      <c r="L57" s="349">
        <f>-('5C1G_JS Clark'!AL57+'5C1G_JS Clark'!AO57)</f>
        <v>0</v>
      </c>
      <c r="M57" s="349">
        <f>-('5C1H_Southwest'!AL57+'5C1H_Southwest'!AO57)</f>
        <v>0</v>
      </c>
      <c r="N57" s="349">
        <f>-('5C1I_LA Key'!AL57+'5C1I_LA Key'!AO57)</f>
        <v>0</v>
      </c>
      <c r="O57" s="349">
        <f>-('5C1J_JCFA-East'!AL57+'5C1J_JCFA-East'!AO57)</f>
        <v>0</v>
      </c>
      <c r="P57" s="349">
        <f>-('5C1M_GEO Mid'!AL57+'5C1M_GEO Mid'!AO57)</f>
        <v>0</v>
      </c>
      <c r="Q57" s="349">
        <f>-('5C1N_Delta'!AL57+'5C1N_Delta'!AO57)</f>
        <v>0</v>
      </c>
      <c r="R57" s="349">
        <f>-('5C1O_Impact'!AL57+'5C1O_Impact'!AO57)</f>
        <v>0</v>
      </c>
      <c r="S57" s="349">
        <f>-('5C1Q_Advantage'!AL57+'5C1Q_Advantage'!AO57)</f>
        <v>0</v>
      </c>
      <c r="T57" s="349">
        <f>-('5C1R_Iberville'!AL57+'5C1R_Iberville'!AO57)</f>
        <v>0</v>
      </c>
      <c r="U57" s="349">
        <f>-('5C1S_LC Col Prep'!AL57+'5C1S_LC Col Prep'!AO57)</f>
        <v>0</v>
      </c>
      <c r="V57" s="349">
        <f>-('5C1T_Northeast'!AL57+'5C1T_Northeast'!AO57)</f>
        <v>0</v>
      </c>
      <c r="W57" s="349">
        <f>-('5C1U_Acadiana Ren'!AL57+'5C1U_Acadiana Ren'!AO57)</f>
        <v>0</v>
      </c>
      <c r="X57" s="349">
        <f>-('5C1V_Laf Ren'!AL57+'5C1V_Laf Ren'!AO57)</f>
        <v>0</v>
      </c>
      <c r="Y57" s="349">
        <f>-('5C1W_Willow'!AL57+'5C1W_Willow'!AO57)</f>
        <v>0</v>
      </c>
      <c r="Z57" s="349">
        <f>-('5C1Y_GEO'!AL57+'5C1Y_GEO'!AO57)</f>
        <v>0</v>
      </c>
      <c r="AA57" s="350">
        <f>-('5C1Z_Lincoln Prep'!AL57+'5C1Z_Lincoln Prep'!AO57)</f>
        <v>0</v>
      </c>
      <c r="AB57" s="350">
        <f>-('5C1AD_Greater'!$AL57+'5C1AD_Greater'!$AO57)</f>
        <v>0</v>
      </c>
      <c r="AC57" s="350">
        <f>-('5C1AE_Noble Minds'!$AL57+'5C1AE_Noble Minds'!$AO57)</f>
        <v>0</v>
      </c>
      <c r="AD57" s="350">
        <f>-('5C1AF_JCFA-Laf'!$AL57+'5C1AF_JCFA-Laf'!$AO57)</f>
        <v>0</v>
      </c>
      <c r="AE57" s="350">
        <f>-('5C1AG_Collegiate'!$AL57+'5C1AG_Collegiate'!$AO57)</f>
        <v>0</v>
      </c>
      <c r="AF57" s="350">
        <f>-('5C1AH_BRUP'!$AL57+'5C1AH_BRUP'!$AO57)</f>
        <v>0</v>
      </c>
      <c r="AG57" s="656">
        <f>-('5C1AI_Harmony'!$AL57+'5C1AI_Harmony'!$AO57)</f>
        <v>0</v>
      </c>
      <c r="AH57" s="656">
        <f>-('5C1AJ_Athlos'!$AL57+'5C1AJ_Athlos'!$AO57)</f>
        <v>0</v>
      </c>
      <c r="AI57" s="656">
        <f>-('5C1AK_NxtGen'!$AL57+'5C1AK_NxtGen'!$AO57)</f>
        <v>0</v>
      </c>
      <c r="AJ57" s="656">
        <f>-('5C1AL_Red River'!$AL57+'5C1AL_Red River'!$AO57)</f>
        <v>0</v>
      </c>
      <c r="AK57" s="349">
        <f>-('5C2_LAVCA'!AM57+'5C2_LAVCA'!AP57)</f>
        <v>-40932</v>
      </c>
      <c r="AL57" s="349">
        <f>-('5C3_UnvView'!AM57+'5C3_UnvView'!AP57)</f>
        <v>-83915</v>
      </c>
      <c r="AM57" s="351">
        <f t="shared" si="4"/>
        <v>-124847</v>
      </c>
      <c r="AN57" s="352">
        <f t="shared" si="5"/>
        <v>50343456</v>
      </c>
    </row>
    <row r="58" spans="1:40" ht="15.6" customHeight="1" x14ac:dyDescent="0.2">
      <c r="A58" s="353">
        <v>52</v>
      </c>
      <c r="B58" s="354" t="s">
        <v>55</v>
      </c>
      <c r="C58" s="355">
        <f>'2_State Distrib and Adjs'!BD58</f>
        <v>228726649</v>
      </c>
      <c r="D58" s="355">
        <f>-'5A3_OJJ'!P58</f>
        <v>-10248</v>
      </c>
      <c r="E58" s="355"/>
      <c r="F58" s="355">
        <f>-('5C1A_Madison'!AL58+'5C1A_Madison'!AO58)</f>
        <v>0</v>
      </c>
      <c r="G58" s="355">
        <f>-('5C1B_DArbonne'!AL58+'5C1B_DArbonne'!AO58)</f>
        <v>0</v>
      </c>
      <c r="H58" s="355">
        <f>-('5C1C_Intl High'!AL58+'5C1C_Intl High'!AO58)</f>
        <v>-12192</v>
      </c>
      <c r="I58" s="355">
        <f>-('5C1D_NOMMA'!AL58+'5C1D_NOMMA'!AO58)</f>
        <v>-15240</v>
      </c>
      <c r="J58" s="355">
        <f>-('5C1E_LFNO'!AL58+'5C1E_LFNO'!AO58)</f>
        <v>-48768</v>
      </c>
      <c r="K58" s="355">
        <f>-('5C1F_L.C. Charter'!AL58+'5C1F_L.C. Charter'!AO58)</f>
        <v>0</v>
      </c>
      <c r="L58" s="355">
        <f>-('5C1G_JS Clark'!AL58+'5C1G_JS Clark'!AO58)</f>
        <v>0</v>
      </c>
      <c r="M58" s="355">
        <f>-('5C1H_Southwest'!AL58+'5C1H_Southwest'!AO58)</f>
        <v>0</v>
      </c>
      <c r="N58" s="355">
        <f>-('5C1I_LA Key'!AL58+'5C1I_LA Key'!AO58)</f>
        <v>-6096</v>
      </c>
      <c r="O58" s="355">
        <f>-('5C1J_JCFA-East'!AL58+'5C1J_JCFA-East'!AO58)</f>
        <v>-15240</v>
      </c>
      <c r="P58" s="355">
        <f>-('5C1M_GEO Mid'!AL58+'5C1M_GEO Mid'!AO58)</f>
        <v>0</v>
      </c>
      <c r="Q58" s="355">
        <f>-('5C1N_Delta'!AL58+'5C1N_Delta'!AO58)</f>
        <v>0</v>
      </c>
      <c r="R58" s="355">
        <f>-('5C1O_Impact'!AL58+'5C1O_Impact'!AO58)</f>
        <v>0</v>
      </c>
      <c r="S58" s="355">
        <f>-('5C1Q_Advantage'!AL58+'5C1Q_Advantage'!AO58)</f>
        <v>0</v>
      </c>
      <c r="T58" s="355">
        <f>-('5C1R_Iberville'!AL58+'5C1R_Iberville'!AO58)</f>
        <v>0</v>
      </c>
      <c r="U58" s="355">
        <f>-('5C1S_LC Col Prep'!AL58+'5C1S_LC Col Prep'!AO58)</f>
        <v>0</v>
      </c>
      <c r="V58" s="355">
        <f>-('5C1T_Northeast'!AL58+'5C1T_Northeast'!AO58)</f>
        <v>0</v>
      </c>
      <c r="W58" s="355">
        <f>-('5C1U_Acadiana Ren'!AL58+'5C1U_Acadiana Ren'!AO58)</f>
        <v>0</v>
      </c>
      <c r="X58" s="355">
        <f>-('5C1V_Laf Ren'!AL58+'5C1V_Laf Ren'!AO58)</f>
        <v>0</v>
      </c>
      <c r="Y58" s="355">
        <f>-('5C1W_Willow'!AL58+'5C1W_Willow'!AO58)</f>
        <v>0</v>
      </c>
      <c r="Z58" s="355">
        <f>-('5C1Y_GEO'!AL58+'5C1Y_GEO'!AO58)</f>
        <v>0</v>
      </c>
      <c r="AA58" s="355">
        <f>-('5C1Z_Lincoln Prep'!AL58+'5C1Z_Lincoln Prep'!AO58)</f>
        <v>0</v>
      </c>
      <c r="AB58" s="355">
        <f>-('5C1AD_Greater'!$AL58+'5C1AD_Greater'!$AO58)</f>
        <v>0</v>
      </c>
      <c r="AC58" s="355">
        <f>-('5C1AE_Noble Minds'!$AL58+'5C1AE_Noble Minds'!$AO58)</f>
        <v>0</v>
      </c>
      <c r="AD58" s="355">
        <f>-('5C1AF_JCFA-Laf'!$AL58+'5C1AF_JCFA-Laf'!$AO58)</f>
        <v>0</v>
      </c>
      <c r="AE58" s="355">
        <f>-('5C1AG_Collegiate'!$AL58+'5C1AG_Collegiate'!$AO58)</f>
        <v>0</v>
      </c>
      <c r="AF58" s="355">
        <f>-('5C1AH_BRUP'!$AL58+'5C1AH_BRUP'!$AO58)</f>
        <v>0</v>
      </c>
      <c r="AG58" s="355">
        <f>-('5C1AI_Harmony'!$AL58+'5C1AI_Harmony'!$AO58)</f>
        <v>0</v>
      </c>
      <c r="AH58" s="355">
        <f>-('5C1AJ_Athlos'!$AL58+'5C1AJ_Athlos'!$AO58)</f>
        <v>0</v>
      </c>
      <c r="AI58" s="355">
        <f>-('5C1AK_NxtGen'!$AL58+'5C1AK_NxtGen'!$AO58)</f>
        <v>0</v>
      </c>
      <c r="AJ58" s="355">
        <f>-('5C1AL_Red River'!$AL58+'5C1AL_Red River'!$AO58)</f>
        <v>0</v>
      </c>
      <c r="AK58" s="355">
        <f>-('5C2_LAVCA'!AM58+'5C2_LAVCA'!AP58)</f>
        <v>-611734</v>
      </c>
      <c r="AL58" s="355">
        <f>-('5C3_UnvView'!AM58+'5C3_UnvView'!AP58)</f>
        <v>-1652052</v>
      </c>
      <c r="AM58" s="356">
        <f t="shared" si="4"/>
        <v>-2371570</v>
      </c>
      <c r="AN58" s="357">
        <f t="shared" si="5"/>
        <v>226355079</v>
      </c>
    </row>
    <row r="59" spans="1:40" ht="15.6" customHeight="1" x14ac:dyDescent="0.2">
      <c r="A59" s="353">
        <v>53</v>
      </c>
      <c r="B59" s="354" t="s">
        <v>56</v>
      </c>
      <c r="C59" s="355">
        <f>'2_State Distrib and Adjs'!BD59</f>
        <v>117590693</v>
      </c>
      <c r="D59" s="355">
        <f>-'5A3_OJJ'!P59</f>
        <v>-2801</v>
      </c>
      <c r="E59" s="355"/>
      <c r="F59" s="355">
        <f>-('5C1A_Madison'!AL59+'5C1A_Madison'!AO59)</f>
        <v>-2693</v>
      </c>
      <c r="G59" s="355">
        <f>-('5C1B_DArbonne'!AL59+'5C1B_DArbonne'!AO59)</f>
        <v>0</v>
      </c>
      <c r="H59" s="355">
        <f>-('5C1C_Intl High'!AL59+'5C1C_Intl High'!AO59)</f>
        <v>0</v>
      </c>
      <c r="I59" s="355">
        <f>-('5C1D_NOMMA'!AL59+'5C1D_NOMMA'!AO59)</f>
        <v>-1347</v>
      </c>
      <c r="J59" s="355">
        <f>-('5C1E_LFNO'!AL59+'5C1E_LFNO'!AO59)</f>
        <v>0</v>
      </c>
      <c r="K59" s="355">
        <f>-('5C1F_L.C. Charter'!AL59+'5C1F_L.C. Charter'!AO59)</f>
        <v>0</v>
      </c>
      <c r="L59" s="355">
        <f>-('5C1G_JS Clark'!AL59+'5C1G_JS Clark'!AO59)</f>
        <v>0</v>
      </c>
      <c r="M59" s="355">
        <f>-('5C1H_Southwest'!AL59+'5C1H_Southwest'!AO59)</f>
        <v>0</v>
      </c>
      <c r="N59" s="355">
        <f>-('5C1I_LA Key'!AL59+'5C1I_LA Key'!AO59)</f>
        <v>0</v>
      </c>
      <c r="O59" s="355">
        <f>-('5C1J_JCFA-East'!AL59+'5C1J_JCFA-East'!AO59)</f>
        <v>0</v>
      </c>
      <c r="P59" s="355">
        <f>-('5C1M_GEO Mid'!AL59+'5C1M_GEO Mid'!AO59)</f>
        <v>0</v>
      </c>
      <c r="Q59" s="355">
        <f>-('5C1N_Delta'!AL59+'5C1N_Delta'!AO59)</f>
        <v>0</v>
      </c>
      <c r="R59" s="355">
        <f>-('5C1O_Impact'!AL59+'5C1O_Impact'!AO59)</f>
        <v>0</v>
      </c>
      <c r="S59" s="355">
        <f>-('5C1Q_Advantage'!AL59+'5C1Q_Advantage'!AO59)</f>
        <v>0</v>
      </c>
      <c r="T59" s="355">
        <f>-('5C1R_Iberville'!AL59+'5C1R_Iberville'!AO59)</f>
        <v>0</v>
      </c>
      <c r="U59" s="355">
        <f>-('5C1S_LC Col Prep'!AL59+'5C1S_LC Col Prep'!AO59)</f>
        <v>0</v>
      </c>
      <c r="V59" s="355">
        <f>-('5C1T_Northeast'!AL59+'5C1T_Northeast'!AO59)</f>
        <v>0</v>
      </c>
      <c r="W59" s="355">
        <f>-('5C1U_Acadiana Ren'!AL59+'5C1U_Acadiana Ren'!AO59)</f>
        <v>0</v>
      </c>
      <c r="X59" s="355">
        <f>-('5C1V_Laf Ren'!AL59+'5C1V_Laf Ren'!AO59)</f>
        <v>0</v>
      </c>
      <c r="Y59" s="355">
        <f>-('5C1W_Willow'!AL59+'5C1W_Willow'!AO59)</f>
        <v>0</v>
      </c>
      <c r="Z59" s="355">
        <f>-('5C1Y_GEO'!AL59+'5C1Y_GEO'!AO59)</f>
        <v>0</v>
      </c>
      <c r="AA59" s="355">
        <f>-('5C1Z_Lincoln Prep'!AL59+'5C1Z_Lincoln Prep'!AO59)</f>
        <v>0</v>
      </c>
      <c r="AB59" s="355">
        <f>-('5C1AD_Greater'!$AL59+'5C1AD_Greater'!$AO59)</f>
        <v>0</v>
      </c>
      <c r="AC59" s="355">
        <f>-('5C1AE_Noble Minds'!$AL59+'5C1AE_Noble Minds'!$AO59)</f>
        <v>-1347</v>
      </c>
      <c r="AD59" s="355">
        <f>-('5C1AF_JCFA-Laf'!$AL59+'5C1AF_JCFA-Laf'!$AO59)</f>
        <v>0</v>
      </c>
      <c r="AE59" s="355">
        <f>-('5C1AG_Collegiate'!$AL59+'5C1AG_Collegiate'!$AO59)</f>
        <v>0</v>
      </c>
      <c r="AF59" s="355">
        <f>-('5C1AH_BRUP'!$AL59+'5C1AH_BRUP'!$AO59)</f>
        <v>0</v>
      </c>
      <c r="AG59" s="355">
        <f>-('5C1AI_Harmony'!$AL59+'5C1AI_Harmony'!$AO59)</f>
        <v>0</v>
      </c>
      <c r="AH59" s="355">
        <f>-('5C1AJ_Athlos'!$AL59+'5C1AJ_Athlos'!$AO59)</f>
        <v>0</v>
      </c>
      <c r="AI59" s="355">
        <f>-('5C1AK_NxtGen'!$AL59+'5C1AK_NxtGen'!$AO59)</f>
        <v>0</v>
      </c>
      <c r="AJ59" s="355">
        <f>-('5C1AL_Red River'!$AL59+'5C1AL_Red River'!$AO59)</f>
        <v>0</v>
      </c>
      <c r="AK59" s="355">
        <f>-('5C2_LAVCA'!AM59+'5C2_LAVCA'!AP59)</f>
        <v>-184202</v>
      </c>
      <c r="AL59" s="355">
        <f>-('5C3_UnvView'!AM59+'5C3_UnvView'!AP59)</f>
        <v>-482442</v>
      </c>
      <c r="AM59" s="356">
        <f t="shared" si="4"/>
        <v>-674832</v>
      </c>
      <c r="AN59" s="357">
        <f t="shared" si="5"/>
        <v>116915861</v>
      </c>
    </row>
    <row r="60" spans="1:40" ht="15.6" customHeight="1" x14ac:dyDescent="0.2">
      <c r="A60" s="353">
        <v>54</v>
      </c>
      <c r="B60" s="354" t="s">
        <v>57</v>
      </c>
      <c r="C60" s="355">
        <f>'2_State Distrib and Adjs'!BD60</f>
        <v>2745459</v>
      </c>
      <c r="D60" s="355">
        <f>-'5A3_OJJ'!P60</f>
        <v>0</v>
      </c>
      <c r="E60" s="355"/>
      <c r="F60" s="355">
        <f>-('5C1A_Madison'!AL60+'5C1A_Madison'!AO60)</f>
        <v>0</v>
      </c>
      <c r="G60" s="355">
        <f>-('5C1B_DArbonne'!AL60+'5C1B_DArbonne'!AO60)</f>
        <v>0</v>
      </c>
      <c r="H60" s="355">
        <f>-('5C1C_Intl High'!AL60+'5C1C_Intl High'!AO60)</f>
        <v>0</v>
      </c>
      <c r="I60" s="355">
        <f>-('5C1D_NOMMA'!AL60+'5C1D_NOMMA'!AO60)</f>
        <v>0</v>
      </c>
      <c r="J60" s="355">
        <f>-('5C1E_LFNO'!AL60+'5C1E_LFNO'!AO60)</f>
        <v>0</v>
      </c>
      <c r="K60" s="355">
        <f>-('5C1F_L.C. Charter'!AL60+'5C1F_L.C. Charter'!AO60)</f>
        <v>0</v>
      </c>
      <c r="L60" s="355">
        <f>-('5C1G_JS Clark'!AL60+'5C1G_JS Clark'!AO60)</f>
        <v>0</v>
      </c>
      <c r="M60" s="355">
        <f>-('5C1H_Southwest'!AL60+'5C1H_Southwest'!AO60)</f>
        <v>0</v>
      </c>
      <c r="N60" s="355">
        <f>-('5C1I_LA Key'!AL60+'5C1I_LA Key'!AO60)</f>
        <v>0</v>
      </c>
      <c r="O60" s="355">
        <f>-('5C1J_JCFA-East'!AL60+'5C1J_JCFA-East'!AO60)</f>
        <v>0</v>
      </c>
      <c r="P60" s="355">
        <f>-('5C1M_GEO Mid'!AL60+'5C1M_GEO Mid'!AO60)</f>
        <v>0</v>
      </c>
      <c r="Q60" s="355">
        <f>-('5C1N_Delta'!AL60+'5C1N_Delta'!AO60)</f>
        <v>-274050</v>
      </c>
      <c r="R60" s="355">
        <f>-('5C1O_Impact'!AL60+'5C1O_Impact'!AO60)</f>
        <v>0</v>
      </c>
      <c r="S60" s="355">
        <f>-('5C1Q_Advantage'!AL60+'5C1Q_Advantage'!AO60)</f>
        <v>0</v>
      </c>
      <c r="T60" s="355">
        <f>-('5C1R_Iberville'!AL60+'5C1R_Iberville'!AO60)</f>
        <v>0</v>
      </c>
      <c r="U60" s="355">
        <f>-('5C1S_LC Col Prep'!AL60+'5C1S_LC Col Prep'!AO60)</f>
        <v>0</v>
      </c>
      <c r="V60" s="355">
        <f>-('5C1T_Northeast'!AL60+'5C1T_Northeast'!AO60)</f>
        <v>0</v>
      </c>
      <c r="W60" s="355">
        <f>-('5C1U_Acadiana Ren'!AL60+'5C1U_Acadiana Ren'!AO60)</f>
        <v>0</v>
      </c>
      <c r="X60" s="355">
        <f>-('5C1V_Laf Ren'!AL60+'5C1V_Laf Ren'!AO60)</f>
        <v>0</v>
      </c>
      <c r="Y60" s="355">
        <f>-('5C1W_Willow'!AL60+'5C1W_Willow'!AO60)</f>
        <v>0</v>
      </c>
      <c r="Z60" s="355">
        <f>-('5C1Y_GEO'!AL60+'5C1Y_GEO'!AO60)</f>
        <v>0</v>
      </c>
      <c r="AA60" s="355">
        <f>-('5C1Z_Lincoln Prep'!AL60+'5C1Z_Lincoln Prep'!AO60)</f>
        <v>0</v>
      </c>
      <c r="AB60" s="355">
        <f>-('5C1AD_Greater'!$AL60+'5C1AD_Greater'!$AO60)</f>
        <v>0</v>
      </c>
      <c r="AC60" s="355">
        <f>-('5C1AE_Noble Minds'!$AL60+'5C1AE_Noble Minds'!$AO60)</f>
        <v>0</v>
      </c>
      <c r="AD60" s="355">
        <f>-('5C1AF_JCFA-Laf'!$AL60+'5C1AF_JCFA-Laf'!$AO60)</f>
        <v>0</v>
      </c>
      <c r="AE60" s="355">
        <f>-('5C1AG_Collegiate'!$AL60+'5C1AG_Collegiate'!$AO60)</f>
        <v>0</v>
      </c>
      <c r="AF60" s="355">
        <f>-('5C1AH_BRUP'!$AL60+'5C1AH_BRUP'!$AO60)</f>
        <v>0</v>
      </c>
      <c r="AG60" s="355">
        <f>-('5C1AI_Harmony'!$AL60+'5C1AI_Harmony'!$AO60)</f>
        <v>0</v>
      </c>
      <c r="AH60" s="355">
        <f>-('5C1AJ_Athlos'!$AL60+'5C1AJ_Athlos'!$AO60)</f>
        <v>0</v>
      </c>
      <c r="AI60" s="355">
        <f>-('5C1AK_NxtGen'!$AL60+'5C1AK_NxtGen'!$AO60)</f>
        <v>0</v>
      </c>
      <c r="AJ60" s="355">
        <f>-('5C1AL_Red River'!$AL60+'5C1AL_Red River'!$AO60)</f>
        <v>0</v>
      </c>
      <c r="AK60" s="355">
        <f>-('5C2_LAVCA'!AM60+'5C2_LAVCA'!AP60)</f>
        <v>-28350</v>
      </c>
      <c r="AL60" s="355">
        <f>-('5C3_UnvView'!AM60+'5C3_UnvView'!AP60)</f>
        <v>-45360</v>
      </c>
      <c r="AM60" s="356">
        <f t="shared" si="4"/>
        <v>-347760</v>
      </c>
      <c r="AN60" s="357">
        <f t="shared" si="5"/>
        <v>2397699</v>
      </c>
    </row>
    <row r="61" spans="1:40" ht="15.6" customHeight="1" x14ac:dyDescent="0.2">
      <c r="A61" s="358">
        <v>55</v>
      </c>
      <c r="B61" s="359" t="s">
        <v>58</v>
      </c>
      <c r="C61" s="360">
        <f>'2_State Distrib and Adjs'!BD61</f>
        <v>94282741</v>
      </c>
      <c r="D61" s="360">
        <f>-'5A3_OJJ'!P61</f>
        <v>-18204</v>
      </c>
      <c r="E61" s="360"/>
      <c r="F61" s="360">
        <f>-('5C1A_Madison'!AL61+'5C1A_Madison'!AO61)</f>
        <v>0</v>
      </c>
      <c r="G61" s="360">
        <f>-('5C1B_DArbonne'!AL61+'5C1B_DArbonne'!AO61)</f>
        <v>0</v>
      </c>
      <c r="H61" s="360">
        <f>-('5C1C_Intl High'!AL61+'5C1C_Intl High'!AO61)</f>
        <v>0</v>
      </c>
      <c r="I61" s="360">
        <f>-('5C1D_NOMMA'!AL61+'5C1D_NOMMA'!AO61)</f>
        <v>0</v>
      </c>
      <c r="J61" s="360">
        <f>-('5C1E_LFNO'!AL61+'5C1E_LFNO'!AO61)</f>
        <v>0</v>
      </c>
      <c r="K61" s="360">
        <f>-('5C1F_L.C. Charter'!AL61+'5C1F_L.C. Charter'!AO61)</f>
        <v>0</v>
      </c>
      <c r="L61" s="360">
        <f>-('5C1G_JS Clark'!AL61+'5C1G_JS Clark'!AO61)</f>
        <v>0</v>
      </c>
      <c r="M61" s="360">
        <f>-('5C1H_Southwest'!AL61+'5C1H_Southwest'!AO61)</f>
        <v>0</v>
      </c>
      <c r="N61" s="360">
        <f>-('5C1I_LA Key'!AL61+'5C1I_LA Key'!AO61)</f>
        <v>0</v>
      </c>
      <c r="O61" s="360">
        <f>-('5C1J_JCFA-East'!AL61+'5C1J_JCFA-East'!AO61)</f>
        <v>0</v>
      </c>
      <c r="P61" s="360">
        <f>-('5C1M_GEO Mid'!AL61+'5C1M_GEO Mid'!AO61)</f>
        <v>0</v>
      </c>
      <c r="Q61" s="360">
        <f>-('5C1N_Delta'!AL61+'5C1N_Delta'!AO61)</f>
        <v>0</v>
      </c>
      <c r="R61" s="360">
        <f>-('5C1O_Impact'!AL61+'5C1O_Impact'!AO61)</f>
        <v>0</v>
      </c>
      <c r="S61" s="360">
        <f>-('5C1Q_Advantage'!AL61+'5C1Q_Advantage'!AO61)</f>
        <v>0</v>
      </c>
      <c r="T61" s="360">
        <f>-('5C1R_Iberville'!AL61+'5C1R_Iberville'!AO61)</f>
        <v>-234702</v>
      </c>
      <c r="U61" s="360">
        <f>-('5C1S_LC Col Prep'!AL61+'5C1S_LC Col Prep'!AO61)</f>
        <v>0</v>
      </c>
      <c r="V61" s="360">
        <f>-('5C1T_Northeast'!AL61+'5C1T_Northeast'!AO61)</f>
        <v>0</v>
      </c>
      <c r="W61" s="360">
        <f>-('5C1U_Acadiana Ren'!AL61+'5C1U_Acadiana Ren'!AO61)</f>
        <v>-3978</v>
      </c>
      <c r="X61" s="360">
        <f>-('5C1V_Laf Ren'!AL61+'5C1V_Laf Ren'!AO61)</f>
        <v>0</v>
      </c>
      <c r="Y61" s="360">
        <f>-('5C1W_Willow'!AL61+'5C1W_Willow'!AO61)</f>
        <v>0</v>
      </c>
      <c r="Z61" s="360">
        <f>-('5C1Y_GEO'!AL61+'5C1Y_GEO'!AO61)</f>
        <v>0</v>
      </c>
      <c r="AA61" s="360">
        <f>-('5C1Z_Lincoln Prep'!AL61+'5C1Z_Lincoln Prep'!AO61)</f>
        <v>0</v>
      </c>
      <c r="AB61" s="360">
        <f>-('5C1AD_Greater'!$AL61+'5C1AD_Greater'!$AO61)</f>
        <v>0</v>
      </c>
      <c r="AC61" s="360">
        <f>-('5C1AE_Noble Minds'!$AL61+'5C1AE_Noble Minds'!$AO61)</f>
        <v>0</v>
      </c>
      <c r="AD61" s="360">
        <f>-('5C1AF_JCFA-Laf'!$AL61+'5C1AF_JCFA-Laf'!$AO61)</f>
        <v>0</v>
      </c>
      <c r="AE61" s="360">
        <f>-('5C1AG_Collegiate'!$AL61+'5C1AG_Collegiate'!$AO61)</f>
        <v>0</v>
      </c>
      <c r="AF61" s="360">
        <f>-('5C1AH_BRUP'!$AL61+'5C1AH_BRUP'!$AO61)</f>
        <v>0</v>
      </c>
      <c r="AG61" s="657">
        <f>-('5C1AI_Harmony'!$AL61+'5C1AI_Harmony'!$AO61)</f>
        <v>0</v>
      </c>
      <c r="AH61" s="657">
        <f>-('5C1AJ_Athlos'!$AL61+'5C1AJ_Athlos'!$AO61)</f>
        <v>0</v>
      </c>
      <c r="AI61" s="892">
        <f>-('5C1AK_NxtGen'!$AL61+'5C1AK_NxtGen'!$AO61)</f>
        <v>0</v>
      </c>
      <c r="AJ61" s="892">
        <f>-('5C1AL_Red River'!$AL61+'5C1AL_Red River'!$AO61)</f>
        <v>0</v>
      </c>
      <c r="AK61" s="360">
        <f>-('5C2_LAVCA'!AM61+'5C2_LAVCA'!AP61)</f>
        <v>-204072</v>
      </c>
      <c r="AL61" s="360">
        <f>-('5C3_UnvView'!AM61+'5C3_UnvView'!AP61)</f>
        <v>-373415</v>
      </c>
      <c r="AM61" s="361">
        <f t="shared" si="4"/>
        <v>-834371</v>
      </c>
      <c r="AN61" s="362">
        <f t="shared" si="5"/>
        <v>93448370</v>
      </c>
    </row>
    <row r="62" spans="1:40" ht="15.6" customHeight="1" x14ac:dyDescent="0.2">
      <c r="A62" s="347">
        <v>56</v>
      </c>
      <c r="B62" s="348" t="s">
        <v>59</v>
      </c>
      <c r="C62" s="349">
        <f>'2_State Distrib and Adjs'!BD62</f>
        <v>13940361</v>
      </c>
      <c r="D62" s="349">
        <f>-'5A3_OJJ'!P62</f>
        <v>0</v>
      </c>
      <c r="E62" s="349"/>
      <c r="F62" s="349">
        <f>-('5C1A_Madison'!AL62+'5C1A_Madison'!AO62)</f>
        <v>0</v>
      </c>
      <c r="G62" s="349">
        <f>-('5C1B_DArbonne'!AL62+'5C1B_DArbonne'!AO62)</f>
        <v>-3801625</v>
      </c>
      <c r="H62" s="349">
        <f>-('5C1C_Intl High'!AL62+'5C1C_Intl High'!AO62)</f>
        <v>0</v>
      </c>
      <c r="I62" s="349">
        <f>-('5C1D_NOMMA'!AL62+'5C1D_NOMMA'!AO62)</f>
        <v>0</v>
      </c>
      <c r="J62" s="349">
        <f>-('5C1E_LFNO'!AL62+'5C1E_LFNO'!AO62)</f>
        <v>0</v>
      </c>
      <c r="K62" s="349">
        <f>-('5C1F_L.C. Charter'!AL62+'5C1F_L.C. Charter'!AO62)</f>
        <v>0</v>
      </c>
      <c r="L62" s="349">
        <f>-('5C1G_JS Clark'!AL62+'5C1G_JS Clark'!AO62)</f>
        <v>0</v>
      </c>
      <c r="M62" s="349">
        <f>-('5C1H_Southwest'!AL62+'5C1H_Southwest'!AO62)</f>
        <v>0</v>
      </c>
      <c r="N62" s="349">
        <f>-('5C1I_LA Key'!AL62+'5C1I_LA Key'!AO62)</f>
        <v>0</v>
      </c>
      <c r="O62" s="349">
        <f>-('5C1J_JCFA-East'!AL62+'5C1J_JCFA-East'!AO62)</f>
        <v>0</v>
      </c>
      <c r="P62" s="349">
        <f>-('5C1M_GEO Mid'!AL62+'5C1M_GEO Mid'!AO62)</f>
        <v>0</v>
      </c>
      <c r="Q62" s="349">
        <f>-('5C1N_Delta'!AL62+'5C1N_Delta'!AO62)</f>
        <v>0</v>
      </c>
      <c r="R62" s="349">
        <f>-('5C1O_Impact'!AL62+'5C1O_Impact'!AO62)</f>
        <v>0</v>
      </c>
      <c r="S62" s="349">
        <f>-('5C1Q_Advantage'!AL62+'5C1Q_Advantage'!AO62)</f>
        <v>0</v>
      </c>
      <c r="T62" s="349">
        <f>-('5C1R_Iberville'!AL62+'5C1R_Iberville'!AO62)</f>
        <v>0</v>
      </c>
      <c r="U62" s="349">
        <f>-('5C1S_LC Col Prep'!AL62+'5C1S_LC Col Prep'!AO62)</f>
        <v>0</v>
      </c>
      <c r="V62" s="349">
        <f>-('5C1T_Northeast'!AL62+'5C1T_Northeast'!AO62)</f>
        <v>-556644</v>
      </c>
      <c r="W62" s="349">
        <f>-('5C1U_Acadiana Ren'!AL62+'5C1U_Acadiana Ren'!AO62)</f>
        <v>0</v>
      </c>
      <c r="X62" s="349">
        <f>-('5C1V_Laf Ren'!AL62+'5C1V_Laf Ren'!AO62)</f>
        <v>-2109</v>
      </c>
      <c r="Y62" s="349">
        <f>-('5C1W_Willow'!AL62+'5C1W_Willow'!AO62)</f>
        <v>0</v>
      </c>
      <c r="Z62" s="349">
        <f>-('5C1Y_GEO'!AL62+'5C1Y_GEO'!AO62)</f>
        <v>0</v>
      </c>
      <c r="AA62" s="350">
        <f>-('5C1Z_Lincoln Prep'!AL62+'5C1Z_Lincoln Prep'!AO62)</f>
        <v>-111750</v>
      </c>
      <c r="AB62" s="350">
        <f>-('5C1AD_Greater'!$AL62+'5C1AD_Greater'!$AO62)</f>
        <v>0</v>
      </c>
      <c r="AC62" s="350">
        <f>-('5C1AE_Noble Minds'!$AL62+'5C1AE_Noble Minds'!$AO62)</f>
        <v>0</v>
      </c>
      <c r="AD62" s="350">
        <f>-('5C1AF_JCFA-Laf'!$AL62+'5C1AF_JCFA-Laf'!$AO62)</f>
        <v>0</v>
      </c>
      <c r="AE62" s="350">
        <f>-('5C1AG_Collegiate'!$AL62+'5C1AG_Collegiate'!$AO62)</f>
        <v>0</v>
      </c>
      <c r="AF62" s="350">
        <f>-('5C1AH_BRUP'!$AL62+'5C1AH_BRUP'!$AO62)</f>
        <v>0</v>
      </c>
      <c r="AG62" s="656">
        <f>-('5C1AI_Harmony'!$AL62+'5C1AI_Harmony'!$AO62)</f>
        <v>0</v>
      </c>
      <c r="AH62" s="656">
        <f>-('5C1AJ_Athlos'!$AL62+'5C1AJ_Athlos'!$AO62)</f>
        <v>0</v>
      </c>
      <c r="AI62" s="656">
        <f>-('5C1AK_NxtGen'!$AL62+'5C1AK_NxtGen'!$AO62)</f>
        <v>0</v>
      </c>
      <c r="AJ62" s="656">
        <f>-('5C1AL_Red River'!$AL62+'5C1AL_Red River'!$AO62)</f>
        <v>0</v>
      </c>
      <c r="AK62" s="349">
        <f>-('5C2_LAVCA'!AM62+'5C2_LAVCA'!AP62)</f>
        <v>-34158</v>
      </c>
      <c r="AL62" s="349">
        <f>-('5C3_UnvView'!AM62+'5C3_UnvView'!AP62)</f>
        <v>-34158</v>
      </c>
      <c r="AM62" s="351">
        <f t="shared" si="4"/>
        <v>-4540444</v>
      </c>
      <c r="AN62" s="352">
        <f t="shared" si="5"/>
        <v>9399917</v>
      </c>
    </row>
    <row r="63" spans="1:40" ht="15.6" customHeight="1" x14ac:dyDescent="0.2">
      <c r="A63" s="353">
        <v>57</v>
      </c>
      <c r="B63" s="354" t="s">
        <v>60</v>
      </c>
      <c r="C63" s="355">
        <f>'2_State Distrib and Adjs'!BD63</f>
        <v>57943279</v>
      </c>
      <c r="D63" s="355">
        <f>-'5A3_OJJ'!P63</f>
        <v>0</v>
      </c>
      <c r="E63" s="355"/>
      <c r="F63" s="355">
        <f>-('5C1A_Madison'!AL63+'5C1A_Madison'!AO63)</f>
        <v>0</v>
      </c>
      <c r="G63" s="355">
        <f>-('5C1B_DArbonne'!AL63+'5C1B_DArbonne'!AO63)</f>
        <v>0</v>
      </c>
      <c r="H63" s="355">
        <f>-('5C1C_Intl High'!AL63+'5C1C_Intl High'!AO63)</f>
        <v>0</v>
      </c>
      <c r="I63" s="355">
        <f>-('5C1D_NOMMA'!AL63+'5C1D_NOMMA'!AO63)</f>
        <v>0</v>
      </c>
      <c r="J63" s="355">
        <f>-('5C1E_LFNO'!AL63+'5C1E_LFNO'!AO63)</f>
        <v>0</v>
      </c>
      <c r="K63" s="355">
        <f>-('5C1F_L.C. Charter'!AL63+'5C1F_L.C. Charter'!AO63)</f>
        <v>0</v>
      </c>
      <c r="L63" s="355">
        <f>-('5C1G_JS Clark'!AL63+'5C1G_JS Clark'!AO63)</f>
        <v>0</v>
      </c>
      <c r="M63" s="355">
        <f>-('5C1H_Southwest'!AL63+'5C1H_Southwest'!AO63)</f>
        <v>0</v>
      </c>
      <c r="N63" s="355">
        <f>-('5C1I_LA Key'!AL63+'5C1I_LA Key'!AO63)</f>
        <v>0</v>
      </c>
      <c r="O63" s="355">
        <f>-('5C1J_JCFA-East'!AL63+'5C1J_JCFA-East'!AO63)</f>
        <v>0</v>
      </c>
      <c r="P63" s="355">
        <f>-('5C1M_GEO Mid'!AL63+'5C1M_GEO Mid'!AO63)</f>
        <v>0</v>
      </c>
      <c r="Q63" s="355">
        <f>-('5C1N_Delta'!AL63+'5C1N_Delta'!AO63)</f>
        <v>0</v>
      </c>
      <c r="R63" s="355">
        <f>-('5C1O_Impact'!AL63+'5C1O_Impact'!AO63)</f>
        <v>0</v>
      </c>
      <c r="S63" s="355">
        <f>-('5C1Q_Advantage'!AL63+'5C1Q_Advantage'!AO63)</f>
        <v>0</v>
      </c>
      <c r="T63" s="355">
        <f>-('5C1R_Iberville'!AL63+'5C1R_Iberville'!AO63)</f>
        <v>0</v>
      </c>
      <c r="U63" s="355">
        <f>-('5C1S_LC Col Prep'!AL63+'5C1S_LC Col Prep'!AO63)</f>
        <v>0</v>
      </c>
      <c r="V63" s="355">
        <f>-('5C1T_Northeast'!AL63+'5C1T_Northeast'!AO63)</f>
        <v>0</v>
      </c>
      <c r="W63" s="355">
        <f>-('5C1U_Acadiana Ren'!AL63+'5C1U_Acadiana Ren'!AO63)</f>
        <v>-65025</v>
      </c>
      <c r="X63" s="355">
        <f>-('5C1V_Laf Ren'!AL63+'5C1V_Laf Ren'!AO63)</f>
        <v>-5202</v>
      </c>
      <c r="Y63" s="355">
        <f>-('5C1W_Willow'!AL63+'5C1W_Willow'!AO63)</f>
        <v>0</v>
      </c>
      <c r="Z63" s="355">
        <f>-('5C1Y_GEO'!AL63+'5C1Y_GEO'!AO63)</f>
        <v>0</v>
      </c>
      <c r="AA63" s="355">
        <f>-('5C1Z_Lincoln Prep'!AL63+'5C1Z_Lincoln Prep'!AO63)</f>
        <v>0</v>
      </c>
      <c r="AB63" s="355">
        <f>-('5C1AD_Greater'!$AL63+'5C1AD_Greater'!$AO63)</f>
        <v>0</v>
      </c>
      <c r="AC63" s="355">
        <f>-('5C1AE_Noble Minds'!$AL63+'5C1AE_Noble Minds'!$AO63)</f>
        <v>0</v>
      </c>
      <c r="AD63" s="355">
        <f>-('5C1AF_JCFA-Laf'!$AL63+'5C1AF_JCFA-Laf'!$AO63)</f>
        <v>-2601</v>
      </c>
      <c r="AE63" s="355">
        <f>-('5C1AG_Collegiate'!$AL63+'5C1AG_Collegiate'!$AO63)</f>
        <v>0</v>
      </c>
      <c r="AF63" s="355">
        <f>-('5C1AH_BRUP'!$AL63+'5C1AH_BRUP'!$AO63)</f>
        <v>0</v>
      </c>
      <c r="AG63" s="355">
        <f>-('5C1AI_Harmony'!$AL63+'5C1AI_Harmony'!$AO63)</f>
        <v>0</v>
      </c>
      <c r="AH63" s="355">
        <f>-('5C1AJ_Athlos'!$AL63+'5C1AJ_Athlos'!$AO63)</f>
        <v>0</v>
      </c>
      <c r="AI63" s="355">
        <f>-('5C1AK_NxtGen'!$AL63+'5C1AK_NxtGen'!$AO63)</f>
        <v>0</v>
      </c>
      <c r="AJ63" s="355">
        <f>-('5C1AL_Red River'!$AL63+'5C1AL_Red River'!$AO63)</f>
        <v>0</v>
      </c>
      <c r="AK63" s="355">
        <f>-('5C2_LAVCA'!AM63+'5C2_LAVCA'!AP63)</f>
        <v>-63204</v>
      </c>
      <c r="AL63" s="355">
        <f>-('5C3_UnvView'!AM63+'5C3_UnvView'!AP63)</f>
        <v>-38471</v>
      </c>
      <c r="AM63" s="356">
        <f t="shared" si="4"/>
        <v>-174503</v>
      </c>
      <c r="AN63" s="357">
        <f t="shared" si="5"/>
        <v>57768776</v>
      </c>
    </row>
    <row r="64" spans="1:40" ht="15.6" customHeight="1" x14ac:dyDescent="0.2">
      <c r="A64" s="353">
        <v>58</v>
      </c>
      <c r="B64" s="354" t="s">
        <v>61</v>
      </c>
      <c r="C64" s="355">
        <f>'2_State Distrib and Adjs'!BD64</f>
        <v>55381426.5</v>
      </c>
      <c r="D64" s="355">
        <f>-'5A3_OJJ'!P64</f>
        <v>-6036</v>
      </c>
      <c r="E64" s="355"/>
      <c r="F64" s="355">
        <f>-('5C1A_Madison'!AL64+'5C1A_Madison'!AO64)</f>
        <v>0</v>
      </c>
      <c r="G64" s="355">
        <f>-('5C1B_DArbonne'!AL64+'5C1B_DArbonne'!AO64)</f>
        <v>0</v>
      </c>
      <c r="H64" s="355">
        <f>-('5C1C_Intl High'!AL64+'5C1C_Intl High'!AO64)</f>
        <v>0</v>
      </c>
      <c r="I64" s="355">
        <f>-('5C1D_NOMMA'!AL64+'5C1D_NOMMA'!AO64)</f>
        <v>0</v>
      </c>
      <c r="J64" s="355">
        <f>-('5C1E_LFNO'!AL64+'5C1E_LFNO'!AO64)</f>
        <v>0</v>
      </c>
      <c r="K64" s="355">
        <f>-('5C1F_L.C. Charter'!AL64+'5C1F_L.C. Charter'!AO64)</f>
        <v>0</v>
      </c>
      <c r="L64" s="355">
        <f>-('5C1G_JS Clark'!AL64+'5C1G_JS Clark'!AO64)</f>
        <v>0</v>
      </c>
      <c r="M64" s="355">
        <f>-('5C1H_Southwest'!AL64+'5C1H_Southwest'!AO64)</f>
        <v>0</v>
      </c>
      <c r="N64" s="355">
        <f>-('5C1I_LA Key'!AL64+'5C1I_LA Key'!AO64)</f>
        <v>0</v>
      </c>
      <c r="O64" s="355">
        <f>-('5C1J_JCFA-East'!AL64+'5C1J_JCFA-East'!AO64)</f>
        <v>0</v>
      </c>
      <c r="P64" s="355">
        <f>-('5C1M_GEO Mid'!AL64+'5C1M_GEO Mid'!AO64)</f>
        <v>0</v>
      </c>
      <c r="Q64" s="355">
        <f>-('5C1N_Delta'!AL64+'5C1N_Delta'!AO64)</f>
        <v>0</v>
      </c>
      <c r="R64" s="355">
        <f>-('5C1O_Impact'!AL64+'5C1O_Impact'!AO64)</f>
        <v>0</v>
      </c>
      <c r="S64" s="355">
        <f>-('5C1Q_Advantage'!AL64+'5C1Q_Advantage'!AO64)</f>
        <v>0</v>
      </c>
      <c r="T64" s="355">
        <f>-('5C1R_Iberville'!AL64+'5C1R_Iberville'!AO64)</f>
        <v>0</v>
      </c>
      <c r="U64" s="355">
        <f>-('5C1S_LC Col Prep'!AL64+'5C1S_LC Col Prep'!AO64)</f>
        <v>0</v>
      </c>
      <c r="V64" s="355">
        <f>-('5C1T_Northeast'!AL64+'5C1T_Northeast'!AO64)</f>
        <v>0</v>
      </c>
      <c r="W64" s="355">
        <f>-('5C1U_Acadiana Ren'!AL64+'5C1U_Acadiana Ren'!AO64)</f>
        <v>0</v>
      </c>
      <c r="X64" s="355">
        <f>-('5C1V_Laf Ren'!AL64+'5C1V_Laf Ren'!AO64)</f>
        <v>0</v>
      </c>
      <c r="Y64" s="355">
        <f>-('5C1W_Willow'!AL64+'5C1W_Willow'!AO64)</f>
        <v>0</v>
      </c>
      <c r="Z64" s="355">
        <f>-('5C1Y_GEO'!AL64+'5C1Y_GEO'!AO64)</f>
        <v>0</v>
      </c>
      <c r="AA64" s="355">
        <f>-('5C1Z_Lincoln Prep'!AL64+'5C1Z_Lincoln Prep'!AO64)</f>
        <v>0</v>
      </c>
      <c r="AB64" s="355">
        <f>-('5C1AD_Greater'!$AL64+'5C1AD_Greater'!$AO64)</f>
        <v>0</v>
      </c>
      <c r="AC64" s="355">
        <f>-('5C1AE_Noble Minds'!$AL64+'5C1AE_Noble Minds'!$AO64)</f>
        <v>0</v>
      </c>
      <c r="AD64" s="355">
        <f>-('5C1AF_JCFA-Laf'!$AL64+'5C1AF_JCFA-Laf'!$AO64)</f>
        <v>0</v>
      </c>
      <c r="AE64" s="355">
        <f>-('5C1AG_Collegiate'!$AL64+'5C1AG_Collegiate'!$AO64)</f>
        <v>0</v>
      </c>
      <c r="AF64" s="355">
        <f>-('5C1AH_BRUP'!$AL64+'5C1AH_BRUP'!$AO64)</f>
        <v>0</v>
      </c>
      <c r="AG64" s="355">
        <f>-('5C1AI_Harmony'!$AL64+'5C1AI_Harmony'!$AO64)</f>
        <v>0</v>
      </c>
      <c r="AH64" s="355">
        <f>-('5C1AJ_Athlos'!$AL64+'5C1AJ_Athlos'!$AO64)</f>
        <v>0</v>
      </c>
      <c r="AI64" s="355">
        <f>-('5C1AK_NxtGen'!$AL64+'5C1AK_NxtGen'!$AO64)</f>
        <v>0</v>
      </c>
      <c r="AJ64" s="355">
        <f>-('5C1AL_Red River'!$AL64+'5C1AL_Red River'!$AO64)</f>
        <v>0</v>
      </c>
      <c r="AK64" s="355">
        <f>-('5C2_LAVCA'!AM64+'5C2_LAVCA'!AP64)</f>
        <v>-53031</v>
      </c>
      <c r="AL64" s="355">
        <f>-('5C3_UnvView'!AM64+'5C3_UnvView'!AP64)</f>
        <v>-42284</v>
      </c>
      <c r="AM64" s="356">
        <f t="shared" si="4"/>
        <v>-101351</v>
      </c>
      <c r="AN64" s="357">
        <f t="shared" si="5"/>
        <v>55280075.5</v>
      </c>
    </row>
    <row r="65" spans="1:40" ht="15.6" customHeight="1" x14ac:dyDescent="0.2">
      <c r="A65" s="353">
        <v>59</v>
      </c>
      <c r="B65" s="354" t="s">
        <v>62</v>
      </c>
      <c r="C65" s="355">
        <f>'2_State Distrib and Adjs'!BD65</f>
        <v>37069088</v>
      </c>
      <c r="D65" s="355">
        <f>-'5A3_OJJ'!P65</f>
        <v>-2365</v>
      </c>
      <c r="E65" s="355"/>
      <c r="F65" s="355">
        <f>-('5C1A_Madison'!AL65+'5C1A_Madison'!AO65)</f>
        <v>0</v>
      </c>
      <c r="G65" s="355">
        <f>-('5C1B_DArbonne'!AL65+'5C1B_DArbonne'!AO65)</f>
        <v>0</v>
      </c>
      <c r="H65" s="355">
        <f>-('5C1C_Intl High'!AL65+'5C1C_Intl High'!AO65)</f>
        <v>0</v>
      </c>
      <c r="I65" s="355">
        <f>-('5C1D_NOMMA'!AL65+'5C1D_NOMMA'!AO65)</f>
        <v>0</v>
      </c>
      <c r="J65" s="355">
        <f>-('5C1E_LFNO'!AL65+'5C1E_LFNO'!AO65)</f>
        <v>0</v>
      </c>
      <c r="K65" s="355">
        <f>-('5C1F_L.C. Charter'!AL65+'5C1F_L.C. Charter'!AO65)</f>
        <v>0</v>
      </c>
      <c r="L65" s="355">
        <f>-('5C1G_JS Clark'!AL65+'5C1G_JS Clark'!AO65)</f>
        <v>0</v>
      </c>
      <c r="M65" s="355">
        <f>-('5C1H_Southwest'!AL65+'5C1H_Southwest'!AO65)</f>
        <v>0</v>
      </c>
      <c r="N65" s="355">
        <f>-('5C1I_LA Key'!AL65+'5C1I_LA Key'!AO65)</f>
        <v>0</v>
      </c>
      <c r="O65" s="355">
        <f>-('5C1J_JCFA-East'!AL65+'5C1J_JCFA-East'!AO65)</f>
        <v>0</v>
      </c>
      <c r="P65" s="355">
        <f>-('5C1M_GEO Mid'!AL65+'5C1M_GEO Mid'!AO65)</f>
        <v>0</v>
      </c>
      <c r="Q65" s="355">
        <f>-('5C1N_Delta'!AL65+'5C1N_Delta'!AO65)</f>
        <v>0</v>
      </c>
      <c r="R65" s="355">
        <f>-('5C1O_Impact'!AL65+'5C1O_Impact'!AO65)</f>
        <v>0</v>
      </c>
      <c r="S65" s="355">
        <f>-('5C1Q_Advantage'!AL65+'5C1Q_Advantage'!AO65)</f>
        <v>0</v>
      </c>
      <c r="T65" s="355">
        <f>-('5C1R_Iberville'!AL65+'5C1R_Iberville'!AO65)</f>
        <v>0</v>
      </c>
      <c r="U65" s="355">
        <f>-('5C1S_LC Col Prep'!AL65+'5C1S_LC Col Prep'!AO65)</f>
        <v>0</v>
      </c>
      <c r="V65" s="355">
        <f>-('5C1T_Northeast'!AL65+'5C1T_Northeast'!AO65)</f>
        <v>0</v>
      </c>
      <c r="W65" s="355">
        <f>-('5C1U_Acadiana Ren'!AL65+'5C1U_Acadiana Ren'!AO65)</f>
        <v>0</v>
      </c>
      <c r="X65" s="355">
        <f>-('5C1V_Laf Ren'!AL65+'5C1V_Laf Ren'!AO65)</f>
        <v>0</v>
      </c>
      <c r="Y65" s="355">
        <f>-('5C1W_Willow'!AL65+'5C1W_Willow'!AO65)</f>
        <v>0</v>
      </c>
      <c r="Z65" s="355">
        <f>-('5C1Y_GEO'!AL65+'5C1Y_GEO'!AO65)</f>
        <v>0</v>
      </c>
      <c r="AA65" s="355">
        <f>-('5C1Z_Lincoln Prep'!AL65+'5C1Z_Lincoln Prep'!AO65)</f>
        <v>0</v>
      </c>
      <c r="AB65" s="355">
        <f>-('5C1AD_Greater'!$AL65+'5C1AD_Greater'!$AO65)</f>
        <v>0</v>
      </c>
      <c r="AC65" s="355">
        <f>-('5C1AE_Noble Minds'!$AL65+'5C1AE_Noble Minds'!$AO65)</f>
        <v>0</v>
      </c>
      <c r="AD65" s="355">
        <f>-('5C1AF_JCFA-Laf'!$AL65+'5C1AF_JCFA-Laf'!$AO65)</f>
        <v>0</v>
      </c>
      <c r="AE65" s="355">
        <f>-('5C1AG_Collegiate'!$AL65+'5C1AG_Collegiate'!$AO65)</f>
        <v>0</v>
      </c>
      <c r="AF65" s="355">
        <f>-('5C1AH_BRUP'!$AL65+'5C1AH_BRUP'!$AO65)</f>
        <v>0</v>
      </c>
      <c r="AG65" s="355">
        <f>-('5C1AI_Harmony'!$AL65+'5C1AI_Harmony'!$AO65)</f>
        <v>0</v>
      </c>
      <c r="AH65" s="355">
        <f>-('5C1AJ_Athlos'!$AL65+'5C1AJ_Athlos'!$AO65)</f>
        <v>0</v>
      </c>
      <c r="AI65" s="355">
        <f>-('5C1AK_NxtGen'!$AL65+'5C1AK_NxtGen'!$AO65)</f>
        <v>0</v>
      </c>
      <c r="AJ65" s="355">
        <f>-('5C1AL_Red River'!$AL65+'5C1AL_Red River'!$AO65)</f>
        <v>0</v>
      </c>
      <c r="AK65" s="355">
        <f>-('5C2_LAVCA'!AM65+'5C2_LAVCA'!AP65)</f>
        <v>-27624</v>
      </c>
      <c r="AL65" s="355">
        <f>-('5C3_UnvView'!AM65+'5C3_UnvView'!AP65)</f>
        <v>-56664</v>
      </c>
      <c r="AM65" s="356">
        <f t="shared" si="4"/>
        <v>-86653</v>
      </c>
      <c r="AN65" s="357">
        <f t="shared" si="5"/>
        <v>36982435</v>
      </c>
    </row>
    <row r="66" spans="1:40" ht="15.6" customHeight="1" x14ac:dyDescent="0.2">
      <c r="A66" s="358">
        <v>60</v>
      </c>
      <c r="B66" s="359" t="s">
        <v>63</v>
      </c>
      <c r="C66" s="360">
        <f>'2_State Distrib and Adjs'!BD66</f>
        <v>37172343</v>
      </c>
      <c r="D66" s="360">
        <f>-'5A3_OJJ'!P66</f>
        <v>-3391</v>
      </c>
      <c r="E66" s="360"/>
      <c r="F66" s="360">
        <f>-('5C1A_Madison'!AL66+'5C1A_Madison'!AO66)</f>
        <v>0</v>
      </c>
      <c r="G66" s="360">
        <f>-('5C1B_DArbonne'!AL66+'5C1B_DArbonne'!AO66)</f>
        <v>0</v>
      </c>
      <c r="H66" s="360">
        <f>-('5C1C_Intl High'!AL66+'5C1C_Intl High'!AO66)</f>
        <v>0</v>
      </c>
      <c r="I66" s="360">
        <f>-('5C1D_NOMMA'!AL66+'5C1D_NOMMA'!AO66)</f>
        <v>0</v>
      </c>
      <c r="J66" s="360">
        <f>-('5C1E_LFNO'!AL66+'5C1E_LFNO'!AO66)</f>
        <v>0</v>
      </c>
      <c r="K66" s="360">
        <f>-('5C1F_L.C. Charter'!AL66+'5C1F_L.C. Charter'!AO66)</f>
        <v>0</v>
      </c>
      <c r="L66" s="360">
        <f>-('5C1G_JS Clark'!AL66+'5C1G_JS Clark'!AO66)</f>
        <v>0</v>
      </c>
      <c r="M66" s="360">
        <f>-('5C1H_Southwest'!AL66+'5C1H_Southwest'!AO66)</f>
        <v>0</v>
      </c>
      <c r="N66" s="360">
        <f>-('5C1I_LA Key'!AL66+'5C1I_LA Key'!AO66)</f>
        <v>0</v>
      </c>
      <c r="O66" s="360">
        <f>-('5C1J_JCFA-East'!AL66+'5C1J_JCFA-East'!AO66)</f>
        <v>0</v>
      </c>
      <c r="P66" s="360">
        <f>-('5C1M_GEO Mid'!AL66+'5C1M_GEO Mid'!AO66)</f>
        <v>0</v>
      </c>
      <c r="Q66" s="360">
        <f>-('5C1N_Delta'!AL66+'5C1N_Delta'!AO66)</f>
        <v>0</v>
      </c>
      <c r="R66" s="360">
        <f>-('5C1O_Impact'!AL66+'5C1O_Impact'!AO66)</f>
        <v>0</v>
      </c>
      <c r="S66" s="360">
        <f>-('5C1Q_Advantage'!AL66+'5C1Q_Advantage'!AO66)</f>
        <v>0</v>
      </c>
      <c r="T66" s="360">
        <f>-('5C1R_Iberville'!AL66+'5C1R_Iberville'!AO66)</f>
        <v>0</v>
      </c>
      <c r="U66" s="360">
        <f>-('5C1S_LC Col Prep'!AL66+'5C1S_LC Col Prep'!AO66)</f>
        <v>0</v>
      </c>
      <c r="V66" s="360">
        <f>-('5C1T_Northeast'!AL66+'5C1T_Northeast'!AO66)</f>
        <v>0</v>
      </c>
      <c r="W66" s="360">
        <f>-('5C1U_Acadiana Ren'!AL66+'5C1U_Acadiana Ren'!AO66)</f>
        <v>0</v>
      </c>
      <c r="X66" s="360">
        <f>-('5C1V_Laf Ren'!AL66+'5C1V_Laf Ren'!AO66)</f>
        <v>0</v>
      </c>
      <c r="Y66" s="360">
        <f>-('5C1W_Willow'!AL66+'5C1W_Willow'!AO66)</f>
        <v>0</v>
      </c>
      <c r="Z66" s="360">
        <f>-('5C1Y_GEO'!AL66+'5C1Y_GEO'!AO66)</f>
        <v>0</v>
      </c>
      <c r="AA66" s="360">
        <f>-('5C1Z_Lincoln Prep'!AL66+'5C1Z_Lincoln Prep'!AO66)</f>
        <v>-8478</v>
      </c>
      <c r="AB66" s="360">
        <f>-('5C1AD_Greater'!$AL66+'5C1AD_Greater'!$AO66)</f>
        <v>0</v>
      </c>
      <c r="AC66" s="360">
        <f>-('5C1AE_Noble Minds'!$AL66+'5C1AE_Noble Minds'!$AO66)</f>
        <v>0</v>
      </c>
      <c r="AD66" s="360">
        <f>-('5C1AF_JCFA-Laf'!$AL66+'5C1AF_JCFA-Laf'!$AO66)</f>
        <v>0</v>
      </c>
      <c r="AE66" s="360">
        <f>-('5C1AG_Collegiate'!$AL66+'5C1AG_Collegiate'!$AO66)</f>
        <v>0</v>
      </c>
      <c r="AF66" s="360">
        <f>-('5C1AH_BRUP'!$AL66+'5C1AH_BRUP'!$AO66)</f>
        <v>0</v>
      </c>
      <c r="AG66" s="657">
        <f>-('5C1AI_Harmony'!$AL66+'5C1AI_Harmony'!$AO66)</f>
        <v>0</v>
      </c>
      <c r="AH66" s="657">
        <f>-('5C1AJ_Athlos'!$AL66+'5C1AJ_Athlos'!$AO66)</f>
        <v>0</v>
      </c>
      <c r="AI66" s="892">
        <f>-('5C1AK_NxtGen'!$AL66+'5C1AK_NxtGen'!$AO66)</f>
        <v>0</v>
      </c>
      <c r="AJ66" s="892">
        <f>-('5C1AL_Red River'!$AL66+'5C1AL_Red River'!$AO66)</f>
        <v>0</v>
      </c>
      <c r="AK66" s="360">
        <f>-('5C2_LAVCA'!AM66+'5C2_LAVCA'!AP66)</f>
        <v>-57227</v>
      </c>
      <c r="AL66" s="360">
        <f>-('5C3_UnvView'!AM66+'5C3_UnvView'!AP66)</f>
        <v>-101217</v>
      </c>
      <c r="AM66" s="361">
        <f t="shared" si="4"/>
        <v>-170313</v>
      </c>
      <c r="AN66" s="362">
        <f t="shared" si="5"/>
        <v>37002030</v>
      </c>
    </row>
    <row r="67" spans="1:40" ht="15.6" customHeight="1" x14ac:dyDescent="0.2">
      <c r="A67" s="347">
        <v>61</v>
      </c>
      <c r="B67" s="348" t="s">
        <v>64</v>
      </c>
      <c r="C67" s="349">
        <f>'2_State Distrib and Adjs'!BD67</f>
        <v>14714171</v>
      </c>
      <c r="D67" s="349">
        <f>-'5A3_OJJ'!P67</f>
        <v>-3335</v>
      </c>
      <c r="E67" s="349"/>
      <c r="F67" s="349">
        <f>-('5C1A_Madison'!AL67+'5C1A_Madison'!AO67)</f>
        <v>-32523</v>
      </c>
      <c r="G67" s="349">
        <f>-('5C1B_DArbonne'!AL67+'5C1B_DArbonne'!AO67)</f>
        <v>0</v>
      </c>
      <c r="H67" s="349">
        <f>-('5C1C_Intl High'!AL67+'5C1C_Intl High'!AO67)</f>
        <v>0</v>
      </c>
      <c r="I67" s="349">
        <f>-('5C1D_NOMMA'!AL67+'5C1D_NOMMA'!AO67)</f>
        <v>0</v>
      </c>
      <c r="J67" s="349">
        <f>-('5C1E_LFNO'!AL67+'5C1E_LFNO'!AO67)</f>
        <v>0</v>
      </c>
      <c r="K67" s="349">
        <f>-('5C1F_L.C. Charter'!AL67+'5C1F_L.C. Charter'!AO67)</f>
        <v>0</v>
      </c>
      <c r="L67" s="349">
        <f>-('5C1G_JS Clark'!AL67+'5C1G_JS Clark'!AO67)</f>
        <v>0</v>
      </c>
      <c r="M67" s="349">
        <f>-('5C1H_Southwest'!AL67+'5C1H_Southwest'!AO67)</f>
        <v>0</v>
      </c>
      <c r="N67" s="349">
        <f>-('5C1I_LA Key'!AL67+'5C1I_LA Key'!AO67)</f>
        <v>-151774</v>
      </c>
      <c r="O67" s="349">
        <f>-('5C1J_JCFA-East'!AL67+'5C1J_JCFA-East'!AO67)</f>
        <v>0</v>
      </c>
      <c r="P67" s="349">
        <f>-('5C1M_GEO Mid'!AL67+'5C1M_GEO Mid'!AO67)</f>
        <v>-10841</v>
      </c>
      <c r="Q67" s="349">
        <f>-('5C1N_Delta'!AL67+'5C1N_Delta'!AO67)</f>
        <v>0</v>
      </c>
      <c r="R67" s="349">
        <f>-('5C1O_Impact'!AL67+'5C1O_Impact'!AO67)</f>
        <v>0</v>
      </c>
      <c r="S67" s="349">
        <f>-('5C1Q_Advantage'!AL67+'5C1Q_Advantage'!AO67)</f>
        <v>-65046</v>
      </c>
      <c r="T67" s="349">
        <f>-('5C1R_Iberville'!AL67+'5C1R_Iberville'!AO67)</f>
        <v>-411958</v>
      </c>
      <c r="U67" s="349">
        <f>-('5C1S_LC Col Prep'!AL67+'5C1S_LC Col Prep'!AO67)</f>
        <v>0</v>
      </c>
      <c r="V67" s="349">
        <f>-('5C1T_Northeast'!AL67+'5C1T_Northeast'!AO67)</f>
        <v>0</v>
      </c>
      <c r="W67" s="349">
        <f>-('5C1U_Acadiana Ren'!AL67+'5C1U_Acadiana Ren'!AO67)</f>
        <v>0</v>
      </c>
      <c r="X67" s="349">
        <f>-('5C1V_Laf Ren'!AL67+'5C1V_Laf Ren'!AO67)</f>
        <v>0</v>
      </c>
      <c r="Y67" s="349">
        <f>-('5C1W_Willow'!AL67+'5C1W_Willow'!AO67)</f>
        <v>0</v>
      </c>
      <c r="Z67" s="349">
        <f>-('5C1Y_GEO'!AL67+'5C1Y_GEO'!AO67)</f>
        <v>-16262</v>
      </c>
      <c r="AA67" s="350">
        <f>-('5C1Z_Lincoln Prep'!AL67+'5C1Z_Lincoln Prep'!AO67)</f>
        <v>0</v>
      </c>
      <c r="AB67" s="350">
        <f>-('5C1AD_Greater'!$AL67+'5C1AD_Greater'!$AO67)</f>
        <v>0</v>
      </c>
      <c r="AC67" s="350">
        <f>-('5C1AE_Noble Minds'!$AL67+'5C1AE_Noble Minds'!$AO67)</f>
        <v>0</v>
      </c>
      <c r="AD67" s="350">
        <f>-('5C1AF_JCFA-Laf'!$AL67+'5C1AF_JCFA-Laf'!$AO67)</f>
        <v>0</v>
      </c>
      <c r="AE67" s="350">
        <f>-('5C1AG_Collegiate'!$AL67+'5C1AG_Collegiate'!$AO67)</f>
        <v>0</v>
      </c>
      <c r="AF67" s="350">
        <f>-('5C1AH_BRUP'!$AL67+'5C1AH_BRUP'!$AO67)</f>
        <v>0</v>
      </c>
      <c r="AG67" s="656">
        <f>-('5C1AI_Harmony'!$AL67+'5C1AI_Harmony'!$AO67)</f>
        <v>0</v>
      </c>
      <c r="AH67" s="656">
        <f>-('5C1AJ_Athlos'!$AL67+'5C1AJ_Athlos'!$AO67)</f>
        <v>0</v>
      </c>
      <c r="AI67" s="656">
        <f>-('5C1AK_NxtGen'!$AL67+'5C1AK_NxtGen'!$AO67)</f>
        <v>0</v>
      </c>
      <c r="AJ67" s="656">
        <f>-('5C1AL_Red River'!$AL67+'5C1AL_Red River'!$AO67)</f>
        <v>0</v>
      </c>
      <c r="AK67" s="349">
        <f>-('5C2_LAVCA'!AM67+'5C2_LAVCA'!AP67)</f>
        <v>-107326</v>
      </c>
      <c r="AL67" s="349">
        <f>-('5C3_UnvView'!AM67+'5C3_UnvView'!AP67)</f>
        <v>-261421</v>
      </c>
      <c r="AM67" s="351">
        <f t="shared" si="4"/>
        <v>-1060486</v>
      </c>
      <c r="AN67" s="352">
        <f t="shared" si="5"/>
        <v>13653685</v>
      </c>
    </row>
    <row r="68" spans="1:40" ht="15.6" customHeight="1" x14ac:dyDescent="0.2">
      <c r="A68" s="353">
        <v>62</v>
      </c>
      <c r="B68" s="354" t="s">
        <v>65</v>
      </c>
      <c r="C68" s="355">
        <f>'2_State Distrib and Adjs'!BD68</f>
        <v>13194011</v>
      </c>
      <c r="D68" s="355">
        <f>-'5A3_OJJ'!P68</f>
        <v>-2764</v>
      </c>
      <c r="E68" s="355"/>
      <c r="F68" s="355">
        <f>-('5C1A_Madison'!AL68+'5C1A_Madison'!AO68)</f>
        <v>0</v>
      </c>
      <c r="G68" s="355">
        <f>-('5C1B_DArbonne'!AL68+'5C1B_DArbonne'!AO68)</f>
        <v>0</v>
      </c>
      <c r="H68" s="355">
        <f>-('5C1C_Intl High'!AL68+'5C1C_Intl High'!AO68)</f>
        <v>0</v>
      </c>
      <c r="I68" s="355">
        <f>-('5C1D_NOMMA'!AL68+'5C1D_NOMMA'!AO68)</f>
        <v>0</v>
      </c>
      <c r="J68" s="355">
        <f>-('5C1E_LFNO'!AL68+'5C1E_LFNO'!AO68)</f>
        <v>0</v>
      </c>
      <c r="K68" s="355">
        <f>-('5C1F_L.C. Charter'!AL68+'5C1F_L.C. Charter'!AO68)</f>
        <v>0</v>
      </c>
      <c r="L68" s="355">
        <f>-('5C1G_JS Clark'!AL68+'5C1G_JS Clark'!AO68)</f>
        <v>0</v>
      </c>
      <c r="M68" s="355">
        <f>-('5C1H_Southwest'!AL68+'5C1H_Southwest'!AO68)</f>
        <v>0</v>
      </c>
      <c r="N68" s="355">
        <f>-('5C1I_LA Key'!AL68+'5C1I_LA Key'!AO68)</f>
        <v>0</v>
      </c>
      <c r="O68" s="355">
        <f>-('5C1J_JCFA-East'!AL68+'5C1J_JCFA-East'!AO68)</f>
        <v>0</v>
      </c>
      <c r="P68" s="355">
        <f>-('5C1M_GEO Mid'!AL68+'5C1M_GEO Mid'!AO68)</f>
        <v>0</v>
      </c>
      <c r="Q68" s="355">
        <f>-('5C1N_Delta'!AL68+'5C1N_Delta'!AO68)</f>
        <v>0</v>
      </c>
      <c r="R68" s="355">
        <f>-('5C1O_Impact'!AL68+'5C1O_Impact'!AO68)</f>
        <v>0</v>
      </c>
      <c r="S68" s="355">
        <f>-('5C1Q_Advantage'!AL68+'5C1Q_Advantage'!AO68)</f>
        <v>0</v>
      </c>
      <c r="T68" s="355">
        <f>-('5C1R_Iberville'!AL68+'5C1R_Iberville'!AO68)</f>
        <v>0</v>
      </c>
      <c r="U68" s="355">
        <f>-('5C1S_LC Col Prep'!AL68+'5C1S_LC Col Prep'!AO68)</f>
        <v>0</v>
      </c>
      <c r="V68" s="355">
        <f>-('5C1T_Northeast'!AL68+'5C1T_Northeast'!AO68)</f>
        <v>0</v>
      </c>
      <c r="W68" s="355">
        <f>-('5C1U_Acadiana Ren'!AL68+'5C1U_Acadiana Ren'!AO68)</f>
        <v>0</v>
      </c>
      <c r="X68" s="355">
        <f>-('5C1V_Laf Ren'!AL68+'5C1V_Laf Ren'!AO68)</f>
        <v>0</v>
      </c>
      <c r="Y68" s="355">
        <f>-('5C1W_Willow'!AL68+'5C1W_Willow'!AO68)</f>
        <v>0</v>
      </c>
      <c r="Z68" s="355">
        <f>-('5C1Y_GEO'!AL68+'5C1Y_GEO'!AO68)</f>
        <v>0</v>
      </c>
      <c r="AA68" s="355">
        <f>-('5C1Z_Lincoln Prep'!AL68+'5C1Z_Lincoln Prep'!AO68)</f>
        <v>0</v>
      </c>
      <c r="AB68" s="355">
        <f>-('5C1AD_Greater'!$AL68+'5C1AD_Greater'!$AO68)</f>
        <v>0</v>
      </c>
      <c r="AC68" s="355">
        <f>-('5C1AE_Noble Minds'!$AL68+'5C1AE_Noble Minds'!$AO68)</f>
        <v>0</v>
      </c>
      <c r="AD68" s="355">
        <f>-('5C1AF_JCFA-Laf'!$AL68+'5C1AF_JCFA-Laf'!$AO68)</f>
        <v>0</v>
      </c>
      <c r="AE68" s="355">
        <f>-('5C1AG_Collegiate'!$AL68+'5C1AG_Collegiate'!$AO68)</f>
        <v>0</v>
      </c>
      <c r="AF68" s="355">
        <f>-('5C1AH_BRUP'!$AL68+'5C1AH_BRUP'!$AO68)</f>
        <v>0</v>
      </c>
      <c r="AG68" s="355">
        <f>-('5C1AI_Harmony'!$AL68+'5C1AI_Harmony'!$AO68)</f>
        <v>0</v>
      </c>
      <c r="AH68" s="355">
        <f>-('5C1AJ_Athlos'!$AL68+'5C1AJ_Athlos'!$AO68)</f>
        <v>0</v>
      </c>
      <c r="AI68" s="355">
        <f>-('5C1AK_NxtGen'!$AL68+'5C1AK_NxtGen'!$AO68)</f>
        <v>0</v>
      </c>
      <c r="AJ68" s="355">
        <f>-('5C1AL_Red River'!$AL68+'5C1AL_Red River'!$AO68)</f>
        <v>0</v>
      </c>
      <c r="AK68" s="355">
        <f>-('5C2_LAVCA'!AM68+'5C2_LAVCA'!AP68)</f>
        <v>-9372</v>
      </c>
      <c r="AL68" s="355">
        <f>-('5C3_UnvView'!AM68+'5C3_UnvView'!AP68)</f>
        <v>-22909</v>
      </c>
      <c r="AM68" s="356">
        <f t="shared" si="4"/>
        <v>-35045</v>
      </c>
      <c r="AN68" s="357">
        <f t="shared" si="5"/>
        <v>13158966</v>
      </c>
    </row>
    <row r="69" spans="1:40" ht="15.6" customHeight="1" x14ac:dyDescent="0.2">
      <c r="A69" s="353">
        <v>63</v>
      </c>
      <c r="B69" s="354" t="s">
        <v>66</v>
      </c>
      <c r="C69" s="355">
        <f>'2_State Distrib and Adjs'!BD69</f>
        <v>10341566</v>
      </c>
      <c r="D69" s="355">
        <f>-'5A3_OJJ'!P69</f>
        <v>0</v>
      </c>
      <c r="E69" s="355"/>
      <c r="F69" s="355">
        <f>-('5C1A_Madison'!AL69+'5C1A_Madison'!AO69)</f>
        <v>0</v>
      </c>
      <c r="G69" s="355">
        <f>-('5C1B_DArbonne'!AL69+'5C1B_DArbonne'!AO69)</f>
        <v>0</v>
      </c>
      <c r="H69" s="355">
        <f>-('5C1C_Intl High'!AL69+'5C1C_Intl High'!AO69)</f>
        <v>0</v>
      </c>
      <c r="I69" s="355">
        <f>-('5C1D_NOMMA'!AL69+'5C1D_NOMMA'!AO69)</f>
        <v>0</v>
      </c>
      <c r="J69" s="355">
        <f>-('5C1E_LFNO'!AL69+'5C1E_LFNO'!AO69)</f>
        <v>0</v>
      </c>
      <c r="K69" s="355">
        <f>-('5C1F_L.C. Charter'!AL69+'5C1F_L.C. Charter'!AO69)</f>
        <v>0</v>
      </c>
      <c r="L69" s="355">
        <f>-('5C1G_JS Clark'!AL69+'5C1G_JS Clark'!AO69)</f>
        <v>0</v>
      </c>
      <c r="M69" s="355">
        <f>-('5C1H_Southwest'!AL69+'5C1H_Southwest'!AO69)</f>
        <v>0</v>
      </c>
      <c r="N69" s="355">
        <f>-('5C1I_LA Key'!AL69+'5C1I_LA Key'!AO69)</f>
        <v>-28740</v>
      </c>
      <c r="O69" s="355">
        <f>-('5C1J_JCFA-East'!AL69+'5C1J_JCFA-East'!AO69)</f>
        <v>0</v>
      </c>
      <c r="P69" s="355">
        <f>-('5C1M_GEO Mid'!AL69+'5C1M_GEO Mid'!AO69)</f>
        <v>0</v>
      </c>
      <c r="Q69" s="355">
        <f>-('5C1N_Delta'!AL69+'5C1N_Delta'!AO69)</f>
        <v>0</v>
      </c>
      <c r="R69" s="355">
        <f>-('5C1O_Impact'!AL69+'5C1O_Impact'!AO69)</f>
        <v>0</v>
      </c>
      <c r="S69" s="355">
        <f>-('5C1Q_Advantage'!AL69+'5C1Q_Advantage'!AO69)</f>
        <v>-9580</v>
      </c>
      <c r="T69" s="355">
        <f>-('5C1R_Iberville'!AL69+'5C1R_Iberville'!AO69)</f>
        <v>0</v>
      </c>
      <c r="U69" s="355">
        <f>-('5C1S_LC Col Prep'!AL69+'5C1S_LC Col Prep'!AO69)</f>
        <v>0</v>
      </c>
      <c r="V69" s="355">
        <f>-('5C1T_Northeast'!AL69+'5C1T_Northeast'!AO69)</f>
        <v>0</v>
      </c>
      <c r="W69" s="355">
        <f>-('5C1U_Acadiana Ren'!AL69+'5C1U_Acadiana Ren'!AO69)</f>
        <v>0</v>
      </c>
      <c r="X69" s="355">
        <f>-('5C1V_Laf Ren'!AL69+'5C1V_Laf Ren'!AO69)</f>
        <v>0</v>
      </c>
      <c r="Y69" s="355">
        <f>-('5C1W_Willow'!AL69+'5C1W_Willow'!AO69)</f>
        <v>0</v>
      </c>
      <c r="Z69" s="355">
        <f>-('5C1Y_GEO'!AL69+'5C1Y_GEO'!AO69)</f>
        <v>0</v>
      </c>
      <c r="AA69" s="355">
        <f>-('5C1Z_Lincoln Prep'!AL69+'5C1Z_Lincoln Prep'!AO69)</f>
        <v>0</v>
      </c>
      <c r="AB69" s="355">
        <f>-('5C1AD_Greater'!$AL69+'5C1AD_Greater'!$AO69)</f>
        <v>0</v>
      </c>
      <c r="AC69" s="355">
        <f>-('5C1AE_Noble Minds'!$AL69+'5C1AE_Noble Minds'!$AO69)</f>
        <v>0</v>
      </c>
      <c r="AD69" s="355">
        <f>-('5C1AF_JCFA-Laf'!$AL69+'5C1AF_JCFA-Laf'!$AO69)</f>
        <v>0</v>
      </c>
      <c r="AE69" s="355">
        <f>-('5C1AG_Collegiate'!$AL69+'5C1AG_Collegiate'!$AO69)</f>
        <v>0</v>
      </c>
      <c r="AF69" s="355">
        <f>-('5C1AH_BRUP'!$AL69+'5C1AH_BRUP'!$AO69)</f>
        <v>0</v>
      </c>
      <c r="AG69" s="355">
        <f>-('5C1AI_Harmony'!$AL69+'5C1AI_Harmony'!$AO69)</f>
        <v>0</v>
      </c>
      <c r="AH69" s="355">
        <f>-('5C1AJ_Athlos'!$AL69+'5C1AJ_Athlos'!$AO69)</f>
        <v>0</v>
      </c>
      <c r="AI69" s="355">
        <f>-('5C1AK_NxtGen'!$AL69+'5C1AK_NxtGen'!$AO69)</f>
        <v>0</v>
      </c>
      <c r="AJ69" s="355">
        <f>-('5C1AL_Red River'!$AL69+'5C1AL_Red River'!$AO69)</f>
        <v>0</v>
      </c>
      <c r="AK69" s="355">
        <f>-('5C2_LAVCA'!AM69+'5C2_LAVCA'!AP69)</f>
        <v>-25866</v>
      </c>
      <c r="AL69" s="355">
        <f>-('5C3_UnvView'!AM69+'5C3_UnvView'!AP69)</f>
        <v>-90531</v>
      </c>
      <c r="AM69" s="356">
        <f t="shared" si="4"/>
        <v>-154717</v>
      </c>
      <c r="AN69" s="357">
        <f t="shared" si="5"/>
        <v>10186849</v>
      </c>
    </row>
    <row r="70" spans="1:40" ht="15.6" customHeight="1" x14ac:dyDescent="0.2">
      <c r="A70" s="353">
        <v>64</v>
      </c>
      <c r="B70" s="354" t="s">
        <v>67</v>
      </c>
      <c r="C70" s="355">
        <f>'2_State Distrib and Adjs'!BD70</f>
        <v>15027407</v>
      </c>
      <c r="D70" s="355">
        <f>-'5A3_OJJ'!P70</f>
        <v>-3199</v>
      </c>
      <c r="E70" s="355"/>
      <c r="F70" s="355">
        <f>-('5C1A_Madison'!AL70+'5C1A_Madison'!AO70)</f>
        <v>0</v>
      </c>
      <c r="G70" s="355">
        <f>-('5C1B_DArbonne'!AL70+'5C1B_DArbonne'!AO70)</f>
        <v>0</v>
      </c>
      <c r="H70" s="355">
        <f>-('5C1C_Intl High'!AL70+'5C1C_Intl High'!AO70)</f>
        <v>0</v>
      </c>
      <c r="I70" s="355">
        <f>-('5C1D_NOMMA'!AL70+'5C1D_NOMMA'!AO70)</f>
        <v>0</v>
      </c>
      <c r="J70" s="355">
        <f>-('5C1E_LFNO'!AL70+'5C1E_LFNO'!AO70)</f>
        <v>0</v>
      </c>
      <c r="K70" s="355">
        <f>-('5C1F_L.C. Charter'!AL70+'5C1F_L.C. Charter'!AO70)</f>
        <v>0</v>
      </c>
      <c r="L70" s="355">
        <f>-('5C1G_JS Clark'!AL70+'5C1G_JS Clark'!AO70)</f>
        <v>0</v>
      </c>
      <c r="M70" s="355">
        <f>-('5C1H_Southwest'!AL70+'5C1H_Southwest'!AO70)</f>
        <v>0</v>
      </c>
      <c r="N70" s="355">
        <f>-('5C1I_LA Key'!AL70+'5C1I_LA Key'!AO70)</f>
        <v>0</v>
      </c>
      <c r="O70" s="355">
        <f>-('5C1J_JCFA-East'!AL70+'5C1J_JCFA-East'!AO70)</f>
        <v>0</v>
      </c>
      <c r="P70" s="355">
        <f>-('5C1M_GEO Mid'!AL70+'5C1M_GEO Mid'!AO70)</f>
        <v>0</v>
      </c>
      <c r="Q70" s="355">
        <f>-('5C1N_Delta'!AL70+'5C1N_Delta'!AO70)</f>
        <v>0</v>
      </c>
      <c r="R70" s="355">
        <f>-('5C1O_Impact'!AL70+'5C1O_Impact'!AO70)</f>
        <v>0</v>
      </c>
      <c r="S70" s="355">
        <f>-('5C1Q_Advantage'!AL70+'5C1Q_Advantage'!AO70)</f>
        <v>0</v>
      </c>
      <c r="T70" s="355">
        <f>-('5C1R_Iberville'!AL70+'5C1R_Iberville'!AO70)</f>
        <v>0</v>
      </c>
      <c r="U70" s="355">
        <f>-('5C1S_LC Col Prep'!AL70+'5C1S_LC Col Prep'!AO70)</f>
        <v>0</v>
      </c>
      <c r="V70" s="355">
        <f>-('5C1T_Northeast'!AL70+'5C1T_Northeast'!AO70)</f>
        <v>0</v>
      </c>
      <c r="W70" s="355">
        <f>-('5C1U_Acadiana Ren'!AL70+'5C1U_Acadiana Ren'!AO70)</f>
        <v>0</v>
      </c>
      <c r="X70" s="355">
        <f>-('5C1V_Laf Ren'!AL70+'5C1V_Laf Ren'!AO70)</f>
        <v>0</v>
      </c>
      <c r="Y70" s="355">
        <f>-('5C1W_Willow'!AL70+'5C1W_Willow'!AO70)</f>
        <v>0</v>
      </c>
      <c r="Z70" s="355">
        <f>-('5C1Y_GEO'!AL70+'5C1Y_GEO'!AO70)</f>
        <v>0</v>
      </c>
      <c r="AA70" s="355">
        <f>-('5C1Z_Lincoln Prep'!AL70+'5C1Z_Lincoln Prep'!AO70)</f>
        <v>-3466</v>
      </c>
      <c r="AB70" s="355">
        <f>-('5C1AD_Greater'!$AL70+'5C1AD_Greater'!$AO70)</f>
        <v>0</v>
      </c>
      <c r="AC70" s="355">
        <f>-('5C1AE_Noble Minds'!$AL70+'5C1AE_Noble Minds'!$AO70)</f>
        <v>0</v>
      </c>
      <c r="AD70" s="355">
        <f>-('5C1AF_JCFA-Laf'!$AL70+'5C1AF_JCFA-Laf'!$AO70)</f>
        <v>0</v>
      </c>
      <c r="AE70" s="355">
        <f>-('5C1AG_Collegiate'!$AL70+'5C1AG_Collegiate'!$AO70)</f>
        <v>0</v>
      </c>
      <c r="AF70" s="355">
        <f>-('5C1AH_BRUP'!$AL70+'5C1AH_BRUP'!$AO70)</f>
        <v>0</v>
      </c>
      <c r="AG70" s="355">
        <f>-('5C1AI_Harmony'!$AL70+'5C1AI_Harmony'!$AO70)</f>
        <v>0</v>
      </c>
      <c r="AH70" s="355">
        <f>-('5C1AJ_Athlos'!$AL70+'5C1AJ_Athlos'!$AO70)</f>
        <v>0</v>
      </c>
      <c r="AI70" s="355">
        <f>-('5C1AK_NxtGen'!$AL70+'5C1AK_NxtGen'!$AO70)</f>
        <v>0</v>
      </c>
      <c r="AJ70" s="355">
        <f>-('5C1AL_Red River'!$AL70+'5C1AL_Red River'!$AO70)</f>
        <v>0</v>
      </c>
      <c r="AK70" s="355">
        <f>-('5C2_LAVCA'!AM70+'5C2_LAVCA'!AP70)</f>
        <v>-15597</v>
      </c>
      <c r="AL70" s="355">
        <f>-('5C3_UnvView'!AM70+'5C3_UnvView'!AP70)</f>
        <v>-10918</v>
      </c>
      <c r="AM70" s="356">
        <f t="shared" si="4"/>
        <v>-33180</v>
      </c>
      <c r="AN70" s="357">
        <f t="shared" si="5"/>
        <v>14994227</v>
      </c>
    </row>
    <row r="71" spans="1:40" ht="15.6" customHeight="1" x14ac:dyDescent="0.2">
      <c r="A71" s="358">
        <v>65</v>
      </c>
      <c r="B71" s="359" t="s">
        <v>68</v>
      </c>
      <c r="C71" s="360">
        <f>'2_State Distrib and Adjs'!BD71</f>
        <v>47399286</v>
      </c>
      <c r="D71" s="360">
        <f>-'5A3_OJJ'!P71</f>
        <v>-14377</v>
      </c>
      <c r="E71" s="360"/>
      <c r="F71" s="360">
        <f>-('5C1A_Madison'!AL71+'5C1A_Madison'!AO71)</f>
        <v>0</v>
      </c>
      <c r="G71" s="360">
        <f>-('5C1B_DArbonne'!AL71+'5C1B_DArbonne'!AO71)</f>
        <v>0</v>
      </c>
      <c r="H71" s="360">
        <f>-('5C1C_Intl High'!AL71+'5C1C_Intl High'!AO71)</f>
        <v>0</v>
      </c>
      <c r="I71" s="360">
        <f>-('5C1D_NOMMA'!AL71+'5C1D_NOMMA'!AO71)</f>
        <v>0</v>
      </c>
      <c r="J71" s="360">
        <f>-('5C1E_LFNO'!AL71+'5C1E_LFNO'!AO71)</f>
        <v>0</v>
      </c>
      <c r="K71" s="360">
        <f>-('5C1F_L.C. Charter'!AL71+'5C1F_L.C. Charter'!AO71)</f>
        <v>0</v>
      </c>
      <c r="L71" s="360">
        <f>-('5C1G_JS Clark'!AL71+'5C1G_JS Clark'!AO71)</f>
        <v>0</v>
      </c>
      <c r="M71" s="360">
        <f>-('5C1H_Southwest'!AL71+'5C1H_Southwest'!AO71)</f>
        <v>0</v>
      </c>
      <c r="N71" s="360">
        <f>-('5C1I_LA Key'!AL71+'5C1I_LA Key'!AO71)</f>
        <v>0</v>
      </c>
      <c r="O71" s="360">
        <f>-('5C1J_JCFA-East'!AL71+'5C1J_JCFA-East'!AO71)</f>
        <v>0</v>
      </c>
      <c r="P71" s="360">
        <f>-('5C1M_GEO Mid'!AL71+'5C1M_GEO Mid'!AO71)</f>
        <v>0</v>
      </c>
      <c r="Q71" s="360">
        <f>-('5C1N_Delta'!AL71+'5C1N_Delta'!AO71)</f>
        <v>0</v>
      </c>
      <c r="R71" s="360">
        <f>-('5C1O_Impact'!AL71+'5C1O_Impact'!AO71)</f>
        <v>0</v>
      </c>
      <c r="S71" s="360">
        <f>-('5C1Q_Advantage'!AL71+'5C1Q_Advantage'!AO71)</f>
        <v>0</v>
      </c>
      <c r="T71" s="360">
        <f>-('5C1R_Iberville'!AL71+'5C1R_Iberville'!AO71)</f>
        <v>0</v>
      </c>
      <c r="U71" s="360">
        <f>-('5C1S_LC Col Prep'!AL71+'5C1S_LC Col Prep'!AO71)</f>
        <v>0</v>
      </c>
      <c r="V71" s="360">
        <f>-('5C1T_Northeast'!AL71+'5C1T_Northeast'!AO71)</f>
        <v>0</v>
      </c>
      <c r="W71" s="360">
        <f>-('5C1U_Acadiana Ren'!AL71+'5C1U_Acadiana Ren'!AO71)</f>
        <v>0</v>
      </c>
      <c r="X71" s="360">
        <f>-('5C1V_Laf Ren'!AL71+'5C1V_Laf Ren'!AO71)</f>
        <v>0</v>
      </c>
      <c r="Y71" s="360">
        <f>-('5C1W_Willow'!AL71+'5C1W_Willow'!AO71)</f>
        <v>0</v>
      </c>
      <c r="Z71" s="360">
        <f>-('5C1Y_GEO'!AL71+'5C1Y_GEO'!AO71)</f>
        <v>0</v>
      </c>
      <c r="AA71" s="360">
        <f>-('5C1Z_Lincoln Prep'!AL71+'5C1Z_Lincoln Prep'!AO71)</f>
        <v>0</v>
      </c>
      <c r="AB71" s="360">
        <f>-('5C1AD_Greater'!$AL71+'5C1AD_Greater'!$AO71)</f>
        <v>0</v>
      </c>
      <c r="AC71" s="360">
        <f>-('5C1AE_Noble Minds'!$AL71+'5C1AE_Noble Minds'!$AO71)</f>
        <v>0</v>
      </c>
      <c r="AD71" s="360">
        <f>-('5C1AF_JCFA-Laf'!$AL71+'5C1AF_JCFA-Laf'!$AO71)</f>
        <v>0</v>
      </c>
      <c r="AE71" s="360">
        <f>-('5C1AG_Collegiate'!$AL71+'5C1AG_Collegiate'!$AO71)</f>
        <v>0</v>
      </c>
      <c r="AF71" s="360">
        <f>-('5C1AH_BRUP'!$AL71+'5C1AH_BRUP'!$AO71)</f>
        <v>0</v>
      </c>
      <c r="AG71" s="657">
        <f>-('5C1AI_Harmony'!$AL71+'5C1AI_Harmony'!$AO71)</f>
        <v>0</v>
      </c>
      <c r="AH71" s="657">
        <f>-('5C1AJ_Athlos'!$AL71+'5C1AJ_Athlos'!$AO71)</f>
        <v>0</v>
      </c>
      <c r="AI71" s="892">
        <f>-('5C1AK_NxtGen'!$AL71+'5C1AK_NxtGen'!$AO71)</f>
        <v>0</v>
      </c>
      <c r="AJ71" s="892">
        <f>-('5C1AL_Red River'!$AL71+'5C1AL_Red River'!$AO71)</f>
        <v>0</v>
      </c>
      <c r="AK71" s="360">
        <f>-('5C2_LAVCA'!AM71+'5C2_LAVCA'!AP71)</f>
        <v>-43983</v>
      </c>
      <c r="AL71" s="360">
        <f>-('5C3_UnvView'!AM71+'5C3_UnvView'!AP71)</f>
        <v>-53757</v>
      </c>
      <c r="AM71" s="361">
        <f>SUM(D71:AL71)</f>
        <v>-112117</v>
      </c>
      <c r="AN71" s="362">
        <f t="shared" si="5"/>
        <v>47287169</v>
      </c>
    </row>
    <row r="72" spans="1:40" ht="15.6" customHeight="1" x14ac:dyDescent="0.2">
      <c r="A72" s="347">
        <v>66</v>
      </c>
      <c r="B72" s="348" t="s">
        <v>69</v>
      </c>
      <c r="C72" s="349">
        <f>'2_State Distrib and Adjs'!BD72</f>
        <v>14190394</v>
      </c>
      <c r="D72" s="349">
        <f>-'5A3_OJJ'!P72</f>
        <v>0</v>
      </c>
      <c r="E72" s="349"/>
      <c r="F72" s="349">
        <f>-('5C1A_Madison'!AL72+'5C1A_Madison'!AO72)</f>
        <v>0</v>
      </c>
      <c r="G72" s="349">
        <f>-('5C1B_DArbonne'!AL72+'5C1B_DArbonne'!AO72)</f>
        <v>0</v>
      </c>
      <c r="H72" s="349">
        <f>-('5C1C_Intl High'!AL72+'5C1C_Intl High'!AO72)</f>
        <v>0</v>
      </c>
      <c r="I72" s="349">
        <f>-('5C1D_NOMMA'!AL72+'5C1D_NOMMA'!AO72)</f>
        <v>0</v>
      </c>
      <c r="J72" s="349">
        <f>-('5C1E_LFNO'!AL72+'5C1E_LFNO'!AO72)</f>
        <v>0</v>
      </c>
      <c r="K72" s="349">
        <f>-('5C1F_L.C. Charter'!AL72+'5C1F_L.C. Charter'!AO72)</f>
        <v>0</v>
      </c>
      <c r="L72" s="349">
        <f>-('5C1G_JS Clark'!AL72+'5C1G_JS Clark'!AO72)</f>
        <v>0</v>
      </c>
      <c r="M72" s="349">
        <f>-('5C1H_Southwest'!AL72+'5C1H_Southwest'!AO72)</f>
        <v>0</v>
      </c>
      <c r="N72" s="349">
        <f>-('5C1I_LA Key'!AL72+'5C1I_LA Key'!AO72)</f>
        <v>0</v>
      </c>
      <c r="O72" s="349">
        <f>-('5C1J_JCFA-East'!AL72+'5C1J_JCFA-East'!AO72)</f>
        <v>0</v>
      </c>
      <c r="P72" s="349">
        <f>-('5C1M_GEO Mid'!AL72+'5C1M_GEO Mid'!AO72)</f>
        <v>0</v>
      </c>
      <c r="Q72" s="349">
        <f>-('5C1N_Delta'!AL72+'5C1N_Delta'!AO72)</f>
        <v>0</v>
      </c>
      <c r="R72" s="349">
        <f>-('5C1O_Impact'!AL72+'5C1O_Impact'!AO72)</f>
        <v>0</v>
      </c>
      <c r="S72" s="349">
        <f>-('5C1Q_Advantage'!AL72+'5C1Q_Advantage'!AO72)</f>
        <v>0</v>
      </c>
      <c r="T72" s="349">
        <f>-('5C1R_Iberville'!AL72+'5C1R_Iberville'!AO72)</f>
        <v>0</v>
      </c>
      <c r="U72" s="349">
        <f>-('5C1S_LC Col Prep'!AL72+'5C1S_LC Col Prep'!AO72)</f>
        <v>0</v>
      </c>
      <c r="V72" s="349">
        <f>-('5C1T_Northeast'!AL72+'5C1T_Northeast'!AO72)</f>
        <v>0</v>
      </c>
      <c r="W72" s="349">
        <f>-('5C1U_Acadiana Ren'!AL72+'5C1U_Acadiana Ren'!AO72)</f>
        <v>0</v>
      </c>
      <c r="X72" s="349">
        <f>-('5C1V_Laf Ren'!AL72+'5C1V_Laf Ren'!AO72)</f>
        <v>0</v>
      </c>
      <c r="Y72" s="349">
        <f>-('5C1W_Willow'!AL72+'5C1W_Willow'!AO72)</f>
        <v>0</v>
      </c>
      <c r="Z72" s="349">
        <f>-('5C1Y_GEO'!AL72+'5C1Y_GEO'!AO72)</f>
        <v>0</v>
      </c>
      <c r="AA72" s="350">
        <f>-('5C1Z_Lincoln Prep'!AL72+'5C1Z_Lincoln Prep'!AO72)</f>
        <v>0</v>
      </c>
      <c r="AB72" s="350">
        <f>-('5C1AD_Greater'!$AL72+'5C1AD_Greater'!$AO72)</f>
        <v>0</v>
      </c>
      <c r="AC72" s="350">
        <f>-('5C1AE_Noble Minds'!$AL72+'5C1AE_Noble Minds'!$AO72)</f>
        <v>0</v>
      </c>
      <c r="AD72" s="350">
        <f>-('5C1AF_JCFA-Laf'!$AL72+'5C1AF_JCFA-Laf'!$AO72)</f>
        <v>0</v>
      </c>
      <c r="AE72" s="350">
        <f>-('5C1AG_Collegiate'!$AL72+'5C1AG_Collegiate'!$AO72)</f>
        <v>0</v>
      </c>
      <c r="AF72" s="350">
        <f>-('5C1AH_BRUP'!$AL72+'5C1AH_BRUP'!$AO72)</f>
        <v>0</v>
      </c>
      <c r="AG72" s="656">
        <f>-('5C1AI_Harmony'!$AL72+'5C1AI_Harmony'!$AO72)</f>
        <v>0</v>
      </c>
      <c r="AH72" s="656">
        <f>-('5C1AJ_Athlos'!$AL72+'5C1AJ_Athlos'!$AO72)</f>
        <v>0</v>
      </c>
      <c r="AI72" s="656">
        <f>-('5C1AK_NxtGen'!$AL72+'5C1AK_NxtGen'!$AO72)</f>
        <v>0</v>
      </c>
      <c r="AJ72" s="656">
        <f>-('5C1AL_Red River'!$AL72+'5C1AL_Red River'!$AO72)</f>
        <v>0</v>
      </c>
      <c r="AK72" s="349">
        <f>-('5C2_LAVCA'!AM72+'5C2_LAVCA'!AP72)</f>
        <v>-63950</v>
      </c>
      <c r="AL72" s="349">
        <f>-('5C3_UnvView'!AM72+'5C3_UnvView'!AP72)</f>
        <v>-109915</v>
      </c>
      <c r="AM72" s="351">
        <f>SUM(D72:AL72)</f>
        <v>-173865</v>
      </c>
      <c r="AN72" s="352">
        <f t="shared" si="5"/>
        <v>14016529</v>
      </c>
    </row>
    <row r="73" spans="1:40" ht="15.6" customHeight="1" x14ac:dyDescent="0.2">
      <c r="A73" s="353">
        <v>67</v>
      </c>
      <c r="B73" s="354" t="s">
        <v>2</v>
      </c>
      <c r="C73" s="355">
        <f>'2_State Distrib and Adjs'!BD73</f>
        <v>32980377</v>
      </c>
      <c r="D73" s="355">
        <f>-'5A3_OJJ'!P73</f>
        <v>-1204</v>
      </c>
      <c r="E73" s="355"/>
      <c r="F73" s="355">
        <f>-('5C1A_Madison'!AL73+'5C1A_Madison'!AO73)</f>
        <v>-45307</v>
      </c>
      <c r="G73" s="355">
        <f>-('5C1B_DArbonne'!AL73+'5C1B_DArbonne'!AO73)</f>
        <v>0</v>
      </c>
      <c r="H73" s="355">
        <f>-('5C1C_Intl High'!AL73+'5C1C_Intl High'!AO73)</f>
        <v>0</v>
      </c>
      <c r="I73" s="355">
        <f>-('5C1D_NOMMA'!AL73+'5C1D_NOMMA'!AO73)</f>
        <v>0</v>
      </c>
      <c r="J73" s="355">
        <f>-('5C1E_LFNO'!AL73+'5C1E_LFNO'!AO73)</f>
        <v>0</v>
      </c>
      <c r="K73" s="355">
        <f>-('5C1F_L.C. Charter'!AL73+'5C1F_L.C. Charter'!AO73)</f>
        <v>0</v>
      </c>
      <c r="L73" s="355">
        <f>-('5C1G_JS Clark'!AL73+'5C1G_JS Clark'!AO73)</f>
        <v>0</v>
      </c>
      <c r="M73" s="355">
        <f>-('5C1H_Southwest'!AL73+'5C1H_Southwest'!AO73)</f>
        <v>0</v>
      </c>
      <c r="N73" s="355">
        <f>-('5C1I_LA Key'!AL73+'5C1I_LA Key'!AO73)</f>
        <v>-54369</v>
      </c>
      <c r="O73" s="355">
        <f>-('5C1J_JCFA-East'!AL73+'5C1J_JCFA-East'!AO73)</f>
        <v>0</v>
      </c>
      <c r="P73" s="355">
        <f>-('5C1M_GEO Mid'!AL73+'5C1M_GEO Mid'!AO73)</f>
        <v>0</v>
      </c>
      <c r="Q73" s="355">
        <f>-('5C1N_Delta'!AL73+'5C1N_Delta'!AO73)</f>
        <v>0</v>
      </c>
      <c r="R73" s="355">
        <f>-('5C1O_Impact'!AL73+'5C1O_Impact'!AO73)</f>
        <v>-66451</v>
      </c>
      <c r="S73" s="355">
        <f>-('5C1Q_Advantage'!AL73+'5C1Q_Advantage'!AO73)</f>
        <v>-123841</v>
      </c>
      <c r="T73" s="355">
        <f>-('5C1R_Iberville'!AL73+'5C1R_Iberville'!AO73)</f>
        <v>0</v>
      </c>
      <c r="U73" s="355">
        <f>-('5C1S_LC Col Prep'!AL73+'5C1S_LC Col Prep'!AO73)</f>
        <v>0</v>
      </c>
      <c r="V73" s="355">
        <f>-('5C1T_Northeast'!AL73+'5C1T_Northeast'!AO73)</f>
        <v>0</v>
      </c>
      <c r="W73" s="355">
        <f>-('5C1U_Acadiana Ren'!AL73+'5C1U_Acadiana Ren'!AO73)</f>
        <v>0</v>
      </c>
      <c r="X73" s="355">
        <f>-('5C1V_Laf Ren'!AL73+'5C1V_Laf Ren'!AO73)</f>
        <v>0</v>
      </c>
      <c r="Y73" s="355">
        <f>-('5C1W_Willow'!AL73+'5C1W_Willow'!AO73)</f>
        <v>0</v>
      </c>
      <c r="Z73" s="355">
        <f>-('5C1Y_GEO'!AL73+'5C1Y_GEO'!AO73)</f>
        <v>-9062</v>
      </c>
      <c r="AA73" s="355">
        <f>-('5C1Z_Lincoln Prep'!AL73+'5C1Z_Lincoln Prep'!AO73)</f>
        <v>0</v>
      </c>
      <c r="AB73" s="355">
        <f>-('5C1AD_Greater'!$AL73+'5C1AD_Greater'!$AO73)</f>
        <v>0</v>
      </c>
      <c r="AC73" s="355">
        <f>-('5C1AE_Noble Minds'!$AL73+'5C1AE_Noble Minds'!$AO73)</f>
        <v>0</v>
      </c>
      <c r="AD73" s="355">
        <f>-('5C1AF_JCFA-Laf'!$AL73+'5C1AF_JCFA-Laf'!$AO73)</f>
        <v>0</v>
      </c>
      <c r="AE73" s="355">
        <f>-('5C1AG_Collegiate'!$AL73+'5C1AG_Collegiate'!$AO73)</f>
        <v>-3020</v>
      </c>
      <c r="AF73" s="355">
        <f>-('5C1AH_BRUP'!$AL73+'5C1AH_BRUP'!$AO73)</f>
        <v>-6041</v>
      </c>
      <c r="AG73" s="355">
        <f>-('5C1AI_Harmony'!$AL73+'5C1AI_Harmony'!$AO73)</f>
        <v>0</v>
      </c>
      <c r="AH73" s="355">
        <f>-('5C1AJ_Athlos'!$AL73+'5C1AJ_Athlos'!$AO73)</f>
        <v>0</v>
      </c>
      <c r="AI73" s="355">
        <f>-('5C1AK_NxtGen'!$AL73+'5C1AK_NxtGen'!$AO73)</f>
        <v>0</v>
      </c>
      <c r="AJ73" s="355">
        <f>-('5C1AL_Red River'!$AL73+'5C1AL_Red River'!$AO73)</f>
        <v>0</v>
      </c>
      <c r="AK73" s="355">
        <f>-('5C2_LAVCA'!AM73+'5C2_LAVCA'!AP73)</f>
        <v>-67961</v>
      </c>
      <c r="AL73" s="355">
        <f>-('5C3_UnvView'!AM73+'5C3_UnvView'!AP73)</f>
        <v>-188000</v>
      </c>
      <c r="AM73" s="356">
        <f>SUM(D73:AL73)</f>
        <v>-565256</v>
      </c>
      <c r="AN73" s="357">
        <f t="shared" si="5"/>
        <v>32415121</v>
      </c>
    </row>
    <row r="74" spans="1:40" ht="15.6" customHeight="1" x14ac:dyDescent="0.2">
      <c r="A74" s="353">
        <v>68</v>
      </c>
      <c r="B74" s="354" t="s">
        <v>1</v>
      </c>
      <c r="C74" s="355">
        <f>'2_State Distrib and Adjs'!BD74</f>
        <v>9555518</v>
      </c>
      <c r="D74" s="355">
        <f>-'5A3_OJJ'!P74</f>
        <v>0</v>
      </c>
      <c r="E74" s="355"/>
      <c r="F74" s="355">
        <f>-('5C1A_Madison'!AL74+'5C1A_Madison'!AO74)</f>
        <v>-45990</v>
      </c>
      <c r="G74" s="355">
        <f>-('5C1B_DArbonne'!AL74+'5C1B_DArbonne'!AO74)</f>
        <v>0</v>
      </c>
      <c r="H74" s="355">
        <f>-('5C1C_Intl High'!AL74+'5C1C_Intl High'!AO74)</f>
        <v>0</v>
      </c>
      <c r="I74" s="355">
        <f>-('5C1D_NOMMA'!AL74+'5C1D_NOMMA'!AO74)</f>
        <v>0</v>
      </c>
      <c r="J74" s="355">
        <f>-('5C1E_LFNO'!AL74+'5C1E_LFNO'!AO74)</f>
        <v>0</v>
      </c>
      <c r="K74" s="355">
        <f>-('5C1F_L.C. Charter'!AL74+'5C1F_L.C. Charter'!AO74)</f>
        <v>0</v>
      </c>
      <c r="L74" s="355">
        <f>-('5C1G_JS Clark'!AL74+'5C1G_JS Clark'!AO74)</f>
        <v>0</v>
      </c>
      <c r="M74" s="355">
        <f>-('5C1H_Southwest'!AL74+'5C1H_Southwest'!AO74)</f>
        <v>0</v>
      </c>
      <c r="N74" s="355">
        <f>-('5C1I_LA Key'!AL74+'5C1I_LA Key'!AO74)</f>
        <v>-50589</v>
      </c>
      <c r="O74" s="355">
        <f>-('5C1J_JCFA-East'!AL74+'5C1J_JCFA-East'!AO74)</f>
        <v>0</v>
      </c>
      <c r="P74" s="355">
        <f>-('5C1M_GEO Mid'!AL74+'5C1M_GEO Mid'!AO74)</f>
        <v>-29127</v>
      </c>
      <c r="Q74" s="355">
        <f>-('5C1N_Delta'!AL74+'5C1N_Delta'!AO74)</f>
        <v>0</v>
      </c>
      <c r="R74" s="355">
        <f>-('5C1O_Impact'!AL74+'5C1O_Impact'!AO74)</f>
        <v>-573342</v>
      </c>
      <c r="S74" s="355">
        <f>-('5C1Q_Advantage'!AL74+'5C1Q_Advantage'!AO74)</f>
        <v>-781830</v>
      </c>
      <c r="T74" s="355">
        <f>-('5C1R_Iberville'!AL74+'5C1R_Iberville'!AO74)</f>
        <v>0</v>
      </c>
      <c r="U74" s="355">
        <f>-('5C1S_LC Col Prep'!AL74+'5C1S_LC Col Prep'!AO74)</f>
        <v>0</v>
      </c>
      <c r="V74" s="355">
        <f>-('5C1T_Northeast'!AL74+'5C1T_Northeast'!AO74)</f>
        <v>0</v>
      </c>
      <c r="W74" s="355">
        <f>-('5C1U_Acadiana Ren'!AL74+'5C1U_Acadiana Ren'!AO74)</f>
        <v>0</v>
      </c>
      <c r="X74" s="355">
        <f>-('5C1V_Laf Ren'!AL74+'5C1V_Laf Ren'!AO74)</f>
        <v>0</v>
      </c>
      <c r="Y74" s="355">
        <f>-('5C1W_Willow'!AL74+'5C1W_Willow'!AO74)</f>
        <v>0</v>
      </c>
      <c r="Z74" s="355">
        <f>-('5C1Y_GEO'!AL74+'5C1Y_GEO'!AO74)</f>
        <v>-64386</v>
      </c>
      <c r="AA74" s="355">
        <f>-('5C1Z_Lincoln Prep'!AL74+'5C1Z_Lincoln Prep'!AO74)</f>
        <v>0</v>
      </c>
      <c r="AB74" s="355">
        <f>-('5C1AD_Greater'!$AL74+'5C1AD_Greater'!$AO74)</f>
        <v>0</v>
      </c>
      <c r="AC74" s="355">
        <f>-('5C1AE_Noble Minds'!$AL74+'5C1AE_Noble Minds'!$AO74)</f>
        <v>0</v>
      </c>
      <c r="AD74" s="355">
        <f>-('5C1AF_JCFA-Laf'!$AL74+'5C1AF_JCFA-Laf'!$AO74)</f>
        <v>0</v>
      </c>
      <c r="AE74" s="355">
        <f>-('5C1AG_Collegiate'!$AL74+'5C1AG_Collegiate'!$AO74)</f>
        <v>-38325</v>
      </c>
      <c r="AF74" s="355">
        <f>-('5C1AH_BRUP'!$AL74+'5C1AH_BRUP'!$AO74)</f>
        <v>-35259</v>
      </c>
      <c r="AG74" s="355">
        <f>-('5C1AI_Harmony'!$AL74+'5C1AI_Harmony'!$AO74)</f>
        <v>0</v>
      </c>
      <c r="AH74" s="355">
        <f>-('5C1AJ_Athlos'!$AL74+'5C1AJ_Athlos'!$AO74)</f>
        <v>0</v>
      </c>
      <c r="AI74" s="355">
        <f>-('5C1AK_NxtGen'!$AL74+'5C1AK_NxtGen'!$AO74)</f>
        <v>-7665</v>
      </c>
      <c r="AJ74" s="355">
        <f>-('5C1AL_Red River'!$AL74+'5C1AL_Red River'!$AO74)</f>
        <v>0</v>
      </c>
      <c r="AK74" s="355">
        <f>-('5C2_LAVCA'!AM74+'5C2_LAVCA'!AP74)</f>
        <v>-13797</v>
      </c>
      <c r="AL74" s="355">
        <f>-('5C3_UnvView'!AM74+'5C3_UnvView'!AP74)</f>
        <v>-37251</v>
      </c>
      <c r="AM74" s="356">
        <f>SUM(D74:AL74)</f>
        <v>-1677561</v>
      </c>
      <c r="AN74" s="357">
        <f t="shared" si="5"/>
        <v>7877957</v>
      </c>
    </row>
    <row r="75" spans="1:40" ht="15.6" customHeight="1" x14ac:dyDescent="0.2">
      <c r="A75" s="363">
        <v>69</v>
      </c>
      <c r="B75" s="364" t="s">
        <v>74</v>
      </c>
      <c r="C75" s="365">
        <f>'2_State Distrib and Adjs'!BD75</f>
        <v>32583861</v>
      </c>
      <c r="D75" s="365">
        <f>-'5A3_OJJ'!P75</f>
        <v>0</v>
      </c>
      <c r="E75" s="365"/>
      <c r="F75" s="365">
        <f>-('5C1A_Madison'!AL75+'5C1A_Madison'!AO75)</f>
        <v>-11487</v>
      </c>
      <c r="G75" s="365">
        <f>-('5C1B_DArbonne'!AL75+'5C1B_DArbonne'!AO75)</f>
        <v>0</v>
      </c>
      <c r="H75" s="365">
        <f>-('5C1C_Intl High'!AL75+'5C1C_Intl High'!AO75)</f>
        <v>0</v>
      </c>
      <c r="I75" s="365">
        <f>-('5C1D_NOMMA'!AL75+'5C1D_NOMMA'!AO75)</f>
        <v>0</v>
      </c>
      <c r="J75" s="365">
        <f>-('5C1E_LFNO'!AL75+'5C1E_LFNO'!AO75)</f>
        <v>0</v>
      </c>
      <c r="K75" s="365">
        <f>-('5C1F_L.C. Charter'!AL75+'5C1F_L.C. Charter'!AO75)</f>
        <v>0</v>
      </c>
      <c r="L75" s="365">
        <f>-('5C1G_JS Clark'!AL75+'5C1G_JS Clark'!AO75)</f>
        <v>0</v>
      </c>
      <c r="M75" s="365">
        <f>-('5C1H_Southwest'!AL75+'5C1H_Southwest'!AO75)</f>
        <v>0</v>
      </c>
      <c r="N75" s="365">
        <f>-('5C1I_LA Key'!AL75+'5C1I_LA Key'!AO75)</f>
        <v>-70836</v>
      </c>
      <c r="O75" s="365">
        <f>-('5C1J_JCFA-East'!AL75+'5C1J_JCFA-East'!AO75)</f>
        <v>0</v>
      </c>
      <c r="P75" s="365">
        <f>-('5C1M_GEO Mid'!AL75+'5C1M_GEO Mid'!AO75)</f>
        <v>-19145</v>
      </c>
      <c r="Q75" s="365">
        <f>-('5C1N_Delta'!AL75+'5C1N_Delta'!AO75)</f>
        <v>0</v>
      </c>
      <c r="R75" s="365">
        <f>-('5C1O_Impact'!AL75+'5C1O_Impact'!AO75)</f>
        <v>-11487</v>
      </c>
      <c r="S75" s="365">
        <f>-('5C1Q_Advantage'!AL75+'5C1Q_Advantage'!AO75)</f>
        <v>-13401</v>
      </c>
      <c r="T75" s="365">
        <f>-('5C1R_Iberville'!AL75+'5C1R_Iberville'!AO75)</f>
        <v>0</v>
      </c>
      <c r="U75" s="365">
        <f>-('5C1S_LC Col Prep'!AL75+'5C1S_LC Col Prep'!AO75)</f>
        <v>0</v>
      </c>
      <c r="V75" s="365">
        <f>-('5C1T_Northeast'!AL75+'5C1T_Northeast'!AO75)</f>
        <v>0</v>
      </c>
      <c r="W75" s="365">
        <f>-('5C1U_Acadiana Ren'!AL75+'5C1U_Acadiana Ren'!AO75)</f>
        <v>0</v>
      </c>
      <c r="X75" s="365">
        <f>-('5C1V_Laf Ren'!AL75+'5C1V_Laf Ren'!AO75)</f>
        <v>0</v>
      </c>
      <c r="Y75" s="365">
        <f>-('5C1W_Willow'!AL75+'5C1W_Willow'!AO75)</f>
        <v>0</v>
      </c>
      <c r="Z75" s="365">
        <f>-('5C1Y_GEO'!AL75+'5C1Y_GEO'!AO75)</f>
        <v>-26803</v>
      </c>
      <c r="AA75" s="365">
        <f>-('5C1Z_Lincoln Prep'!$AL75+'5C1Z_Lincoln Prep'!$AO75)</f>
        <v>0</v>
      </c>
      <c r="AB75" s="365">
        <f>-('5C1AD_Greater'!$AL75+'5C1AD_Greater'!$AO75)</f>
        <v>0</v>
      </c>
      <c r="AC75" s="365">
        <f>-('5C1AE_Noble Minds'!$AL75+'5C1AE_Noble Minds'!$AO75)</f>
        <v>0</v>
      </c>
      <c r="AD75" s="365">
        <f>-('5C1AF_JCFA-Laf'!$AL75+'5C1AF_JCFA-Laf'!$AO75)</f>
        <v>0</v>
      </c>
      <c r="AE75" s="365">
        <f>-('5C1AG_Collegiate'!$AL75+'5C1AG_Collegiate'!$AO75)</f>
        <v>-3829</v>
      </c>
      <c r="AF75" s="365">
        <f>-('5C1AH_BRUP'!$AL75+'5C1AH_BRUP'!$AO75)</f>
        <v>0</v>
      </c>
      <c r="AG75" s="365">
        <f>-('5C1AI_Harmony'!$AL75+'5C1AI_Harmony'!$AO75)</f>
        <v>0</v>
      </c>
      <c r="AH75" s="365">
        <f>-('5C1AJ_Athlos'!$AL75+'5C1AJ_Athlos'!$AO75)</f>
        <v>0</v>
      </c>
      <c r="AI75" s="365">
        <f>-('5C1AK_NxtGen'!$AL75+'5C1AK_NxtGen'!$AO75)</f>
        <v>0</v>
      </c>
      <c r="AJ75" s="365">
        <f>-('5C1AL_Red River'!$AL75+'5C1AL_Red River'!$AO75)</f>
        <v>0</v>
      </c>
      <c r="AK75" s="365">
        <f>-('5C2_LAVCA'!AM75+'5C2_LAVCA'!AP75)</f>
        <v>-29292</v>
      </c>
      <c r="AL75" s="365">
        <f>-('5C3_UnvView'!AM75+'5C3_UnvView'!AP75)</f>
        <v>-105106</v>
      </c>
      <c r="AM75" s="366">
        <f>SUM(D75:AL75)</f>
        <v>-291386</v>
      </c>
      <c r="AN75" s="367">
        <f t="shared" si="5"/>
        <v>32292475</v>
      </c>
    </row>
    <row r="76" spans="1:40" ht="15.6" customHeight="1" thickBot="1" x14ac:dyDescent="0.25">
      <c r="A76" s="511"/>
      <c r="B76" s="512" t="s">
        <v>70</v>
      </c>
      <c r="C76" s="1286">
        <f t="shared" ref="C76:AJ76" si="6">SUM(C7:C75)</f>
        <v>3688921502.5</v>
      </c>
      <c r="D76" s="1286">
        <f>SUM(D7:D75)</f>
        <v>-771485</v>
      </c>
      <c r="E76" s="1286">
        <f t="shared" si="6"/>
        <v>-18402024</v>
      </c>
      <c r="F76" s="1286">
        <f t="shared" si="6"/>
        <v>-4198093</v>
      </c>
      <c r="G76" s="1286">
        <f t="shared" si="6"/>
        <v>-4225395</v>
      </c>
      <c r="H76" s="1286">
        <f t="shared" si="6"/>
        <v>-2535708</v>
      </c>
      <c r="I76" s="1286">
        <f t="shared" si="6"/>
        <v>-5435076</v>
      </c>
      <c r="J76" s="1286">
        <f t="shared" si="6"/>
        <v>-5396925</v>
      </c>
      <c r="K76" s="1286">
        <f t="shared" si="6"/>
        <v>-6718223</v>
      </c>
      <c r="L76" s="1286">
        <f t="shared" si="6"/>
        <v>-688931</v>
      </c>
      <c r="M76" s="1286">
        <f t="shared" si="6"/>
        <v>-4995958</v>
      </c>
      <c r="N76" s="1286">
        <f t="shared" si="6"/>
        <v>-2769618</v>
      </c>
      <c r="O76" s="1286">
        <f t="shared" si="6"/>
        <v>-1240046</v>
      </c>
      <c r="P76" s="1286">
        <f t="shared" si="6"/>
        <v>-5292553</v>
      </c>
      <c r="Q76" s="1286">
        <f t="shared" si="6"/>
        <v>-1569640</v>
      </c>
      <c r="R76" s="1286">
        <f t="shared" si="6"/>
        <v>-2146900</v>
      </c>
      <c r="S76" s="1286">
        <f t="shared" si="6"/>
        <v>-2482905</v>
      </c>
      <c r="T76" s="1286">
        <f t="shared" si="6"/>
        <v>-3924443</v>
      </c>
      <c r="U76" s="1286">
        <f t="shared" si="6"/>
        <v>-3622784</v>
      </c>
      <c r="V76" s="1286">
        <f t="shared" si="6"/>
        <v>-770509</v>
      </c>
      <c r="W76" s="1286">
        <f t="shared" si="6"/>
        <v>-4850601</v>
      </c>
      <c r="X76" s="1286">
        <f t="shared" si="6"/>
        <v>-5210066</v>
      </c>
      <c r="Y76" s="1286">
        <f t="shared" si="6"/>
        <v>-3339078</v>
      </c>
      <c r="Z76" s="1286">
        <f t="shared" si="6"/>
        <v>-4940163</v>
      </c>
      <c r="AA76" s="1286">
        <f t="shared" si="6"/>
        <v>-2935009</v>
      </c>
      <c r="AB76" s="1286">
        <f t="shared" si="6"/>
        <v>-903385</v>
      </c>
      <c r="AC76" s="1286">
        <f t="shared" si="6"/>
        <v>-616516</v>
      </c>
      <c r="AD76" s="1286">
        <f t="shared" si="6"/>
        <v>-364166</v>
      </c>
      <c r="AE76" s="1286">
        <f t="shared" si="6"/>
        <v>-3038700</v>
      </c>
      <c r="AF76" s="1286">
        <f t="shared" si="6"/>
        <v>-2687030</v>
      </c>
      <c r="AG76" s="1286">
        <f t="shared" si="6"/>
        <v>-671358</v>
      </c>
      <c r="AH76" s="1286">
        <f t="shared" si="6"/>
        <v>-6123850</v>
      </c>
      <c r="AI76" s="1286">
        <f t="shared" si="6"/>
        <v>-691754</v>
      </c>
      <c r="AJ76" s="1286">
        <f t="shared" si="6"/>
        <v>-441258</v>
      </c>
      <c r="AK76" s="1286">
        <f t="shared" ref="AK76:AN76" si="7">SUM(AK7:AK75)</f>
        <v>-8750286</v>
      </c>
      <c r="AL76" s="1286">
        <f t="shared" si="7"/>
        <v>-13921846</v>
      </c>
      <c r="AM76" s="1287">
        <f t="shared" si="7"/>
        <v>-136672282</v>
      </c>
      <c r="AN76" s="1288">
        <f t="shared" si="7"/>
        <v>3552249220.5</v>
      </c>
    </row>
    <row r="77" spans="1:4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N1:AN2"/>
    <mergeCell ref="A1:B2"/>
    <mergeCell ref="C1:C2"/>
    <mergeCell ref="D1:I1"/>
    <mergeCell ref="J1:Q1"/>
    <mergeCell ref="R1:Y1"/>
    <mergeCell ref="Z1:AG1"/>
    <mergeCell ref="AH1:AM1"/>
  </mergeCells>
  <printOptions horizontalCentered="1"/>
  <pageMargins left="0.35" right="0.35" top="0.9" bottom="0.5" header="0.3" footer="0.25"/>
  <pageSetup paperSize="5" scale="74" firstPageNumber="7" fitToWidth="0" orientation="portrait" r:id="rId2"/>
  <headerFooter>
    <oddHeader xml:space="preserve">&amp;L&amp;"Arial,Bold"&amp;18&amp;K000000Table 2A-1: FY2019-20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6.28515625" style="7" customWidth="1"/>
    <col min="3" max="3" width="13.140625" style="7" customWidth="1"/>
    <col min="4" max="4" width="12.85546875" style="7" customWidth="1"/>
    <col min="5" max="5" width="13.7109375" style="7" customWidth="1"/>
    <col min="6" max="6" width="12.5703125" style="7" bestFit="1" customWidth="1"/>
    <col min="7" max="8" width="13.7109375" style="7" customWidth="1"/>
    <col min="9" max="10" width="14.85546875" style="7" customWidth="1"/>
    <col min="11" max="11" width="13.7109375" style="7" customWidth="1"/>
    <col min="12" max="12" width="14.140625" style="7" customWidth="1"/>
    <col min="13" max="13" width="13.42578125" style="7" bestFit="1" customWidth="1"/>
    <col min="14" max="14" width="17.85546875" style="7" customWidth="1"/>
    <col min="15" max="17" width="14.5703125" style="7" customWidth="1"/>
    <col min="18" max="18" width="19.140625" style="7" customWidth="1"/>
    <col min="19" max="16384" width="8.85546875" style="7"/>
  </cols>
  <sheetData>
    <row r="1" spans="1:18" ht="17.45" customHeight="1" x14ac:dyDescent="0.2">
      <c r="A1" s="1463" t="s">
        <v>889</v>
      </c>
      <c r="B1" s="1463"/>
      <c r="C1" s="1458" t="s">
        <v>310</v>
      </c>
      <c r="D1" s="1459"/>
      <c r="E1" s="1459"/>
      <c r="F1" s="1459"/>
      <c r="G1" s="1459"/>
      <c r="H1" s="1459"/>
      <c r="I1" s="1459"/>
      <c r="J1" s="1459"/>
      <c r="K1" s="1460"/>
      <c r="L1" s="1458" t="s">
        <v>310</v>
      </c>
      <c r="M1" s="1459"/>
      <c r="N1" s="1459"/>
      <c r="O1" s="1459"/>
      <c r="P1" s="1459"/>
      <c r="Q1" s="1459"/>
      <c r="R1" s="1460"/>
    </row>
    <row r="2" spans="1:18" s="433" customFormat="1" ht="17.25" customHeight="1" x14ac:dyDescent="0.2">
      <c r="A2" s="1463"/>
      <c r="B2" s="1463"/>
      <c r="C2" s="25"/>
      <c r="D2" s="26"/>
      <c r="E2" s="26"/>
      <c r="F2" s="26"/>
      <c r="G2" s="26"/>
      <c r="H2" s="26"/>
      <c r="I2" s="1467" t="s">
        <v>228</v>
      </c>
      <c r="J2" s="1467"/>
      <c r="K2" s="1467"/>
      <c r="L2" s="25"/>
      <c r="M2" s="26"/>
      <c r="N2" s="26"/>
      <c r="O2" s="26"/>
      <c r="P2" s="26"/>
      <c r="Q2" s="26"/>
      <c r="R2" s="27"/>
    </row>
    <row r="3" spans="1:18" ht="138" customHeight="1" x14ac:dyDescent="0.2">
      <c r="A3" s="1463"/>
      <c r="B3" s="1463"/>
      <c r="C3" s="177" t="s">
        <v>1195</v>
      </c>
      <c r="D3" s="176" t="s">
        <v>508</v>
      </c>
      <c r="E3" s="176" t="s">
        <v>509</v>
      </c>
      <c r="F3" s="176" t="s">
        <v>362</v>
      </c>
      <c r="G3" s="176" t="s">
        <v>308</v>
      </c>
      <c r="H3" s="176" t="s">
        <v>1319</v>
      </c>
      <c r="I3" s="593" t="s">
        <v>1186</v>
      </c>
      <c r="J3" s="593" t="s">
        <v>1187</v>
      </c>
      <c r="K3" s="593" t="s">
        <v>230</v>
      </c>
      <c r="L3" s="176" t="s">
        <v>510</v>
      </c>
      <c r="M3" s="1145" t="s">
        <v>1430</v>
      </c>
      <c r="N3" s="24" t="s">
        <v>981</v>
      </c>
      <c r="O3" s="24" t="s">
        <v>268</v>
      </c>
      <c r="P3" s="24" t="s">
        <v>271</v>
      </c>
      <c r="Q3" s="24" t="s">
        <v>229</v>
      </c>
      <c r="R3" s="24" t="s">
        <v>982</v>
      </c>
    </row>
    <row r="4" spans="1:18" ht="14.25" customHeight="1" x14ac:dyDescent="0.2">
      <c r="A4" s="434"/>
      <c r="B4" s="435"/>
      <c r="C4" s="436">
        <v>1</v>
      </c>
      <c r="D4" s="436">
        <f>C4+1</f>
        <v>2</v>
      </c>
      <c r="E4" s="436">
        <f>D4+1</f>
        <v>3</v>
      </c>
      <c r="F4" s="436">
        <f t="shared" ref="F4:R4" si="0">E4+1</f>
        <v>4</v>
      </c>
      <c r="G4" s="436">
        <f t="shared" si="0"/>
        <v>5</v>
      </c>
      <c r="H4" s="436">
        <f t="shared" si="0"/>
        <v>6</v>
      </c>
      <c r="I4" s="436">
        <f t="shared" si="0"/>
        <v>7</v>
      </c>
      <c r="J4" s="436">
        <f t="shared" si="0"/>
        <v>8</v>
      </c>
      <c r="K4" s="436">
        <f t="shared" si="0"/>
        <v>9</v>
      </c>
      <c r="L4" s="436">
        <f t="shared" si="0"/>
        <v>10</v>
      </c>
      <c r="M4" s="436">
        <f t="shared" si="0"/>
        <v>11</v>
      </c>
      <c r="N4" s="436">
        <f t="shared" si="0"/>
        <v>12</v>
      </c>
      <c r="O4" s="436">
        <f t="shared" si="0"/>
        <v>13</v>
      </c>
      <c r="P4" s="436">
        <f t="shared" si="0"/>
        <v>14</v>
      </c>
      <c r="Q4" s="436">
        <f t="shared" si="0"/>
        <v>15</v>
      </c>
      <c r="R4" s="436">
        <f t="shared" si="0"/>
        <v>16</v>
      </c>
    </row>
    <row r="5" spans="1:18" s="495" customFormat="1" ht="27.75" customHeight="1" x14ac:dyDescent="0.2">
      <c r="A5" s="739"/>
      <c r="B5" s="739"/>
      <c r="C5" s="598" t="s">
        <v>813</v>
      </c>
      <c r="D5" s="598" t="s">
        <v>1320</v>
      </c>
      <c r="E5" s="598" t="s">
        <v>814</v>
      </c>
      <c r="F5" s="598" t="s">
        <v>733</v>
      </c>
      <c r="G5" s="598" t="s">
        <v>708</v>
      </c>
      <c r="H5" s="598" t="s">
        <v>1404</v>
      </c>
      <c r="I5" s="598" t="s">
        <v>951</v>
      </c>
      <c r="J5" s="598" t="s">
        <v>952</v>
      </c>
      <c r="K5" s="598" t="s">
        <v>815</v>
      </c>
      <c r="L5" s="598" t="s">
        <v>816</v>
      </c>
      <c r="M5" s="601" t="s">
        <v>818</v>
      </c>
      <c r="N5" s="598" t="s">
        <v>1390</v>
      </c>
      <c r="O5" s="598" t="s">
        <v>984</v>
      </c>
      <c r="P5" s="598" t="s">
        <v>842</v>
      </c>
      <c r="Q5" s="598" t="s">
        <v>983</v>
      </c>
      <c r="R5" s="598" t="s">
        <v>1391</v>
      </c>
    </row>
    <row r="6" spans="1:18" s="495" customFormat="1" ht="22.5" hidden="1" x14ac:dyDescent="0.2">
      <c r="A6" s="740"/>
      <c r="B6" s="740"/>
      <c r="C6" s="601"/>
      <c r="D6" s="601" t="s">
        <v>603</v>
      </c>
      <c r="E6" s="601" t="s">
        <v>604</v>
      </c>
      <c r="F6" s="601" t="s">
        <v>843</v>
      </c>
      <c r="G6" s="601" t="s">
        <v>604</v>
      </c>
      <c r="H6" s="601" t="s">
        <v>604</v>
      </c>
      <c r="I6" s="601" t="s">
        <v>817</v>
      </c>
      <c r="J6" s="601" t="s">
        <v>817</v>
      </c>
      <c r="K6" s="601" t="s">
        <v>604</v>
      </c>
      <c r="L6" s="601" t="s">
        <v>604</v>
      </c>
      <c r="M6" s="601" t="s">
        <v>818</v>
      </c>
      <c r="N6" s="601" t="s">
        <v>836</v>
      </c>
      <c r="O6" s="601" t="s">
        <v>844</v>
      </c>
      <c r="P6" s="601" t="s">
        <v>604</v>
      </c>
      <c r="Q6" s="601" t="s">
        <v>604</v>
      </c>
      <c r="R6" s="601" t="s">
        <v>837</v>
      </c>
    </row>
    <row r="7" spans="1:18" ht="15.6" customHeight="1" x14ac:dyDescent="0.2">
      <c r="A7" s="378">
        <v>1</v>
      </c>
      <c r="B7" s="116" t="s">
        <v>5</v>
      </c>
      <c r="C7" s="379">
        <f>'8_2.1.19 SIS'!BH7</f>
        <v>0</v>
      </c>
      <c r="D7" s="380">
        <f>'Source Data'!Q7</f>
        <v>7587.5341296060997</v>
      </c>
      <c r="E7" s="381">
        <f>C7*D7</f>
        <v>0</v>
      </c>
      <c r="F7" s="381">
        <f>'Source Data'!G7</f>
        <v>777.48</v>
      </c>
      <c r="G7" s="381">
        <f>C7*F7</f>
        <v>0</v>
      </c>
      <c r="H7" s="382">
        <f>ROUND(E7+G7,0)</f>
        <v>0</v>
      </c>
      <c r="I7" s="118">
        <f>[2]Oct_Thrive!$G7</f>
        <v>0</v>
      </c>
      <c r="J7" s="118">
        <f>[3]Feb_Thrive!$G7</f>
        <v>0</v>
      </c>
      <c r="K7" s="122">
        <f t="shared" ref="K7:K38" si="1">I7+J7</f>
        <v>0</v>
      </c>
      <c r="L7" s="382">
        <f t="shared" ref="L7:L70" si="2">K7+H7</f>
        <v>0</v>
      </c>
      <c r="M7" s="380">
        <f>'[1]5A6_Thrive'!$J7</f>
        <v>0</v>
      </c>
      <c r="N7" s="121">
        <f>ROUND(SUM(L7:M7),0)</f>
        <v>0</v>
      </c>
      <c r="O7" s="118">
        <f>('[4]5A6_Thrive'!Q7*6)+('[7]5A6_Thrive'!Q7*2)</f>
        <v>0</v>
      </c>
      <c r="P7" s="118">
        <f>N7-O7</f>
        <v>0</v>
      </c>
      <c r="Q7" s="121">
        <f t="shared" ref="Q7:Q38" si="3">ROUND(P7/$Q$86,0)</f>
        <v>0</v>
      </c>
      <c r="R7" s="123">
        <f t="shared" ref="R7:R38" si="4">N7</f>
        <v>0</v>
      </c>
    </row>
    <row r="8" spans="1:18" ht="15.6" customHeight="1" x14ac:dyDescent="0.2">
      <c r="A8" s="383">
        <v>2</v>
      </c>
      <c r="B8" s="134" t="s">
        <v>6</v>
      </c>
      <c r="C8" s="384">
        <f>'8_2.1.19 SIS'!BH8</f>
        <v>0</v>
      </c>
      <c r="D8" s="385">
        <f>'Source Data'!Q8</f>
        <v>9483.6340239940018</v>
      </c>
      <c r="E8" s="386">
        <f t="shared" ref="E8:E71" si="5">C8*D8</f>
        <v>0</v>
      </c>
      <c r="F8" s="386">
        <f>'Source Data'!G8</f>
        <v>842.32</v>
      </c>
      <c r="G8" s="386">
        <f t="shared" ref="G8:G71" si="6">C8*F8</f>
        <v>0</v>
      </c>
      <c r="H8" s="387">
        <f t="shared" ref="H8:H71" si="7">ROUND(E8+G8,0)</f>
        <v>0</v>
      </c>
      <c r="I8" s="136">
        <f>[2]Oct_Thrive!$G8</f>
        <v>0</v>
      </c>
      <c r="J8" s="136">
        <f>[3]Feb_Thrive!$G8</f>
        <v>0</v>
      </c>
      <c r="K8" s="140">
        <f t="shared" si="1"/>
        <v>0</v>
      </c>
      <c r="L8" s="387">
        <f t="shared" si="2"/>
        <v>0</v>
      </c>
      <c r="M8" s="385">
        <f>'[1]5A6_Thrive'!$J8</f>
        <v>0</v>
      </c>
      <c r="N8" s="139">
        <f t="shared" ref="N8:N71" si="8">ROUND(SUM(L8:M8),0)</f>
        <v>0</v>
      </c>
      <c r="O8" s="136">
        <f>('[4]5A6_Thrive'!Q8*6)+('[7]5A6_Thrive'!Q8*2)</f>
        <v>0</v>
      </c>
      <c r="P8" s="136">
        <f t="shared" ref="P8:P71" si="9">N8-O8</f>
        <v>0</v>
      </c>
      <c r="Q8" s="139">
        <f t="shared" si="3"/>
        <v>0</v>
      </c>
      <c r="R8" s="139">
        <f t="shared" si="4"/>
        <v>0</v>
      </c>
    </row>
    <row r="9" spans="1:18" ht="15.6" customHeight="1" x14ac:dyDescent="0.2">
      <c r="A9" s="383">
        <v>3</v>
      </c>
      <c r="B9" s="134" t="s">
        <v>7</v>
      </c>
      <c r="C9" s="384">
        <f>'8_2.1.19 SIS'!BH9</f>
        <v>8</v>
      </c>
      <c r="D9" s="385">
        <f>'Source Data'!Q9</f>
        <v>7888.5784098624263</v>
      </c>
      <c r="E9" s="386">
        <f t="shared" si="5"/>
        <v>63108.62727889941</v>
      </c>
      <c r="F9" s="386">
        <f>'Source Data'!G9</f>
        <v>596.84</v>
      </c>
      <c r="G9" s="386">
        <f t="shared" si="6"/>
        <v>4774.72</v>
      </c>
      <c r="H9" s="387">
        <f t="shared" si="7"/>
        <v>67883</v>
      </c>
      <c r="I9" s="136">
        <f>[2]Oct_Thrive!$G9</f>
        <v>-8485</v>
      </c>
      <c r="J9" s="136">
        <f>[3]Feb_Thrive!$G9</f>
        <v>8485</v>
      </c>
      <c r="K9" s="140">
        <f t="shared" si="1"/>
        <v>0</v>
      </c>
      <c r="L9" s="387">
        <f t="shared" si="2"/>
        <v>67883</v>
      </c>
      <c r="M9" s="385">
        <f>'[1]5A6_Thrive'!$J9</f>
        <v>0</v>
      </c>
      <c r="N9" s="139">
        <f t="shared" si="8"/>
        <v>67883</v>
      </c>
      <c r="O9" s="136">
        <f>('[4]5A6_Thrive'!Q9*6)+('[7]5A6_Thrive'!Q9*2)</f>
        <v>45256</v>
      </c>
      <c r="P9" s="136">
        <f t="shared" si="9"/>
        <v>22627</v>
      </c>
      <c r="Q9" s="139">
        <f t="shared" si="3"/>
        <v>5657</v>
      </c>
      <c r="R9" s="139">
        <f t="shared" si="4"/>
        <v>67883</v>
      </c>
    </row>
    <row r="10" spans="1:18" ht="15.6" customHeight="1" x14ac:dyDescent="0.2">
      <c r="A10" s="383">
        <v>4</v>
      </c>
      <c r="B10" s="134" t="s">
        <v>8</v>
      </c>
      <c r="C10" s="384">
        <f>'8_2.1.19 SIS'!BH10</f>
        <v>0</v>
      </c>
      <c r="D10" s="385">
        <f>'Source Data'!Q10</f>
        <v>9693.2804096538584</v>
      </c>
      <c r="E10" s="386">
        <f t="shared" si="5"/>
        <v>0</v>
      </c>
      <c r="F10" s="386">
        <f>'Source Data'!G10</f>
        <v>585.76</v>
      </c>
      <c r="G10" s="386">
        <f t="shared" si="6"/>
        <v>0</v>
      </c>
      <c r="H10" s="387">
        <f t="shared" si="7"/>
        <v>0</v>
      </c>
      <c r="I10" s="136">
        <f>[2]Oct_Thrive!$G10</f>
        <v>0</v>
      </c>
      <c r="J10" s="136">
        <f>[3]Feb_Thrive!$G10</f>
        <v>0</v>
      </c>
      <c r="K10" s="140">
        <f t="shared" si="1"/>
        <v>0</v>
      </c>
      <c r="L10" s="387">
        <f t="shared" si="2"/>
        <v>0</v>
      </c>
      <c r="M10" s="385">
        <f>'[1]5A6_Thrive'!$J10</f>
        <v>0</v>
      </c>
      <c r="N10" s="139">
        <f t="shared" si="8"/>
        <v>0</v>
      </c>
      <c r="O10" s="136">
        <f>('[4]5A6_Thrive'!Q10*6)+('[7]5A6_Thrive'!Q10*2)</f>
        <v>0</v>
      </c>
      <c r="P10" s="136">
        <f t="shared" si="9"/>
        <v>0</v>
      </c>
      <c r="Q10" s="139">
        <f t="shared" si="3"/>
        <v>0</v>
      </c>
      <c r="R10" s="139">
        <f t="shared" si="4"/>
        <v>0</v>
      </c>
    </row>
    <row r="11" spans="1:18" ht="15.6" customHeight="1" x14ac:dyDescent="0.2">
      <c r="A11" s="388">
        <v>5</v>
      </c>
      <c r="B11" s="148" t="s">
        <v>9</v>
      </c>
      <c r="C11" s="389">
        <f>'8_2.1.19 SIS'!BH11</f>
        <v>0</v>
      </c>
      <c r="D11" s="390">
        <f>'Source Data'!Q11</f>
        <v>7894.1332215942311</v>
      </c>
      <c r="E11" s="391">
        <f t="shared" si="5"/>
        <v>0</v>
      </c>
      <c r="F11" s="391">
        <f>'Source Data'!G11</f>
        <v>555.91</v>
      </c>
      <c r="G11" s="391">
        <f t="shared" si="6"/>
        <v>0</v>
      </c>
      <c r="H11" s="392">
        <f t="shared" si="7"/>
        <v>0</v>
      </c>
      <c r="I11" s="150">
        <f>[2]Oct_Thrive!$G11</f>
        <v>0</v>
      </c>
      <c r="J11" s="150">
        <f>[3]Feb_Thrive!$G11</f>
        <v>0</v>
      </c>
      <c r="K11" s="154">
        <f t="shared" si="1"/>
        <v>0</v>
      </c>
      <c r="L11" s="392">
        <f t="shared" si="2"/>
        <v>0</v>
      </c>
      <c r="M11" s="390">
        <f>'[1]5A6_Thrive'!$J11</f>
        <v>0</v>
      </c>
      <c r="N11" s="153">
        <f t="shared" si="8"/>
        <v>0</v>
      </c>
      <c r="O11" s="156">
        <f>('[4]5A6_Thrive'!Q11*6)+('[7]5A6_Thrive'!Q11*2)</f>
        <v>0</v>
      </c>
      <c r="P11" s="150">
        <f t="shared" si="9"/>
        <v>0</v>
      </c>
      <c r="Q11" s="157">
        <f t="shared" si="3"/>
        <v>0</v>
      </c>
      <c r="R11" s="153">
        <f t="shared" si="4"/>
        <v>0</v>
      </c>
    </row>
    <row r="12" spans="1:18" ht="15.6" customHeight="1" x14ac:dyDescent="0.2">
      <c r="A12" s="378">
        <v>6</v>
      </c>
      <c r="B12" s="116" t="s">
        <v>10</v>
      </c>
      <c r="C12" s="379">
        <f>'8_2.1.19 SIS'!BH12</f>
        <v>0</v>
      </c>
      <c r="D12" s="380">
        <f>'Source Data'!Q12</f>
        <v>9116.9637929842756</v>
      </c>
      <c r="E12" s="381">
        <f t="shared" si="5"/>
        <v>0</v>
      </c>
      <c r="F12" s="381">
        <f>'Source Data'!G12</f>
        <v>545.4799999999999</v>
      </c>
      <c r="G12" s="381">
        <f t="shared" si="6"/>
        <v>0</v>
      </c>
      <c r="H12" s="382">
        <f t="shared" si="7"/>
        <v>0</v>
      </c>
      <c r="I12" s="118">
        <f>[2]Oct_Thrive!$G12</f>
        <v>0</v>
      </c>
      <c r="J12" s="118">
        <f>[3]Feb_Thrive!$G12</f>
        <v>0</v>
      </c>
      <c r="K12" s="122">
        <f t="shared" si="1"/>
        <v>0</v>
      </c>
      <c r="L12" s="382">
        <f t="shared" si="2"/>
        <v>0</v>
      </c>
      <c r="M12" s="380">
        <f>'[1]5A6_Thrive'!$J12</f>
        <v>0</v>
      </c>
      <c r="N12" s="121">
        <f t="shared" si="8"/>
        <v>0</v>
      </c>
      <c r="O12" s="118">
        <f>('[4]5A6_Thrive'!Q12*6)+('[7]5A6_Thrive'!Q12*2)</f>
        <v>0</v>
      </c>
      <c r="P12" s="118">
        <f t="shared" si="9"/>
        <v>0</v>
      </c>
      <c r="Q12" s="121">
        <f t="shared" si="3"/>
        <v>0</v>
      </c>
      <c r="R12" s="123">
        <f t="shared" si="4"/>
        <v>0</v>
      </c>
    </row>
    <row r="13" spans="1:18" ht="15.6" customHeight="1" x14ac:dyDescent="0.2">
      <c r="A13" s="383">
        <v>7</v>
      </c>
      <c r="B13" s="134" t="s">
        <v>11</v>
      </c>
      <c r="C13" s="384">
        <f>'8_2.1.19 SIS'!BH13</f>
        <v>0</v>
      </c>
      <c r="D13" s="385">
        <f>'Source Data'!Q13</f>
        <v>8630.2421093000958</v>
      </c>
      <c r="E13" s="386">
        <f t="shared" si="5"/>
        <v>0</v>
      </c>
      <c r="F13" s="386">
        <f>'Source Data'!G13</f>
        <v>756.91999999999985</v>
      </c>
      <c r="G13" s="386">
        <f t="shared" si="6"/>
        <v>0</v>
      </c>
      <c r="H13" s="387">
        <f t="shared" si="7"/>
        <v>0</v>
      </c>
      <c r="I13" s="136">
        <f>[2]Oct_Thrive!$G13</f>
        <v>0</v>
      </c>
      <c r="J13" s="136">
        <f>[3]Feb_Thrive!$G13</f>
        <v>0</v>
      </c>
      <c r="K13" s="140">
        <f t="shared" si="1"/>
        <v>0</v>
      </c>
      <c r="L13" s="387">
        <f t="shared" si="2"/>
        <v>0</v>
      </c>
      <c r="M13" s="385">
        <f>'[1]5A6_Thrive'!$J13</f>
        <v>0</v>
      </c>
      <c r="N13" s="139">
        <f t="shared" si="8"/>
        <v>0</v>
      </c>
      <c r="O13" s="136">
        <f>('[4]5A6_Thrive'!Q13*6)+('[7]5A6_Thrive'!Q13*2)</f>
        <v>0</v>
      </c>
      <c r="P13" s="136">
        <f t="shared" si="9"/>
        <v>0</v>
      </c>
      <c r="Q13" s="139">
        <f t="shared" si="3"/>
        <v>0</v>
      </c>
      <c r="R13" s="139">
        <f t="shared" si="4"/>
        <v>0</v>
      </c>
    </row>
    <row r="14" spans="1:18" ht="15.6" customHeight="1" x14ac:dyDescent="0.2">
      <c r="A14" s="383">
        <v>8</v>
      </c>
      <c r="B14" s="134" t="s">
        <v>12</v>
      </c>
      <c r="C14" s="384">
        <f>'8_2.1.19 SIS'!BH14</f>
        <v>0</v>
      </c>
      <c r="D14" s="385">
        <f>'Source Data'!Q14</f>
        <v>8622.6556992695532</v>
      </c>
      <c r="E14" s="386">
        <f t="shared" si="5"/>
        <v>0</v>
      </c>
      <c r="F14" s="386">
        <f>'Source Data'!G14</f>
        <v>725.76</v>
      </c>
      <c r="G14" s="386">
        <f t="shared" si="6"/>
        <v>0</v>
      </c>
      <c r="H14" s="387">
        <f t="shared" si="7"/>
        <v>0</v>
      </c>
      <c r="I14" s="136">
        <f>[2]Oct_Thrive!$G14</f>
        <v>0</v>
      </c>
      <c r="J14" s="136">
        <f>[3]Feb_Thrive!$G14</f>
        <v>0</v>
      </c>
      <c r="K14" s="140">
        <f t="shared" si="1"/>
        <v>0</v>
      </c>
      <c r="L14" s="387">
        <f t="shared" si="2"/>
        <v>0</v>
      </c>
      <c r="M14" s="385">
        <f>'[1]5A6_Thrive'!$J14</f>
        <v>0</v>
      </c>
      <c r="N14" s="139">
        <f t="shared" si="8"/>
        <v>0</v>
      </c>
      <c r="O14" s="136">
        <f>('[4]5A6_Thrive'!Q14*6)+('[7]5A6_Thrive'!Q14*2)</f>
        <v>0</v>
      </c>
      <c r="P14" s="136">
        <f t="shared" si="9"/>
        <v>0</v>
      </c>
      <c r="Q14" s="139">
        <f t="shared" si="3"/>
        <v>0</v>
      </c>
      <c r="R14" s="139">
        <f t="shared" si="4"/>
        <v>0</v>
      </c>
    </row>
    <row r="15" spans="1:18" ht="15.6" customHeight="1" x14ac:dyDescent="0.2">
      <c r="A15" s="383">
        <v>9</v>
      </c>
      <c r="B15" s="134" t="s">
        <v>13</v>
      </c>
      <c r="C15" s="384">
        <f>'8_2.1.19 SIS'!BH15</f>
        <v>0</v>
      </c>
      <c r="D15" s="385">
        <f>'Source Data'!Q15</f>
        <v>8415.8393824117084</v>
      </c>
      <c r="E15" s="386">
        <f t="shared" si="5"/>
        <v>0</v>
      </c>
      <c r="F15" s="386">
        <f>'Source Data'!G15</f>
        <v>744.76</v>
      </c>
      <c r="G15" s="386">
        <f t="shared" si="6"/>
        <v>0</v>
      </c>
      <c r="H15" s="387">
        <f t="shared" si="7"/>
        <v>0</v>
      </c>
      <c r="I15" s="136">
        <f>[2]Oct_Thrive!$G15</f>
        <v>0</v>
      </c>
      <c r="J15" s="136">
        <f>[3]Feb_Thrive!$G15</f>
        <v>0</v>
      </c>
      <c r="K15" s="140">
        <f t="shared" si="1"/>
        <v>0</v>
      </c>
      <c r="L15" s="387">
        <f t="shared" si="2"/>
        <v>0</v>
      </c>
      <c r="M15" s="385">
        <f>'[1]5A6_Thrive'!$J15</f>
        <v>0</v>
      </c>
      <c r="N15" s="139">
        <f t="shared" si="8"/>
        <v>0</v>
      </c>
      <c r="O15" s="136">
        <f>('[4]5A6_Thrive'!Q15*6)+('[7]5A6_Thrive'!Q15*2)</f>
        <v>0</v>
      </c>
      <c r="P15" s="136">
        <f t="shared" si="9"/>
        <v>0</v>
      </c>
      <c r="Q15" s="139">
        <f t="shared" si="3"/>
        <v>0</v>
      </c>
      <c r="R15" s="139">
        <f t="shared" si="4"/>
        <v>0</v>
      </c>
    </row>
    <row r="16" spans="1:18" ht="15.6" customHeight="1" x14ac:dyDescent="0.2">
      <c r="A16" s="388">
        <v>10</v>
      </c>
      <c r="B16" s="148" t="s">
        <v>14</v>
      </c>
      <c r="C16" s="389">
        <f>'8_2.1.19 SIS'!BH16</f>
        <v>0</v>
      </c>
      <c r="D16" s="390">
        <f>'Source Data'!Q16</f>
        <v>8154.5704225776335</v>
      </c>
      <c r="E16" s="391">
        <f t="shared" si="5"/>
        <v>0</v>
      </c>
      <c r="F16" s="391">
        <f>'Source Data'!G16</f>
        <v>608.04000000000008</v>
      </c>
      <c r="G16" s="391">
        <f t="shared" si="6"/>
        <v>0</v>
      </c>
      <c r="H16" s="392">
        <f t="shared" si="7"/>
        <v>0</v>
      </c>
      <c r="I16" s="150">
        <f>[2]Oct_Thrive!$G16</f>
        <v>0</v>
      </c>
      <c r="J16" s="150">
        <f>[3]Feb_Thrive!$G16</f>
        <v>0</v>
      </c>
      <c r="K16" s="154">
        <f t="shared" si="1"/>
        <v>0</v>
      </c>
      <c r="L16" s="392">
        <f t="shared" si="2"/>
        <v>0</v>
      </c>
      <c r="M16" s="390">
        <f>'[1]5A6_Thrive'!$J16</f>
        <v>0</v>
      </c>
      <c r="N16" s="153">
        <f t="shared" si="8"/>
        <v>0</v>
      </c>
      <c r="O16" s="156">
        <f>('[4]5A6_Thrive'!Q16*6)+('[7]5A6_Thrive'!Q16*2)</f>
        <v>0</v>
      </c>
      <c r="P16" s="150">
        <f t="shared" si="9"/>
        <v>0</v>
      </c>
      <c r="Q16" s="157">
        <f t="shared" si="3"/>
        <v>0</v>
      </c>
      <c r="R16" s="153">
        <f t="shared" si="4"/>
        <v>0</v>
      </c>
    </row>
    <row r="17" spans="1:18" ht="15.6" customHeight="1" x14ac:dyDescent="0.2">
      <c r="A17" s="378">
        <v>11</v>
      </c>
      <c r="B17" s="116" t="s">
        <v>15</v>
      </c>
      <c r="C17" s="379">
        <f>'8_2.1.19 SIS'!BH17</f>
        <v>0</v>
      </c>
      <c r="D17" s="380">
        <f>'Source Data'!Q17</f>
        <v>10617.838758085381</v>
      </c>
      <c r="E17" s="381">
        <f t="shared" si="5"/>
        <v>0</v>
      </c>
      <c r="F17" s="381">
        <f>'Source Data'!G17</f>
        <v>706.55</v>
      </c>
      <c r="G17" s="381">
        <f t="shared" si="6"/>
        <v>0</v>
      </c>
      <c r="H17" s="382">
        <f t="shared" si="7"/>
        <v>0</v>
      </c>
      <c r="I17" s="118">
        <f>[2]Oct_Thrive!$G17</f>
        <v>0</v>
      </c>
      <c r="J17" s="118">
        <f>[3]Feb_Thrive!$G17</f>
        <v>0</v>
      </c>
      <c r="K17" s="122">
        <f t="shared" si="1"/>
        <v>0</v>
      </c>
      <c r="L17" s="382">
        <f t="shared" si="2"/>
        <v>0</v>
      </c>
      <c r="M17" s="380">
        <f>'[1]5A6_Thrive'!$J17</f>
        <v>0</v>
      </c>
      <c r="N17" s="121">
        <f t="shared" si="8"/>
        <v>0</v>
      </c>
      <c r="O17" s="118">
        <f>('[4]5A6_Thrive'!Q17*6)+('[7]5A6_Thrive'!Q17*2)</f>
        <v>0</v>
      </c>
      <c r="P17" s="118">
        <f t="shared" si="9"/>
        <v>0</v>
      </c>
      <c r="Q17" s="121">
        <f t="shared" si="3"/>
        <v>0</v>
      </c>
      <c r="R17" s="123">
        <f t="shared" si="4"/>
        <v>0</v>
      </c>
    </row>
    <row r="18" spans="1:18" ht="15.6" customHeight="1" x14ac:dyDescent="0.2">
      <c r="A18" s="383">
        <v>12</v>
      </c>
      <c r="B18" s="134" t="s">
        <v>16</v>
      </c>
      <c r="C18" s="384">
        <f>'8_2.1.19 SIS'!BH18</f>
        <v>0</v>
      </c>
      <c r="D18" s="385">
        <f>'Source Data'!Q18</f>
        <v>8282.0106463878328</v>
      </c>
      <c r="E18" s="386">
        <f t="shared" si="5"/>
        <v>0</v>
      </c>
      <c r="F18" s="386">
        <f>'Source Data'!G18</f>
        <v>1063.31</v>
      </c>
      <c r="G18" s="386">
        <f t="shared" si="6"/>
        <v>0</v>
      </c>
      <c r="H18" s="387">
        <f t="shared" si="7"/>
        <v>0</v>
      </c>
      <c r="I18" s="136">
        <f>[2]Oct_Thrive!$G18</f>
        <v>0</v>
      </c>
      <c r="J18" s="136">
        <f>[3]Feb_Thrive!$G18</f>
        <v>0</v>
      </c>
      <c r="K18" s="140">
        <f t="shared" si="1"/>
        <v>0</v>
      </c>
      <c r="L18" s="387">
        <f t="shared" si="2"/>
        <v>0</v>
      </c>
      <c r="M18" s="385">
        <f>'[1]5A6_Thrive'!$J18</f>
        <v>0</v>
      </c>
      <c r="N18" s="139">
        <f t="shared" si="8"/>
        <v>0</v>
      </c>
      <c r="O18" s="136">
        <f>('[4]5A6_Thrive'!Q18*6)+('[7]5A6_Thrive'!Q18*2)</f>
        <v>0</v>
      </c>
      <c r="P18" s="136">
        <f t="shared" si="9"/>
        <v>0</v>
      </c>
      <c r="Q18" s="139">
        <f t="shared" si="3"/>
        <v>0</v>
      </c>
      <c r="R18" s="139">
        <f t="shared" si="4"/>
        <v>0</v>
      </c>
    </row>
    <row r="19" spans="1:18" ht="15.6" customHeight="1" x14ac:dyDescent="0.2">
      <c r="A19" s="383">
        <v>13</v>
      </c>
      <c r="B19" s="134" t="s">
        <v>17</v>
      </c>
      <c r="C19" s="384">
        <f>'8_2.1.19 SIS'!BH19</f>
        <v>0</v>
      </c>
      <c r="D19" s="385">
        <f>'Source Data'!Q19</f>
        <v>9581.8570750988147</v>
      </c>
      <c r="E19" s="386">
        <f t="shared" si="5"/>
        <v>0</v>
      </c>
      <c r="F19" s="386">
        <f>'Source Data'!G19</f>
        <v>749.43000000000006</v>
      </c>
      <c r="G19" s="386">
        <f t="shared" si="6"/>
        <v>0</v>
      </c>
      <c r="H19" s="387">
        <f t="shared" si="7"/>
        <v>0</v>
      </c>
      <c r="I19" s="136">
        <f>[2]Oct_Thrive!$G19</f>
        <v>0</v>
      </c>
      <c r="J19" s="136">
        <f>[3]Feb_Thrive!$G19</f>
        <v>0</v>
      </c>
      <c r="K19" s="140">
        <f t="shared" si="1"/>
        <v>0</v>
      </c>
      <c r="L19" s="387">
        <f t="shared" si="2"/>
        <v>0</v>
      </c>
      <c r="M19" s="385">
        <f>'[1]5A6_Thrive'!$J19</f>
        <v>0</v>
      </c>
      <c r="N19" s="139">
        <f t="shared" si="8"/>
        <v>0</v>
      </c>
      <c r="O19" s="136">
        <f>('[4]5A6_Thrive'!Q19*6)+('[7]5A6_Thrive'!Q19*2)</f>
        <v>0</v>
      </c>
      <c r="P19" s="136">
        <f t="shared" si="9"/>
        <v>0</v>
      </c>
      <c r="Q19" s="139">
        <f t="shared" si="3"/>
        <v>0</v>
      </c>
      <c r="R19" s="139">
        <f t="shared" si="4"/>
        <v>0</v>
      </c>
    </row>
    <row r="20" spans="1:18" ht="15.6" customHeight="1" x14ac:dyDescent="0.2">
      <c r="A20" s="383">
        <v>14</v>
      </c>
      <c r="B20" s="134" t="s">
        <v>18</v>
      </c>
      <c r="C20" s="384">
        <f>'8_2.1.19 SIS'!BH20</f>
        <v>0</v>
      </c>
      <c r="D20" s="385">
        <f>'Source Data'!Q20</f>
        <v>9820.2871797817352</v>
      </c>
      <c r="E20" s="386">
        <f t="shared" si="5"/>
        <v>0</v>
      </c>
      <c r="F20" s="386">
        <f>'Source Data'!G20</f>
        <v>809.9799999999999</v>
      </c>
      <c r="G20" s="386">
        <f t="shared" si="6"/>
        <v>0</v>
      </c>
      <c r="H20" s="387">
        <f t="shared" si="7"/>
        <v>0</v>
      </c>
      <c r="I20" s="136">
        <f>[2]Oct_Thrive!$G20</f>
        <v>0</v>
      </c>
      <c r="J20" s="136">
        <f>[3]Feb_Thrive!$G20</f>
        <v>0</v>
      </c>
      <c r="K20" s="140">
        <f t="shared" si="1"/>
        <v>0</v>
      </c>
      <c r="L20" s="387">
        <f t="shared" si="2"/>
        <v>0</v>
      </c>
      <c r="M20" s="385">
        <f>'[1]5A6_Thrive'!$J20</f>
        <v>0</v>
      </c>
      <c r="N20" s="139">
        <f t="shared" si="8"/>
        <v>0</v>
      </c>
      <c r="O20" s="136">
        <f>('[4]5A6_Thrive'!Q20*6)+('[7]5A6_Thrive'!Q20*2)</f>
        <v>0</v>
      </c>
      <c r="P20" s="136">
        <f t="shared" si="9"/>
        <v>0</v>
      </c>
      <c r="Q20" s="139">
        <f t="shared" si="3"/>
        <v>0</v>
      </c>
      <c r="R20" s="139">
        <f t="shared" si="4"/>
        <v>0</v>
      </c>
    </row>
    <row r="21" spans="1:18" ht="15.6" customHeight="1" x14ac:dyDescent="0.2">
      <c r="A21" s="388">
        <v>15</v>
      </c>
      <c r="B21" s="148" t="s">
        <v>19</v>
      </c>
      <c r="C21" s="389">
        <f>'8_2.1.19 SIS'!BH21</f>
        <v>0</v>
      </c>
      <c r="D21" s="390">
        <f>'Source Data'!Q21</f>
        <v>9323.3158295964131</v>
      </c>
      <c r="E21" s="391">
        <f t="shared" si="5"/>
        <v>0</v>
      </c>
      <c r="F21" s="391">
        <f>'Source Data'!G21</f>
        <v>553.79999999999995</v>
      </c>
      <c r="G21" s="391">
        <f t="shared" si="6"/>
        <v>0</v>
      </c>
      <c r="H21" s="392">
        <f t="shared" si="7"/>
        <v>0</v>
      </c>
      <c r="I21" s="150">
        <f>[2]Oct_Thrive!$G21</f>
        <v>0</v>
      </c>
      <c r="J21" s="150">
        <f>[3]Feb_Thrive!$G21</f>
        <v>0</v>
      </c>
      <c r="K21" s="154">
        <f t="shared" si="1"/>
        <v>0</v>
      </c>
      <c r="L21" s="392">
        <f t="shared" si="2"/>
        <v>0</v>
      </c>
      <c r="M21" s="390">
        <f>'[1]5A6_Thrive'!$J21</f>
        <v>0</v>
      </c>
      <c r="N21" s="153">
        <f t="shared" si="8"/>
        <v>0</v>
      </c>
      <c r="O21" s="156">
        <f>('[4]5A6_Thrive'!Q21*6)+('[7]5A6_Thrive'!Q21*2)</f>
        <v>0</v>
      </c>
      <c r="P21" s="150">
        <f t="shared" si="9"/>
        <v>0</v>
      </c>
      <c r="Q21" s="157">
        <f t="shared" si="3"/>
        <v>0</v>
      </c>
      <c r="R21" s="153">
        <f t="shared" si="4"/>
        <v>0</v>
      </c>
    </row>
    <row r="22" spans="1:18" ht="15.6" customHeight="1" x14ac:dyDescent="0.2">
      <c r="A22" s="378">
        <v>16</v>
      </c>
      <c r="B22" s="116" t="s">
        <v>20</v>
      </c>
      <c r="C22" s="379">
        <f>'8_2.1.19 SIS'!BH22</f>
        <v>0</v>
      </c>
      <c r="D22" s="380">
        <f>'Source Data'!Q22</f>
        <v>7852.0809326424878</v>
      </c>
      <c r="E22" s="381">
        <f t="shared" si="5"/>
        <v>0</v>
      </c>
      <c r="F22" s="381">
        <f>'Source Data'!G22</f>
        <v>686.73</v>
      </c>
      <c r="G22" s="381">
        <f t="shared" si="6"/>
        <v>0</v>
      </c>
      <c r="H22" s="382">
        <f t="shared" si="7"/>
        <v>0</v>
      </c>
      <c r="I22" s="118">
        <f>[2]Oct_Thrive!$G22</f>
        <v>0</v>
      </c>
      <c r="J22" s="118">
        <f>[3]Feb_Thrive!$G22</f>
        <v>0</v>
      </c>
      <c r="K22" s="122">
        <f t="shared" si="1"/>
        <v>0</v>
      </c>
      <c r="L22" s="382">
        <f t="shared" si="2"/>
        <v>0</v>
      </c>
      <c r="M22" s="380">
        <f>'[1]5A6_Thrive'!$J22</f>
        <v>0</v>
      </c>
      <c r="N22" s="121">
        <f t="shared" si="8"/>
        <v>0</v>
      </c>
      <c r="O22" s="118">
        <f>('[4]5A6_Thrive'!Q22*6)+('[7]5A6_Thrive'!Q22*2)</f>
        <v>0</v>
      </c>
      <c r="P22" s="118">
        <f t="shared" si="9"/>
        <v>0</v>
      </c>
      <c r="Q22" s="121">
        <f t="shared" si="3"/>
        <v>0</v>
      </c>
      <c r="R22" s="123">
        <f t="shared" si="4"/>
        <v>0</v>
      </c>
    </row>
    <row r="23" spans="1:18" ht="15.6" customHeight="1" x14ac:dyDescent="0.2">
      <c r="A23" s="383">
        <v>17</v>
      </c>
      <c r="B23" s="134" t="s">
        <v>21</v>
      </c>
      <c r="C23" s="384">
        <f>'8_2.1.19 SIS'!BH23</f>
        <v>141</v>
      </c>
      <c r="D23" s="385">
        <f>'Source Data'!Q23</f>
        <v>8150.7008961895181</v>
      </c>
      <c r="E23" s="386">
        <f t="shared" si="5"/>
        <v>1149248.8263627221</v>
      </c>
      <c r="F23" s="386">
        <f>'Source Data'!G23</f>
        <v>801.48</v>
      </c>
      <c r="G23" s="386">
        <f t="shared" si="6"/>
        <v>113008.68000000001</v>
      </c>
      <c r="H23" s="387">
        <f t="shared" si="7"/>
        <v>1262258</v>
      </c>
      <c r="I23" s="136">
        <f>[2]Oct_Thrive!$G23</f>
        <v>-35809</v>
      </c>
      <c r="J23" s="136">
        <f>[3]Feb_Thrive!$G23</f>
        <v>-22380</v>
      </c>
      <c r="K23" s="140">
        <f t="shared" si="1"/>
        <v>-58189</v>
      </c>
      <c r="L23" s="387">
        <f t="shared" si="2"/>
        <v>1204069</v>
      </c>
      <c r="M23" s="385">
        <f>'[1]5A6_Thrive'!$J23</f>
        <v>26675</v>
      </c>
      <c r="N23" s="139">
        <f t="shared" si="8"/>
        <v>1230744</v>
      </c>
      <c r="O23" s="136">
        <f>('[4]5A6_Thrive'!Q23*6)+('[7]5A6_Thrive'!Q23*2)</f>
        <v>859288</v>
      </c>
      <c r="P23" s="136">
        <f t="shared" si="9"/>
        <v>371456</v>
      </c>
      <c r="Q23" s="139">
        <f t="shared" si="3"/>
        <v>92864</v>
      </c>
      <c r="R23" s="139">
        <f t="shared" si="4"/>
        <v>1230744</v>
      </c>
    </row>
    <row r="24" spans="1:18" ht="15.6" customHeight="1" x14ac:dyDescent="0.2">
      <c r="A24" s="383">
        <v>18</v>
      </c>
      <c r="B24" s="134" t="s">
        <v>22</v>
      </c>
      <c r="C24" s="384">
        <f>'8_2.1.19 SIS'!BH24</f>
        <v>0</v>
      </c>
      <c r="D24" s="385">
        <f>'Source Data'!Q24</f>
        <v>10018.317884187083</v>
      </c>
      <c r="E24" s="386">
        <f t="shared" si="5"/>
        <v>0</v>
      </c>
      <c r="F24" s="386">
        <f>'Source Data'!G24</f>
        <v>845.94999999999993</v>
      </c>
      <c r="G24" s="386">
        <f t="shared" si="6"/>
        <v>0</v>
      </c>
      <c r="H24" s="387">
        <f t="shared" si="7"/>
        <v>0</v>
      </c>
      <c r="I24" s="136">
        <f>[2]Oct_Thrive!$G24</f>
        <v>0</v>
      </c>
      <c r="J24" s="136">
        <f>[3]Feb_Thrive!$G24</f>
        <v>0</v>
      </c>
      <c r="K24" s="140">
        <f t="shared" si="1"/>
        <v>0</v>
      </c>
      <c r="L24" s="387">
        <f t="shared" si="2"/>
        <v>0</v>
      </c>
      <c r="M24" s="385">
        <f>'[1]5A6_Thrive'!$J24</f>
        <v>0</v>
      </c>
      <c r="N24" s="139">
        <f t="shared" si="8"/>
        <v>0</v>
      </c>
      <c r="O24" s="136">
        <f>('[4]5A6_Thrive'!Q24*6)+('[7]5A6_Thrive'!Q24*2)</f>
        <v>0</v>
      </c>
      <c r="P24" s="136">
        <f t="shared" si="9"/>
        <v>0</v>
      </c>
      <c r="Q24" s="139">
        <f t="shared" si="3"/>
        <v>0</v>
      </c>
      <c r="R24" s="139">
        <f t="shared" si="4"/>
        <v>0</v>
      </c>
    </row>
    <row r="25" spans="1:18" ht="15.6" customHeight="1" x14ac:dyDescent="0.2">
      <c r="A25" s="383">
        <v>19</v>
      </c>
      <c r="B25" s="134" t="s">
        <v>23</v>
      </c>
      <c r="C25" s="384">
        <f>'8_2.1.19 SIS'!BH25</f>
        <v>0</v>
      </c>
      <c r="D25" s="385">
        <f>'Source Data'!Q25</f>
        <v>8644.4808436324547</v>
      </c>
      <c r="E25" s="386">
        <f t="shared" si="5"/>
        <v>0</v>
      </c>
      <c r="F25" s="386">
        <f>'Source Data'!G25</f>
        <v>905.43</v>
      </c>
      <c r="G25" s="386">
        <f t="shared" si="6"/>
        <v>0</v>
      </c>
      <c r="H25" s="387">
        <f t="shared" si="7"/>
        <v>0</v>
      </c>
      <c r="I25" s="136">
        <f>[2]Oct_Thrive!$G25</f>
        <v>0</v>
      </c>
      <c r="J25" s="136">
        <f>[3]Feb_Thrive!$G25</f>
        <v>0</v>
      </c>
      <c r="K25" s="140">
        <f t="shared" si="1"/>
        <v>0</v>
      </c>
      <c r="L25" s="387">
        <f t="shared" si="2"/>
        <v>0</v>
      </c>
      <c r="M25" s="385">
        <f>'[1]5A6_Thrive'!$J25</f>
        <v>0</v>
      </c>
      <c r="N25" s="139">
        <f t="shared" si="8"/>
        <v>0</v>
      </c>
      <c r="O25" s="136">
        <f>('[4]5A6_Thrive'!Q25*6)+('[7]5A6_Thrive'!Q25*2)</f>
        <v>0</v>
      </c>
      <c r="P25" s="136">
        <f t="shared" si="9"/>
        <v>0</v>
      </c>
      <c r="Q25" s="139">
        <f t="shared" si="3"/>
        <v>0</v>
      </c>
      <c r="R25" s="139">
        <f t="shared" si="4"/>
        <v>0</v>
      </c>
    </row>
    <row r="26" spans="1:18" ht="15.6" customHeight="1" x14ac:dyDescent="0.2">
      <c r="A26" s="388">
        <v>20</v>
      </c>
      <c r="B26" s="148" t="s">
        <v>24</v>
      </c>
      <c r="C26" s="389">
        <f>'8_2.1.19 SIS'!BH26</f>
        <v>0</v>
      </c>
      <c r="D26" s="390">
        <f>'Source Data'!Q26</f>
        <v>8404.2197593153869</v>
      </c>
      <c r="E26" s="391">
        <f t="shared" si="5"/>
        <v>0</v>
      </c>
      <c r="F26" s="391">
        <f>'Source Data'!G26</f>
        <v>586.16999999999996</v>
      </c>
      <c r="G26" s="391">
        <f t="shared" si="6"/>
        <v>0</v>
      </c>
      <c r="H26" s="392">
        <f t="shared" si="7"/>
        <v>0</v>
      </c>
      <c r="I26" s="150">
        <f>[2]Oct_Thrive!$G26</f>
        <v>0</v>
      </c>
      <c r="J26" s="150">
        <f>[3]Feb_Thrive!$G26</f>
        <v>0</v>
      </c>
      <c r="K26" s="154">
        <f t="shared" si="1"/>
        <v>0</v>
      </c>
      <c r="L26" s="392">
        <f t="shared" si="2"/>
        <v>0</v>
      </c>
      <c r="M26" s="390">
        <f>'[1]5A6_Thrive'!$J26</f>
        <v>0</v>
      </c>
      <c r="N26" s="153">
        <f t="shared" si="8"/>
        <v>0</v>
      </c>
      <c r="O26" s="156">
        <f>('[4]5A6_Thrive'!Q26*6)+('[7]5A6_Thrive'!Q26*2)</f>
        <v>0</v>
      </c>
      <c r="P26" s="150">
        <f t="shared" si="9"/>
        <v>0</v>
      </c>
      <c r="Q26" s="157">
        <f t="shared" si="3"/>
        <v>0</v>
      </c>
      <c r="R26" s="153">
        <f t="shared" si="4"/>
        <v>0</v>
      </c>
    </row>
    <row r="27" spans="1:18" ht="15.6" customHeight="1" x14ac:dyDescent="0.2">
      <c r="A27" s="378">
        <v>21</v>
      </c>
      <c r="B27" s="116" t="s">
        <v>25</v>
      </c>
      <c r="C27" s="379">
        <f>'8_2.1.19 SIS'!BH27</f>
        <v>0</v>
      </c>
      <c r="D27" s="380">
        <f>'Source Data'!Q27</f>
        <v>9013.7568064952648</v>
      </c>
      <c r="E27" s="381">
        <f t="shared" si="5"/>
        <v>0</v>
      </c>
      <c r="F27" s="381">
        <f>'Source Data'!G27</f>
        <v>610.35</v>
      </c>
      <c r="G27" s="381">
        <f t="shared" si="6"/>
        <v>0</v>
      </c>
      <c r="H27" s="382">
        <f t="shared" si="7"/>
        <v>0</v>
      </c>
      <c r="I27" s="118">
        <f>[2]Oct_Thrive!$G27</f>
        <v>0</v>
      </c>
      <c r="J27" s="118">
        <f>[3]Feb_Thrive!$G27</f>
        <v>0</v>
      </c>
      <c r="K27" s="122">
        <f t="shared" si="1"/>
        <v>0</v>
      </c>
      <c r="L27" s="382">
        <f t="shared" si="2"/>
        <v>0</v>
      </c>
      <c r="M27" s="380">
        <f>'[1]5A6_Thrive'!$J27</f>
        <v>0</v>
      </c>
      <c r="N27" s="121">
        <f t="shared" si="8"/>
        <v>0</v>
      </c>
      <c r="O27" s="118">
        <f>('[4]5A6_Thrive'!Q27*6)+('[7]5A6_Thrive'!Q27*2)</f>
        <v>0</v>
      </c>
      <c r="P27" s="118">
        <f t="shared" si="9"/>
        <v>0</v>
      </c>
      <c r="Q27" s="121">
        <f t="shared" si="3"/>
        <v>0</v>
      </c>
      <c r="R27" s="123">
        <f t="shared" si="4"/>
        <v>0</v>
      </c>
    </row>
    <row r="28" spans="1:18" ht="15.6" customHeight="1" x14ac:dyDescent="0.2">
      <c r="A28" s="383">
        <v>22</v>
      </c>
      <c r="B28" s="134" t="s">
        <v>26</v>
      </c>
      <c r="C28" s="384">
        <f>'8_2.1.19 SIS'!BH28</f>
        <v>0</v>
      </c>
      <c r="D28" s="385">
        <f>'Source Data'!Q28</f>
        <v>8966.678524871355</v>
      </c>
      <c r="E28" s="386">
        <f t="shared" si="5"/>
        <v>0</v>
      </c>
      <c r="F28" s="386">
        <f>'Source Data'!G28</f>
        <v>496.36</v>
      </c>
      <c r="G28" s="386">
        <f t="shared" si="6"/>
        <v>0</v>
      </c>
      <c r="H28" s="387">
        <f t="shared" si="7"/>
        <v>0</v>
      </c>
      <c r="I28" s="136">
        <f>[2]Oct_Thrive!$G28</f>
        <v>0</v>
      </c>
      <c r="J28" s="136">
        <f>[3]Feb_Thrive!$G28</f>
        <v>0</v>
      </c>
      <c r="K28" s="140">
        <f t="shared" si="1"/>
        <v>0</v>
      </c>
      <c r="L28" s="387">
        <f t="shared" si="2"/>
        <v>0</v>
      </c>
      <c r="M28" s="385">
        <f>'[1]5A6_Thrive'!$J28</f>
        <v>0</v>
      </c>
      <c r="N28" s="139">
        <f t="shared" si="8"/>
        <v>0</v>
      </c>
      <c r="O28" s="136">
        <f>('[4]5A6_Thrive'!Q28*6)+('[7]5A6_Thrive'!Q28*2)</f>
        <v>0</v>
      </c>
      <c r="P28" s="136">
        <f t="shared" si="9"/>
        <v>0</v>
      </c>
      <c r="Q28" s="139">
        <f t="shared" si="3"/>
        <v>0</v>
      </c>
      <c r="R28" s="139">
        <f t="shared" si="4"/>
        <v>0</v>
      </c>
    </row>
    <row r="29" spans="1:18" ht="15.6" customHeight="1" x14ac:dyDescent="0.2">
      <c r="A29" s="383">
        <v>23</v>
      </c>
      <c r="B29" s="134" t="s">
        <v>27</v>
      </c>
      <c r="C29" s="384">
        <f>'8_2.1.19 SIS'!BH29</f>
        <v>0</v>
      </c>
      <c r="D29" s="385">
        <f>'Source Data'!Q29</f>
        <v>8906.389789232906</v>
      </c>
      <c r="E29" s="386">
        <f t="shared" si="5"/>
        <v>0</v>
      </c>
      <c r="F29" s="386">
        <f>'Source Data'!G29</f>
        <v>688.58</v>
      </c>
      <c r="G29" s="386">
        <f t="shared" si="6"/>
        <v>0</v>
      </c>
      <c r="H29" s="387">
        <f t="shared" si="7"/>
        <v>0</v>
      </c>
      <c r="I29" s="136">
        <f>[2]Oct_Thrive!$G29</f>
        <v>0</v>
      </c>
      <c r="J29" s="136">
        <f>[3]Feb_Thrive!$G29</f>
        <v>0</v>
      </c>
      <c r="K29" s="140">
        <f t="shared" si="1"/>
        <v>0</v>
      </c>
      <c r="L29" s="387">
        <f t="shared" si="2"/>
        <v>0</v>
      </c>
      <c r="M29" s="385">
        <f>'[1]5A6_Thrive'!$J29</f>
        <v>0</v>
      </c>
      <c r="N29" s="139">
        <f t="shared" si="8"/>
        <v>0</v>
      </c>
      <c r="O29" s="136">
        <f>('[4]5A6_Thrive'!Q29*6)+('[7]5A6_Thrive'!Q29*2)</f>
        <v>0</v>
      </c>
      <c r="P29" s="136">
        <f t="shared" si="9"/>
        <v>0</v>
      </c>
      <c r="Q29" s="139">
        <f t="shared" si="3"/>
        <v>0</v>
      </c>
      <c r="R29" s="139">
        <f t="shared" si="4"/>
        <v>0</v>
      </c>
    </row>
    <row r="30" spans="1:18" ht="15.6" customHeight="1" x14ac:dyDescent="0.2">
      <c r="A30" s="383">
        <v>24</v>
      </c>
      <c r="B30" s="134" t="s">
        <v>28</v>
      </c>
      <c r="C30" s="384">
        <f>'8_2.1.19 SIS'!BH30</f>
        <v>1</v>
      </c>
      <c r="D30" s="385">
        <f>'Source Data'!Q30</f>
        <v>8299.1035455543351</v>
      </c>
      <c r="E30" s="386">
        <f t="shared" si="5"/>
        <v>8299.1035455543351</v>
      </c>
      <c r="F30" s="386">
        <f>'Source Data'!G30</f>
        <v>854.24999999999989</v>
      </c>
      <c r="G30" s="386">
        <f t="shared" si="6"/>
        <v>854.24999999999989</v>
      </c>
      <c r="H30" s="387">
        <f t="shared" si="7"/>
        <v>9153</v>
      </c>
      <c r="I30" s="136">
        <f>[2]Oct_Thrive!$G30</f>
        <v>36613</v>
      </c>
      <c r="J30" s="136">
        <f>[3]Feb_Thrive!$G30</f>
        <v>-4577</v>
      </c>
      <c r="K30" s="140">
        <f t="shared" si="1"/>
        <v>32036</v>
      </c>
      <c r="L30" s="387">
        <f t="shared" si="2"/>
        <v>41189</v>
      </c>
      <c r="M30" s="385">
        <f>'[1]5A6_Thrive'!$J30</f>
        <v>0</v>
      </c>
      <c r="N30" s="139">
        <f t="shared" si="8"/>
        <v>41189</v>
      </c>
      <c r="O30" s="136">
        <f>('[4]5A6_Thrive'!Q30*6)+('[7]5A6_Thrive'!Q30*2)</f>
        <v>6104</v>
      </c>
      <c r="P30" s="136">
        <f t="shared" si="9"/>
        <v>35085</v>
      </c>
      <c r="Q30" s="139">
        <f t="shared" si="3"/>
        <v>8771</v>
      </c>
      <c r="R30" s="139">
        <f t="shared" si="4"/>
        <v>41189</v>
      </c>
    </row>
    <row r="31" spans="1:18" ht="15.6" customHeight="1" x14ac:dyDescent="0.2">
      <c r="A31" s="388">
        <v>25</v>
      </c>
      <c r="B31" s="148" t="s">
        <v>29</v>
      </c>
      <c r="C31" s="389">
        <f>'8_2.1.19 SIS'!BH31</f>
        <v>0</v>
      </c>
      <c r="D31" s="390">
        <f>'Source Data'!Q31</f>
        <v>9074.4512483281324</v>
      </c>
      <c r="E31" s="391">
        <f t="shared" si="5"/>
        <v>0</v>
      </c>
      <c r="F31" s="391">
        <f>'Source Data'!G31</f>
        <v>653.73</v>
      </c>
      <c r="G31" s="391">
        <f t="shared" si="6"/>
        <v>0</v>
      </c>
      <c r="H31" s="392">
        <f t="shared" si="7"/>
        <v>0</v>
      </c>
      <c r="I31" s="150">
        <f>[2]Oct_Thrive!$G31</f>
        <v>0</v>
      </c>
      <c r="J31" s="150">
        <f>[3]Feb_Thrive!$G31</f>
        <v>0</v>
      </c>
      <c r="K31" s="154">
        <f t="shared" si="1"/>
        <v>0</v>
      </c>
      <c r="L31" s="392">
        <f t="shared" si="2"/>
        <v>0</v>
      </c>
      <c r="M31" s="390">
        <f>'[1]5A6_Thrive'!$J31</f>
        <v>0</v>
      </c>
      <c r="N31" s="153">
        <f t="shared" si="8"/>
        <v>0</v>
      </c>
      <c r="O31" s="156">
        <f>('[4]5A6_Thrive'!Q31*6)+('[7]5A6_Thrive'!Q31*2)</f>
        <v>0</v>
      </c>
      <c r="P31" s="150">
        <f t="shared" si="9"/>
        <v>0</v>
      </c>
      <c r="Q31" s="157">
        <f t="shared" si="3"/>
        <v>0</v>
      </c>
      <c r="R31" s="153">
        <f t="shared" si="4"/>
        <v>0</v>
      </c>
    </row>
    <row r="32" spans="1:18" ht="15.6" customHeight="1" x14ac:dyDescent="0.2">
      <c r="A32" s="378">
        <v>26</v>
      </c>
      <c r="B32" s="116" t="s">
        <v>30</v>
      </c>
      <c r="C32" s="379">
        <f>'8_2.1.19 SIS'!BH32</f>
        <v>4</v>
      </c>
      <c r="D32" s="380">
        <f>'Source Data'!Q32</f>
        <v>8543.7164514436754</v>
      </c>
      <c r="E32" s="381">
        <f t="shared" si="5"/>
        <v>34174.865805774702</v>
      </c>
      <c r="F32" s="381">
        <f>'Source Data'!G32</f>
        <v>836.83</v>
      </c>
      <c r="G32" s="381">
        <f t="shared" si="6"/>
        <v>3347.32</v>
      </c>
      <c r="H32" s="382">
        <f t="shared" si="7"/>
        <v>37522</v>
      </c>
      <c r="I32" s="118">
        <f>[2]Oct_Thrive!$G32</f>
        <v>-28142</v>
      </c>
      <c r="J32" s="118">
        <f>[3]Feb_Thrive!$G32</f>
        <v>-4690</v>
      </c>
      <c r="K32" s="122">
        <f t="shared" si="1"/>
        <v>-32832</v>
      </c>
      <c r="L32" s="382">
        <f t="shared" si="2"/>
        <v>4690</v>
      </c>
      <c r="M32" s="380">
        <f>'[1]5A6_Thrive'!$J32</f>
        <v>0</v>
      </c>
      <c r="N32" s="121">
        <f t="shared" si="8"/>
        <v>4690</v>
      </c>
      <c r="O32" s="118">
        <f>('[4]5A6_Thrive'!Q32*6)+('[7]5A6_Thrive'!Q32*2)</f>
        <v>25016</v>
      </c>
      <c r="P32" s="118">
        <f t="shared" si="9"/>
        <v>-20326</v>
      </c>
      <c r="Q32" s="121">
        <f t="shared" si="3"/>
        <v>-5082</v>
      </c>
      <c r="R32" s="123">
        <f t="shared" si="4"/>
        <v>4690</v>
      </c>
    </row>
    <row r="33" spans="1:18" ht="15.6" customHeight="1" x14ac:dyDescent="0.2">
      <c r="A33" s="383">
        <v>27</v>
      </c>
      <c r="B33" s="134" t="s">
        <v>31</v>
      </c>
      <c r="C33" s="384">
        <f>'8_2.1.19 SIS'!BH33</f>
        <v>0</v>
      </c>
      <c r="D33" s="385">
        <f>'Source Data'!Q33</f>
        <v>9244.9526943942128</v>
      </c>
      <c r="E33" s="386">
        <f t="shared" si="5"/>
        <v>0</v>
      </c>
      <c r="F33" s="386">
        <f>'Source Data'!G33</f>
        <v>693.06</v>
      </c>
      <c r="G33" s="386">
        <f t="shared" si="6"/>
        <v>0</v>
      </c>
      <c r="H33" s="387">
        <f t="shared" si="7"/>
        <v>0</v>
      </c>
      <c r="I33" s="136">
        <f>[2]Oct_Thrive!$G33</f>
        <v>0</v>
      </c>
      <c r="J33" s="136">
        <f>[3]Feb_Thrive!$G33</f>
        <v>0</v>
      </c>
      <c r="K33" s="140">
        <f t="shared" si="1"/>
        <v>0</v>
      </c>
      <c r="L33" s="387">
        <f t="shared" si="2"/>
        <v>0</v>
      </c>
      <c r="M33" s="385">
        <f>'[1]5A6_Thrive'!$J33</f>
        <v>0</v>
      </c>
      <c r="N33" s="139">
        <f t="shared" si="8"/>
        <v>0</v>
      </c>
      <c r="O33" s="136">
        <f>('[4]5A6_Thrive'!Q33*6)+('[7]5A6_Thrive'!Q33*2)</f>
        <v>0</v>
      </c>
      <c r="P33" s="136">
        <f t="shared" si="9"/>
        <v>0</v>
      </c>
      <c r="Q33" s="139">
        <f t="shared" si="3"/>
        <v>0</v>
      </c>
      <c r="R33" s="139">
        <f t="shared" si="4"/>
        <v>0</v>
      </c>
    </row>
    <row r="34" spans="1:18" ht="15.6" customHeight="1" x14ac:dyDescent="0.2">
      <c r="A34" s="383">
        <v>28</v>
      </c>
      <c r="B34" s="134" t="s">
        <v>32</v>
      </c>
      <c r="C34" s="384">
        <f>'8_2.1.19 SIS'!BH34</f>
        <v>0</v>
      </c>
      <c r="D34" s="385">
        <f>'Source Data'!Q34</f>
        <v>7851.1201503667107</v>
      </c>
      <c r="E34" s="386">
        <f t="shared" si="5"/>
        <v>0</v>
      </c>
      <c r="F34" s="386">
        <f>'Source Data'!G34</f>
        <v>694.4</v>
      </c>
      <c r="G34" s="386">
        <f t="shared" si="6"/>
        <v>0</v>
      </c>
      <c r="H34" s="387">
        <f t="shared" si="7"/>
        <v>0</v>
      </c>
      <c r="I34" s="136">
        <f>[2]Oct_Thrive!$G34</f>
        <v>0</v>
      </c>
      <c r="J34" s="136">
        <f>[3]Feb_Thrive!$G34</f>
        <v>0</v>
      </c>
      <c r="K34" s="140">
        <f t="shared" si="1"/>
        <v>0</v>
      </c>
      <c r="L34" s="387">
        <f t="shared" si="2"/>
        <v>0</v>
      </c>
      <c r="M34" s="385">
        <f>'[1]5A6_Thrive'!$J34</f>
        <v>0</v>
      </c>
      <c r="N34" s="139">
        <f t="shared" si="8"/>
        <v>0</v>
      </c>
      <c r="O34" s="136">
        <f>('[4]5A6_Thrive'!Q34*6)+('[7]5A6_Thrive'!Q34*2)</f>
        <v>0</v>
      </c>
      <c r="P34" s="136">
        <f t="shared" si="9"/>
        <v>0</v>
      </c>
      <c r="Q34" s="139">
        <f t="shared" si="3"/>
        <v>0</v>
      </c>
      <c r="R34" s="139">
        <f t="shared" si="4"/>
        <v>0</v>
      </c>
    </row>
    <row r="35" spans="1:18" ht="15.6" customHeight="1" x14ac:dyDescent="0.2">
      <c r="A35" s="383">
        <v>29</v>
      </c>
      <c r="B35" s="134" t="s">
        <v>33</v>
      </c>
      <c r="C35" s="384">
        <f>'8_2.1.19 SIS'!BH35</f>
        <v>0</v>
      </c>
      <c r="D35" s="385">
        <f>'Source Data'!Q35</f>
        <v>8101.5394635685598</v>
      </c>
      <c r="E35" s="386">
        <f t="shared" si="5"/>
        <v>0</v>
      </c>
      <c r="F35" s="386">
        <f>'Source Data'!G35</f>
        <v>754.94999999999993</v>
      </c>
      <c r="G35" s="386">
        <f t="shared" si="6"/>
        <v>0</v>
      </c>
      <c r="H35" s="387">
        <f t="shared" si="7"/>
        <v>0</v>
      </c>
      <c r="I35" s="136">
        <f>[2]Oct_Thrive!$G35</f>
        <v>0</v>
      </c>
      <c r="J35" s="136">
        <f>[3]Feb_Thrive!$G35</f>
        <v>0</v>
      </c>
      <c r="K35" s="140">
        <f t="shared" si="1"/>
        <v>0</v>
      </c>
      <c r="L35" s="387">
        <f t="shared" si="2"/>
        <v>0</v>
      </c>
      <c r="M35" s="385">
        <f>'[1]5A6_Thrive'!$J35</f>
        <v>0</v>
      </c>
      <c r="N35" s="139">
        <f t="shared" si="8"/>
        <v>0</v>
      </c>
      <c r="O35" s="136">
        <f>('[4]5A6_Thrive'!Q35*6)+('[7]5A6_Thrive'!Q35*2)</f>
        <v>0</v>
      </c>
      <c r="P35" s="136">
        <f t="shared" si="9"/>
        <v>0</v>
      </c>
      <c r="Q35" s="139">
        <f t="shared" si="3"/>
        <v>0</v>
      </c>
      <c r="R35" s="139">
        <f t="shared" si="4"/>
        <v>0</v>
      </c>
    </row>
    <row r="36" spans="1:18" ht="15.6" customHeight="1" x14ac:dyDescent="0.2">
      <c r="A36" s="388">
        <v>30</v>
      </c>
      <c r="B36" s="148" t="s">
        <v>34</v>
      </c>
      <c r="C36" s="389">
        <f>'8_2.1.19 SIS'!BH36</f>
        <v>0</v>
      </c>
      <c r="D36" s="390">
        <f>'Source Data'!Q36</f>
        <v>9331.5241421073879</v>
      </c>
      <c r="E36" s="391">
        <f t="shared" si="5"/>
        <v>0</v>
      </c>
      <c r="F36" s="391">
        <f>'Source Data'!G36</f>
        <v>727.17</v>
      </c>
      <c r="G36" s="391">
        <f t="shared" si="6"/>
        <v>0</v>
      </c>
      <c r="H36" s="392">
        <f t="shared" si="7"/>
        <v>0</v>
      </c>
      <c r="I36" s="150">
        <f>[2]Oct_Thrive!$G36</f>
        <v>0</v>
      </c>
      <c r="J36" s="150">
        <f>[3]Feb_Thrive!$G36</f>
        <v>0</v>
      </c>
      <c r="K36" s="154">
        <f t="shared" si="1"/>
        <v>0</v>
      </c>
      <c r="L36" s="392">
        <f t="shared" si="2"/>
        <v>0</v>
      </c>
      <c r="M36" s="390">
        <f>'[1]5A6_Thrive'!$J36</f>
        <v>0</v>
      </c>
      <c r="N36" s="153">
        <f t="shared" si="8"/>
        <v>0</v>
      </c>
      <c r="O36" s="156">
        <f>('[4]5A6_Thrive'!Q36*6)+('[7]5A6_Thrive'!Q36*2)</f>
        <v>0</v>
      </c>
      <c r="P36" s="150">
        <f t="shared" si="9"/>
        <v>0</v>
      </c>
      <c r="Q36" s="157">
        <f t="shared" si="3"/>
        <v>0</v>
      </c>
      <c r="R36" s="153">
        <f t="shared" si="4"/>
        <v>0</v>
      </c>
    </row>
    <row r="37" spans="1:18" ht="15.6" customHeight="1" x14ac:dyDescent="0.2">
      <c r="A37" s="378">
        <v>31</v>
      </c>
      <c r="B37" s="116" t="s">
        <v>35</v>
      </c>
      <c r="C37" s="379">
        <f>'8_2.1.19 SIS'!BH37</f>
        <v>0</v>
      </c>
      <c r="D37" s="380">
        <f>'Source Data'!Q37</f>
        <v>8803.9603147699763</v>
      </c>
      <c r="E37" s="381">
        <f t="shared" si="5"/>
        <v>0</v>
      </c>
      <c r="F37" s="381">
        <f>'Source Data'!G37</f>
        <v>620.83000000000004</v>
      </c>
      <c r="G37" s="381">
        <f t="shared" si="6"/>
        <v>0</v>
      </c>
      <c r="H37" s="382">
        <f t="shared" si="7"/>
        <v>0</v>
      </c>
      <c r="I37" s="118">
        <f>[2]Oct_Thrive!$G37</f>
        <v>0</v>
      </c>
      <c r="J37" s="118">
        <f>[3]Feb_Thrive!$G37</f>
        <v>0</v>
      </c>
      <c r="K37" s="122">
        <f t="shared" si="1"/>
        <v>0</v>
      </c>
      <c r="L37" s="382">
        <f t="shared" si="2"/>
        <v>0</v>
      </c>
      <c r="M37" s="380">
        <f>'[1]5A6_Thrive'!$J37</f>
        <v>0</v>
      </c>
      <c r="N37" s="121">
        <f t="shared" si="8"/>
        <v>0</v>
      </c>
      <c r="O37" s="118">
        <f>('[4]5A6_Thrive'!Q37*6)+('[7]5A6_Thrive'!Q37*2)</f>
        <v>0</v>
      </c>
      <c r="P37" s="118">
        <f t="shared" si="9"/>
        <v>0</v>
      </c>
      <c r="Q37" s="121">
        <f t="shared" si="3"/>
        <v>0</v>
      </c>
      <c r="R37" s="123">
        <f t="shared" si="4"/>
        <v>0</v>
      </c>
    </row>
    <row r="38" spans="1:18" ht="15.6" customHeight="1" x14ac:dyDescent="0.2">
      <c r="A38" s="383">
        <v>32</v>
      </c>
      <c r="B38" s="134" t="s">
        <v>36</v>
      </c>
      <c r="C38" s="384">
        <f>'8_2.1.19 SIS'!BH38</f>
        <v>1</v>
      </c>
      <c r="D38" s="385">
        <f>'Source Data'!Q38</f>
        <v>8577.3814714773671</v>
      </c>
      <c r="E38" s="386">
        <f t="shared" si="5"/>
        <v>8577.3814714773671</v>
      </c>
      <c r="F38" s="386">
        <f>'Source Data'!G38</f>
        <v>559.77</v>
      </c>
      <c r="G38" s="386">
        <f t="shared" si="6"/>
        <v>559.77</v>
      </c>
      <c r="H38" s="387">
        <f t="shared" si="7"/>
        <v>9137</v>
      </c>
      <c r="I38" s="136">
        <f>[2]Oct_Thrive!$G38</f>
        <v>-9137</v>
      </c>
      <c r="J38" s="136">
        <f>[3]Feb_Thrive!$G38</f>
        <v>0</v>
      </c>
      <c r="K38" s="140">
        <f t="shared" si="1"/>
        <v>-9137</v>
      </c>
      <c r="L38" s="387">
        <f t="shared" si="2"/>
        <v>0</v>
      </c>
      <c r="M38" s="385">
        <f>'[1]5A6_Thrive'!$J38</f>
        <v>0</v>
      </c>
      <c r="N38" s="139">
        <f t="shared" si="8"/>
        <v>0</v>
      </c>
      <c r="O38" s="136">
        <f>('[4]5A6_Thrive'!Q38*6)+('[7]5A6_Thrive'!Q38*2)</f>
        <v>6090</v>
      </c>
      <c r="P38" s="136">
        <f t="shared" si="9"/>
        <v>-6090</v>
      </c>
      <c r="Q38" s="139">
        <f t="shared" si="3"/>
        <v>-1523</v>
      </c>
      <c r="R38" s="139">
        <f t="shared" si="4"/>
        <v>0</v>
      </c>
    </row>
    <row r="39" spans="1:18" ht="15.6" customHeight="1" x14ac:dyDescent="0.2">
      <c r="A39" s="383">
        <v>33</v>
      </c>
      <c r="B39" s="134" t="s">
        <v>37</v>
      </c>
      <c r="C39" s="384">
        <f>'8_2.1.19 SIS'!BH39</f>
        <v>0</v>
      </c>
      <c r="D39" s="385">
        <f>'Source Data'!Q39</f>
        <v>9697.9948429319375</v>
      </c>
      <c r="E39" s="386">
        <f t="shared" si="5"/>
        <v>0</v>
      </c>
      <c r="F39" s="386">
        <f>'Source Data'!G39</f>
        <v>655.31000000000006</v>
      </c>
      <c r="G39" s="386">
        <f t="shared" si="6"/>
        <v>0</v>
      </c>
      <c r="H39" s="387">
        <f t="shared" si="7"/>
        <v>0</v>
      </c>
      <c r="I39" s="136">
        <f>[2]Oct_Thrive!$G39</f>
        <v>0</v>
      </c>
      <c r="J39" s="136">
        <f>[3]Feb_Thrive!$G39</f>
        <v>0</v>
      </c>
      <c r="K39" s="140">
        <f t="shared" ref="K39:K70" si="10">I39+J39</f>
        <v>0</v>
      </c>
      <c r="L39" s="387">
        <f t="shared" si="2"/>
        <v>0</v>
      </c>
      <c r="M39" s="385">
        <f>'[1]5A6_Thrive'!$J39</f>
        <v>0</v>
      </c>
      <c r="N39" s="139">
        <f t="shared" si="8"/>
        <v>0</v>
      </c>
      <c r="O39" s="136">
        <f>('[4]5A6_Thrive'!Q39*6)+('[7]5A6_Thrive'!Q39*2)</f>
        <v>0</v>
      </c>
      <c r="P39" s="136">
        <f t="shared" si="9"/>
        <v>0</v>
      </c>
      <c r="Q39" s="139">
        <f t="shared" ref="Q39:Q70" si="11">ROUND(P39/$Q$86,0)</f>
        <v>0</v>
      </c>
      <c r="R39" s="139">
        <f t="shared" ref="R39:R75" si="12">N39</f>
        <v>0</v>
      </c>
    </row>
    <row r="40" spans="1:18" ht="15.6" customHeight="1" x14ac:dyDescent="0.2">
      <c r="A40" s="383">
        <v>34</v>
      </c>
      <c r="B40" s="134" t="s">
        <v>38</v>
      </c>
      <c r="C40" s="384">
        <f>'8_2.1.19 SIS'!BH40</f>
        <v>0</v>
      </c>
      <c r="D40" s="385">
        <f>'Source Data'!Q40</f>
        <v>9662.9807619562271</v>
      </c>
      <c r="E40" s="386">
        <f t="shared" si="5"/>
        <v>0</v>
      </c>
      <c r="F40" s="386">
        <f>'Source Data'!G40</f>
        <v>644.11000000000013</v>
      </c>
      <c r="G40" s="386">
        <f t="shared" si="6"/>
        <v>0</v>
      </c>
      <c r="H40" s="387">
        <f t="shared" si="7"/>
        <v>0</v>
      </c>
      <c r="I40" s="136">
        <f>[2]Oct_Thrive!$G40</f>
        <v>0</v>
      </c>
      <c r="J40" s="136">
        <f>[3]Feb_Thrive!$G40</f>
        <v>0</v>
      </c>
      <c r="K40" s="140">
        <f t="shared" si="10"/>
        <v>0</v>
      </c>
      <c r="L40" s="387">
        <f t="shared" si="2"/>
        <v>0</v>
      </c>
      <c r="M40" s="385">
        <f>'[1]5A6_Thrive'!$J40</f>
        <v>0</v>
      </c>
      <c r="N40" s="139">
        <f t="shared" si="8"/>
        <v>0</v>
      </c>
      <c r="O40" s="136">
        <f>('[4]5A6_Thrive'!Q40*6)+('[7]5A6_Thrive'!Q40*2)</f>
        <v>0</v>
      </c>
      <c r="P40" s="136">
        <f t="shared" si="9"/>
        <v>0</v>
      </c>
      <c r="Q40" s="139">
        <f t="shared" si="11"/>
        <v>0</v>
      </c>
      <c r="R40" s="139">
        <f t="shared" si="12"/>
        <v>0</v>
      </c>
    </row>
    <row r="41" spans="1:18" ht="15.6" customHeight="1" x14ac:dyDescent="0.2">
      <c r="A41" s="388">
        <v>35</v>
      </c>
      <c r="B41" s="148" t="s">
        <v>39</v>
      </c>
      <c r="C41" s="389">
        <f>'8_2.1.19 SIS'!BH41</f>
        <v>0</v>
      </c>
      <c r="D41" s="390">
        <f>'Source Data'!Q41</f>
        <v>8833.0821272194444</v>
      </c>
      <c r="E41" s="391">
        <f t="shared" si="5"/>
        <v>0</v>
      </c>
      <c r="F41" s="391">
        <f>'Source Data'!G41</f>
        <v>537.96</v>
      </c>
      <c r="G41" s="391">
        <f t="shared" si="6"/>
        <v>0</v>
      </c>
      <c r="H41" s="392">
        <f t="shared" si="7"/>
        <v>0</v>
      </c>
      <c r="I41" s="150">
        <f>[2]Oct_Thrive!$G41</f>
        <v>0</v>
      </c>
      <c r="J41" s="150">
        <f>[3]Feb_Thrive!$G41</f>
        <v>0</v>
      </c>
      <c r="K41" s="154">
        <f t="shared" si="10"/>
        <v>0</v>
      </c>
      <c r="L41" s="392">
        <f t="shared" si="2"/>
        <v>0</v>
      </c>
      <c r="M41" s="390">
        <f>'[1]5A6_Thrive'!$J41</f>
        <v>0</v>
      </c>
      <c r="N41" s="153">
        <f t="shared" si="8"/>
        <v>0</v>
      </c>
      <c r="O41" s="156">
        <f>('[4]5A6_Thrive'!Q41*6)+('[7]5A6_Thrive'!Q41*2)</f>
        <v>0</v>
      </c>
      <c r="P41" s="150">
        <f t="shared" si="9"/>
        <v>0</v>
      </c>
      <c r="Q41" s="157">
        <f t="shared" si="11"/>
        <v>0</v>
      </c>
      <c r="R41" s="153">
        <f t="shared" si="12"/>
        <v>0</v>
      </c>
    </row>
    <row r="42" spans="1:18" ht="15.6" customHeight="1" x14ac:dyDescent="0.2">
      <c r="A42" s="378">
        <v>36</v>
      </c>
      <c r="B42" s="116" t="s">
        <v>40</v>
      </c>
      <c r="C42" s="379">
        <f>'8_2.1.19 SIS'!BH42</f>
        <v>1</v>
      </c>
      <c r="D42" s="380">
        <f>'Source Data'!Q42</f>
        <v>8391.5668786376373</v>
      </c>
      <c r="E42" s="381">
        <f t="shared" si="5"/>
        <v>8391.5668786376373</v>
      </c>
      <c r="F42" s="381">
        <f>'Source Data'!G42</f>
        <v>746.03</v>
      </c>
      <c r="G42" s="381">
        <f t="shared" si="6"/>
        <v>746.03</v>
      </c>
      <c r="H42" s="382">
        <f t="shared" si="7"/>
        <v>9138</v>
      </c>
      <c r="I42" s="118">
        <f>[2]Oct_Thrive!$G42</f>
        <v>-9138</v>
      </c>
      <c r="J42" s="118">
        <f>[3]Feb_Thrive!$G42</f>
        <v>0</v>
      </c>
      <c r="K42" s="122">
        <f t="shared" si="10"/>
        <v>-9138</v>
      </c>
      <c r="L42" s="382">
        <f t="shared" si="2"/>
        <v>0</v>
      </c>
      <c r="M42" s="380">
        <f>'[1]5A6_Thrive'!$J42</f>
        <v>0</v>
      </c>
      <c r="N42" s="121">
        <f t="shared" si="8"/>
        <v>0</v>
      </c>
      <c r="O42" s="118">
        <f>('[4]5A6_Thrive'!Q42*6)+('[7]5A6_Thrive'!Q42*2)</f>
        <v>6094</v>
      </c>
      <c r="P42" s="118">
        <f t="shared" si="9"/>
        <v>-6094</v>
      </c>
      <c r="Q42" s="121">
        <f t="shared" si="11"/>
        <v>-1524</v>
      </c>
      <c r="R42" s="123">
        <f t="shared" si="12"/>
        <v>0</v>
      </c>
    </row>
    <row r="43" spans="1:18" ht="15.6" customHeight="1" x14ac:dyDescent="0.2">
      <c r="A43" s="383">
        <v>37</v>
      </c>
      <c r="B43" s="134" t="s">
        <v>41</v>
      </c>
      <c r="C43" s="384">
        <f>'8_2.1.19 SIS'!BH43</f>
        <v>0</v>
      </c>
      <c r="D43" s="385">
        <f>'Source Data'!Q43</f>
        <v>8950.0462254120139</v>
      </c>
      <c r="E43" s="386">
        <f t="shared" si="5"/>
        <v>0</v>
      </c>
      <c r="F43" s="386">
        <f>'Source Data'!G43</f>
        <v>653.61</v>
      </c>
      <c r="G43" s="386">
        <f t="shared" si="6"/>
        <v>0</v>
      </c>
      <c r="H43" s="387">
        <f t="shared" si="7"/>
        <v>0</v>
      </c>
      <c r="I43" s="136">
        <f>[2]Oct_Thrive!$G43</f>
        <v>0</v>
      </c>
      <c r="J43" s="136">
        <f>[3]Feb_Thrive!$G43</f>
        <v>0</v>
      </c>
      <c r="K43" s="140">
        <f t="shared" si="10"/>
        <v>0</v>
      </c>
      <c r="L43" s="387">
        <f t="shared" si="2"/>
        <v>0</v>
      </c>
      <c r="M43" s="385">
        <f>'[1]5A6_Thrive'!$J43</f>
        <v>0</v>
      </c>
      <c r="N43" s="139">
        <f t="shared" si="8"/>
        <v>0</v>
      </c>
      <c r="O43" s="136">
        <f>('[4]5A6_Thrive'!Q43*6)+('[7]5A6_Thrive'!Q43*2)</f>
        <v>0</v>
      </c>
      <c r="P43" s="136">
        <f t="shared" si="9"/>
        <v>0</v>
      </c>
      <c r="Q43" s="139">
        <f t="shared" si="11"/>
        <v>0</v>
      </c>
      <c r="R43" s="139">
        <f t="shared" si="12"/>
        <v>0</v>
      </c>
    </row>
    <row r="44" spans="1:18" ht="15.6" customHeight="1" x14ac:dyDescent="0.2">
      <c r="A44" s="383">
        <v>38</v>
      </c>
      <c r="B44" s="134" t="s">
        <v>42</v>
      </c>
      <c r="C44" s="384">
        <f>'8_2.1.19 SIS'!BH44</f>
        <v>0</v>
      </c>
      <c r="D44" s="385">
        <f>'Source Data'!Q44</f>
        <v>8749.4810902545651</v>
      </c>
      <c r="E44" s="386">
        <f t="shared" si="5"/>
        <v>0</v>
      </c>
      <c r="F44" s="386">
        <f>'Source Data'!G44</f>
        <v>829.92000000000007</v>
      </c>
      <c r="G44" s="386">
        <f t="shared" si="6"/>
        <v>0</v>
      </c>
      <c r="H44" s="387">
        <f t="shared" si="7"/>
        <v>0</v>
      </c>
      <c r="I44" s="136">
        <f>[2]Oct_Thrive!$G44</f>
        <v>0</v>
      </c>
      <c r="J44" s="136">
        <f>[3]Feb_Thrive!$G44</f>
        <v>0</v>
      </c>
      <c r="K44" s="140">
        <f t="shared" si="10"/>
        <v>0</v>
      </c>
      <c r="L44" s="387">
        <f t="shared" si="2"/>
        <v>0</v>
      </c>
      <c r="M44" s="385">
        <f>'[1]5A6_Thrive'!$J44</f>
        <v>0</v>
      </c>
      <c r="N44" s="139">
        <f t="shared" si="8"/>
        <v>0</v>
      </c>
      <c r="O44" s="136">
        <f>('[4]5A6_Thrive'!Q44*6)+('[7]5A6_Thrive'!Q44*2)</f>
        <v>0</v>
      </c>
      <c r="P44" s="136">
        <f t="shared" si="9"/>
        <v>0</v>
      </c>
      <c r="Q44" s="139">
        <f t="shared" si="11"/>
        <v>0</v>
      </c>
      <c r="R44" s="139">
        <f t="shared" si="12"/>
        <v>0</v>
      </c>
    </row>
    <row r="45" spans="1:18" ht="15.6" customHeight="1" x14ac:dyDescent="0.2">
      <c r="A45" s="383">
        <v>39</v>
      </c>
      <c r="B45" s="134" t="s">
        <v>43</v>
      </c>
      <c r="C45" s="384">
        <f>'8_2.1.19 SIS'!BH45</f>
        <v>2</v>
      </c>
      <c r="D45" s="385">
        <f>'Source Data'!Q45</f>
        <v>8716.3889610389615</v>
      </c>
      <c r="E45" s="386">
        <f t="shared" si="5"/>
        <v>17432.777922077923</v>
      </c>
      <c r="F45" s="386">
        <f>'Source Data'!G45</f>
        <v>779.66</v>
      </c>
      <c r="G45" s="386">
        <f t="shared" si="6"/>
        <v>1559.32</v>
      </c>
      <c r="H45" s="387">
        <f t="shared" si="7"/>
        <v>18992</v>
      </c>
      <c r="I45" s="136">
        <f>[2]Oct_Thrive!$G45</f>
        <v>0</v>
      </c>
      <c r="J45" s="136">
        <f>[3]Feb_Thrive!$G45</f>
        <v>0</v>
      </c>
      <c r="K45" s="140">
        <f t="shared" si="10"/>
        <v>0</v>
      </c>
      <c r="L45" s="387">
        <f t="shared" si="2"/>
        <v>18992</v>
      </c>
      <c r="M45" s="385">
        <f>'[1]5A6_Thrive'!$J45</f>
        <v>0</v>
      </c>
      <c r="N45" s="139">
        <f t="shared" si="8"/>
        <v>18992</v>
      </c>
      <c r="O45" s="136">
        <f>('[4]5A6_Thrive'!Q45*6)+('[7]5A6_Thrive'!Q45*2)</f>
        <v>12662</v>
      </c>
      <c r="P45" s="136">
        <f t="shared" si="9"/>
        <v>6330</v>
      </c>
      <c r="Q45" s="139">
        <f t="shared" si="11"/>
        <v>1583</v>
      </c>
      <c r="R45" s="139">
        <f t="shared" si="12"/>
        <v>18992</v>
      </c>
    </row>
    <row r="46" spans="1:18" ht="15.6" customHeight="1" x14ac:dyDescent="0.2">
      <c r="A46" s="388">
        <v>40</v>
      </c>
      <c r="B46" s="148" t="s">
        <v>44</v>
      </c>
      <c r="C46" s="389">
        <f>'8_2.1.19 SIS'!BH46</f>
        <v>0</v>
      </c>
      <c r="D46" s="390">
        <f>'Source Data'!Q46</f>
        <v>8804.577900113507</v>
      </c>
      <c r="E46" s="391">
        <f t="shared" si="5"/>
        <v>0</v>
      </c>
      <c r="F46" s="391">
        <f>'Source Data'!G46</f>
        <v>700.2700000000001</v>
      </c>
      <c r="G46" s="391">
        <f t="shared" si="6"/>
        <v>0</v>
      </c>
      <c r="H46" s="392">
        <f t="shared" si="7"/>
        <v>0</v>
      </c>
      <c r="I46" s="150">
        <f>[2]Oct_Thrive!$G46</f>
        <v>0</v>
      </c>
      <c r="J46" s="150">
        <f>[3]Feb_Thrive!$G46</f>
        <v>0</v>
      </c>
      <c r="K46" s="154">
        <f t="shared" si="10"/>
        <v>0</v>
      </c>
      <c r="L46" s="392">
        <f t="shared" si="2"/>
        <v>0</v>
      </c>
      <c r="M46" s="390">
        <f>'[1]5A6_Thrive'!$J46</f>
        <v>0</v>
      </c>
      <c r="N46" s="153">
        <f t="shared" si="8"/>
        <v>0</v>
      </c>
      <c r="O46" s="156">
        <f>('[4]5A6_Thrive'!Q46*6)+('[7]5A6_Thrive'!Q46*2)</f>
        <v>0</v>
      </c>
      <c r="P46" s="150">
        <f t="shared" si="9"/>
        <v>0</v>
      </c>
      <c r="Q46" s="157">
        <f t="shared" si="11"/>
        <v>0</v>
      </c>
      <c r="R46" s="153">
        <f t="shared" si="12"/>
        <v>0</v>
      </c>
    </row>
    <row r="47" spans="1:18" ht="15.6" customHeight="1" x14ac:dyDescent="0.2">
      <c r="A47" s="378">
        <v>41</v>
      </c>
      <c r="B47" s="116" t="s">
        <v>45</v>
      </c>
      <c r="C47" s="379">
        <f>'8_2.1.19 SIS'!BH47</f>
        <v>0</v>
      </c>
      <c r="D47" s="380">
        <f>'Source Data'!Q47</f>
        <v>8874.8428994938549</v>
      </c>
      <c r="E47" s="381">
        <f t="shared" si="5"/>
        <v>0</v>
      </c>
      <c r="F47" s="381">
        <f>'Source Data'!G47</f>
        <v>886.22</v>
      </c>
      <c r="G47" s="381">
        <f t="shared" si="6"/>
        <v>0</v>
      </c>
      <c r="H47" s="382">
        <f t="shared" si="7"/>
        <v>0</v>
      </c>
      <c r="I47" s="118">
        <f>[2]Oct_Thrive!$G47</f>
        <v>0</v>
      </c>
      <c r="J47" s="118">
        <f>[3]Feb_Thrive!$G47</f>
        <v>0</v>
      </c>
      <c r="K47" s="122">
        <f t="shared" si="10"/>
        <v>0</v>
      </c>
      <c r="L47" s="382">
        <f t="shared" si="2"/>
        <v>0</v>
      </c>
      <c r="M47" s="380">
        <f>'[1]5A6_Thrive'!$J47</f>
        <v>0</v>
      </c>
      <c r="N47" s="121">
        <f t="shared" si="8"/>
        <v>0</v>
      </c>
      <c r="O47" s="118">
        <f>('[4]5A6_Thrive'!Q47*6)+('[7]5A6_Thrive'!Q47*2)</f>
        <v>0</v>
      </c>
      <c r="P47" s="118">
        <f t="shared" si="9"/>
        <v>0</v>
      </c>
      <c r="Q47" s="121">
        <f t="shared" si="11"/>
        <v>0</v>
      </c>
      <c r="R47" s="123">
        <f t="shared" si="12"/>
        <v>0</v>
      </c>
    </row>
    <row r="48" spans="1:18" ht="15.6" customHeight="1" x14ac:dyDescent="0.2">
      <c r="A48" s="383">
        <v>42</v>
      </c>
      <c r="B48" s="134" t="s">
        <v>46</v>
      </c>
      <c r="C48" s="384">
        <f>'8_2.1.19 SIS'!BH48</f>
        <v>0</v>
      </c>
      <c r="D48" s="385">
        <f>'Source Data'!Q48</f>
        <v>9280.0423099308828</v>
      </c>
      <c r="E48" s="386">
        <f t="shared" si="5"/>
        <v>0</v>
      </c>
      <c r="F48" s="386">
        <f>'Source Data'!G48</f>
        <v>534.28</v>
      </c>
      <c r="G48" s="386">
        <f t="shared" si="6"/>
        <v>0</v>
      </c>
      <c r="H48" s="387">
        <f t="shared" si="7"/>
        <v>0</v>
      </c>
      <c r="I48" s="136">
        <f>[2]Oct_Thrive!$G48</f>
        <v>0</v>
      </c>
      <c r="J48" s="136">
        <f>[3]Feb_Thrive!$G48</f>
        <v>0</v>
      </c>
      <c r="K48" s="140">
        <f t="shared" si="10"/>
        <v>0</v>
      </c>
      <c r="L48" s="387">
        <f t="shared" si="2"/>
        <v>0</v>
      </c>
      <c r="M48" s="385">
        <f>'[1]5A6_Thrive'!$J48</f>
        <v>0</v>
      </c>
      <c r="N48" s="139">
        <f t="shared" si="8"/>
        <v>0</v>
      </c>
      <c r="O48" s="136">
        <f>('[4]5A6_Thrive'!Q48*6)+('[7]5A6_Thrive'!Q48*2)</f>
        <v>0</v>
      </c>
      <c r="P48" s="136">
        <f t="shared" si="9"/>
        <v>0</v>
      </c>
      <c r="Q48" s="139">
        <f t="shared" si="11"/>
        <v>0</v>
      </c>
      <c r="R48" s="139">
        <f t="shared" si="12"/>
        <v>0</v>
      </c>
    </row>
    <row r="49" spans="1:18" ht="15.6" customHeight="1" x14ac:dyDescent="0.2">
      <c r="A49" s="383">
        <v>43</v>
      </c>
      <c r="B49" s="134" t="s">
        <v>47</v>
      </c>
      <c r="C49" s="384">
        <f>'8_2.1.19 SIS'!BH49</f>
        <v>0</v>
      </c>
      <c r="D49" s="385">
        <f>'Source Data'!Q49</f>
        <v>9609.9371213986706</v>
      </c>
      <c r="E49" s="386">
        <f t="shared" si="5"/>
        <v>0</v>
      </c>
      <c r="F49" s="386">
        <f>'Source Data'!G49</f>
        <v>574.6099999999999</v>
      </c>
      <c r="G49" s="386">
        <f t="shared" si="6"/>
        <v>0</v>
      </c>
      <c r="H49" s="387">
        <f t="shared" si="7"/>
        <v>0</v>
      </c>
      <c r="I49" s="136">
        <f>[2]Oct_Thrive!$G49</f>
        <v>0</v>
      </c>
      <c r="J49" s="136">
        <f>[3]Feb_Thrive!$G49</f>
        <v>0</v>
      </c>
      <c r="K49" s="140">
        <f t="shared" si="10"/>
        <v>0</v>
      </c>
      <c r="L49" s="387">
        <f t="shared" si="2"/>
        <v>0</v>
      </c>
      <c r="M49" s="385">
        <f>'[1]5A6_Thrive'!$J49</f>
        <v>0</v>
      </c>
      <c r="N49" s="139">
        <f t="shared" si="8"/>
        <v>0</v>
      </c>
      <c r="O49" s="136">
        <f>('[4]5A6_Thrive'!Q49*6)+('[7]5A6_Thrive'!Q49*2)</f>
        <v>0</v>
      </c>
      <c r="P49" s="136">
        <f t="shared" si="9"/>
        <v>0</v>
      </c>
      <c r="Q49" s="139">
        <f t="shared" si="11"/>
        <v>0</v>
      </c>
      <c r="R49" s="139">
        <f t="shared" si="12"/>
        <v>0</v>
      </c>
    </row>
    <row r="50" spans="1:18" ht="15.6" customHeight="1" x14ac:dyDescent="0.2">
      <c r="A50" s="383">
        <v>44</v>
      </c>
      <c r="B50" s="134" t="s">
        <v>48</v>
      </c>
      <c r="C50" s="384">
        <f>'8_2.1.19 SIS'!BH50</f>
        <v>0</v>
      </c>
      <c r="D50" s="385">
        <f>'Source Data'!Q50</f>
        <v>8580.6088206785134</v>
      </c>
      <c r="E50" s="386">
        <f t="shared" si="5"/>
        <v>0</v>
      </c>
      <c r="F50" s="386">
        <f>'Source Data'!G50</f>
        <v>663.16000000000008</v>
      </c>
      <c r="G50" s="386">
        <f t="shared" si="6"/>
        <v>0</v>
      </c>
      <c r="H50" s="387">
        <f t="shared" si="7"/>
        <v>0</v>
      </c>
      <c r="I50" s="136">
        <f>[2]Oct_Thrive!$G50</f>
        <v>0</v>
      </c>
      <c r="J50" s="136">
        <f>[3]Feb_Thrive!$G50</f>
        <v>4622</v>
      </c>
      <c r="K50" s="140">
        <f t="shared" si="10"/>
        <v>4622</v>
      </c>
      <c r="L50" s="387">
        <f t="shared" si="2"/>
        <v>4622</v>
      </c>
      <c r="M50" s="385">
        <f>'[1]5A6_Thrive'!$J50</f>
        <v>0</v>
      </c>
      <c r="N50" s="139">
        <f t="shared" si="8"/>
        <v>4622</v>
      </c>
      <c r="O50" s="136">
        <f>('[4]5A6_Thrive'!Q50*6)+('[7]5A6_Thrive'!Q50*2)</f>
        <v>0</v>
      </c>
      <c r="P50" s="136">
        <f t="shared" si="9"/>
        <v>4622</v>
      </c>
      <c r="Q50" s="139">
        <f t="shared" si="11"/>
        <v>1156</v>
      </c>
      <c r="R50" s="139">
        <f t="shared" si="12"/>
        <v>4622</v>
      </c>
    </row>
    <row r="51" spans="1:18" ht="15.6" customHeight="1" x14ac:dyDescent="0.2">
      <c r="A51" s="388">
        <v>45</v>
      </c>
      <c r="B51" s="148" t="s">
        <v>49</v>
      </c>
      <c r="C51" s="389">
        <f>'8_2.1.19 SIS'!BH51</f>
        <v>0</v>
      </c>
      <c r="D51" s="390">
        <f>'Source Data'!Q51</f>
        <v>7811.5488430723217</v>
      </c>
      <c r="E51" s="391">
        <f t="shared" si="5"/>
        <v>0</v>
      </c>
      <c r="F51" s="391">
        <f>'Source Data'!G51</f>
        <v>753.96000000000015</v>
      </c>
      <c r="G51" s="391">
        <f t="shared" si="6"/>
        <v>0</v>
      </c>
      <c r="H51" s="392">
        <f t="shared" si="7"/>
        <v>0</v>
      </c>
      <c r="I51" s="150">
        <f>[2]Oct_Thrive!$G51</f>
        <v>0</v>
      </c>
      <c r="J51" s="150">
        <f>[3]Feb_Thrive!$G51</f>
        <v>0</v>
      </c>
      <c r="K51" s="154">
        <f t="shared" si="10"/>
        <v>0</v>
      </c>
      <c r="L51" s="392">
        <f t="shared" si="2"/>
        <v>0</v>
      </c>
      <c r="M51" s="390">
        <f>'[1]5A6_Thrive'!$J51</f>
        <v>0</v>
      </c>
      <c r="N51" s="153">
        <f t="shared" si="8"/>
        <v>0</v>
      </c>
      <c r="O51" s="156">
        <f>('[4]5A6_Thrive'!Q51*6)+('[7]5A6_Thrive'!Q51*2)</f>
        <v>0</v>
      </c>
      <c r="P51" s="150">
        <f t="shared" si="9"/>
        <v>0</v>
      </c>
      <c r="Q51" s="157">
        <f t="shared" si="11"/>
        <v>0</v>
      </c>
      <c r="R51" s="153">
        <f t="shared" si="12"/>
        <v>0</v>
      </c>
    </row>
    <row r="52" spans="1:18" ht="15.6" customHeight="1" x14ac:dyDescent="0.2">
      <c r="A52" s="378">
        <v>46</v>
      </c>
      <c r="B52" s="116" t="s">
        <v>50</v>
      </c>
      <c r="C52" s="379">
        <f>'8_2.1.19 SIS'!BH52</f>
        <v>0</v>
      </c>
      <c r="D52" s="380">
        <f>'Source Data'!Q52</f>
        <v>10349.566861924686</v>
      </c>
      <c r="E52" s="381">
        <f t="shared" si="5"/>
        <v>0</v>
      </c>
      <c r="F52" s="381">
        <f>'Source Data'!G52</f>
        <v>728.06</v>
      </c>
      <c r="G52" s="381">
        <f t="shared" si="6"/>
        <v>0</v>
      </c>
      <c r="H52" s="382">
        <f t="shared" si="7"/>
        <v>0</v>
      </c>
      <c r="I52" s="118">
        <f>[2]Oct_Thrive!$G52</f>
        <v>11078</v>
      </c>
      <c r="J52" s="118">
        <f>[3]Feb_Thrive!$G52</f>
        <v>-5539</v>
      </c>
      <c r="K52" s="122">
        <f t="shared" si="10"/>
        <v>5539</v>
      </c>
      <c r="L52" s="382">
        <f t="shared" si="2"/>
        <v>5539</v>
      </c>
      <c r="M52" s="380">
        <f>'[1]5A6_Thrive'!$J52</f>
        <v>0</v>
      </c>
      <c r="N52" s="121">
        <f t="shared" si="8"/>
        <v>5539</v>
      </c>
      <c r="O52" s="118">
        <f>('[4]5A6_Thrive'!Q52*6)+('[7]5A6_Thrive'!Q52*2)</f>
        <v>0</v>
      </c>
      <c r="P52" s="118">
        <f t="shared" si="9"/>
        <v>5539</v>
      </c>
      <c r="Q52" s="121">
        <f t="shared" si="11"/>
        <v>1385</v>
      </c>
      <c r="R52" s="123">
        <f t="shared" si="12"/>
        <v>5539</v>
      </c>
    </row>
    <row r="53" spans="1:18" ht="15.6" customHeight="1" x14ac:dyDescent="0.2">
      <c r="A53" s="383">
        <v>47</v>
      </c>
      <c r="B53" s="134" t="s">
        <v>51</v>
      </c>
      <c r="C53" s="384">
        <f>'8_2.1.19 SIS'!BH53</f>
        <v>0</v>
      </c>
      <c r="D53" s="385">
        <f>'Source Data'!Q53</f>
        <v>8649.5976538353461</v>
      </c>
      <c r="E53" s="386">
        <f t="shared" si="5"/>
        <v>0</v>
      </c>
      <c r="F53" s="386">
        <f>'Source Data'!G53</f>
        <v>910.76</v>
      </c>
      <c r="G53" s="386">
        <f t="shared" si="6"/>
        <v>0</v>
      </c>
      <c r="H53" s="387">
        <f t="shared" si="7"/>
        <v>0</v>
      </c>
      <c r="I53" s="136">
        <f>[2]Oct_Thrive!$G53</f>
        <v>0</v>
      </c>
      <c r="J53" s="136">
        <f>[3]Feb_Thrive!$G53</f>
        <v>0</v>
      </c>
      <c r="K53" s="140">
        <f t="shared" si="10"/>
        <v>0</v>
      </c>
      <c r="L53" s="387">
        <f t="shared" si="2"/>
        <v>0</v>
      </c>
      <c r="M53" s="385">
        <f>'[1]5A6_Thrive'!$J53</f>
        <v>0</v>
      </c>
      <c r="N53" s="139">
        <f t="shared" si="8"/>
        <v>0</v>
      </c>
      <c r="O53" s="136">
        <f>('[4]5A6_Thrive'!Q53*6)+('[7]5A6_Thrive'!Q53*2)</f>
        <v>0</v>
      </c>
      <c r="P53" s="136">
        <f t="shared" si="9"/>
        <v>0</v>
      </c>
      <c r="Q53" s="139">
        <f t="shared" si="11"/>
        <v>0</v>
      </c>
      <c r="R53" s="139">
        <f t="shared" si="12"/>
        <v>0</v>
      </c>
    </row>
    <row r="54" spans="1:18" ht="15.6" customHeight="1" x14ac:dyDescent="0.2">
      <c r="A54" s="383">
        <v>48</v>
      </c>
      <c r="B54" s="134" t="s">
        <v>73</v>
      </c>
      <c r="C54" s="384">
        <f>'8_2.1.19 SIS'!BH54</f>
        <v>2</v>
      </c>
      <c r="D54" s="385">
        <f>'Source Data'!Q54</f>
        <v>8823.0869751499558</v>
      </c>
      <c r="E54" s="386">
        <f t="shared" si="5"/>
        <v>17646.173950299912</v>
      </c>
      <c r="F54" s="386">
        <f>'Source Data'!G54</f>
        <v>871.07</v>
      </c>
      <c r="G54" s="386">
        <f t="shared" si="6"/>
        <v>1742.14</v>
      </c>
      <c r="H54" s="387">
        <f t="shared" si="7"/>
        <v>19388</v>
      </c>
      <c r="I54" s="136">
        <f>[2]Oct_Thrive!$G54</f>
        <v>9694</v>
      </c>
      <c r="J54" s="136">
        <f>[3]Feb_Thrive!$G54</f>
        <v>-4847</v>
      </c>
      <c r="K54" s="140">
        <f t="shared" si="10"/>
        <v>4847</v>
      </c>
      <c r="L54" s="387">
        <f t="shared" si="2"/>
        <v>24235</v>
      </c>
      <c r="M54" s="385">
        <f>'[1]5A6_Thrive'!$J54</f>
        <v>0</v>
      </c>
      <c r="N54" s="139">
        <f t="shared" si="8"/>
        <v>24235</v>
      </c>
      <c r="O54" s="136">
        <f>('[4]5A6_Thrive'!Q54*6)+('[7]5A6_Thrive'!Q54*2)</f>
        <v>12926</v>
      </c>
      <c r="P54" s="136">
        <f t="shared" si="9"/>
        <v>11309</v>
      </c>
      <c r="Q54" s="139">
        <f t="shared" si="11"/>
        <v>2827</v>
      </c>
      <c r="R54" s="139">
        <f t="shared" si="12"/>
        <v>24235</v>
      </c>
    </row>
    <row r="55" spans="1:18" ht="15.6" customHeight="1" x14ac:dyDescent="0.2">
      <c r="A55" s="383">
        <v>49</v>
      </c>
      <c r="B55" s="134" t="s">
        <v>52</v>
      </c>
      <c r="C55" s="384">
        <f>'8_2.1.19 SIS'!BH55</f>
        <v>0</v>
      </c>
      <c r="D55" s="385">
        <f>'Source Data'!Q55</f>
        <v>8141.9314105452904</v>
      </c>
      <c r="E55" s="386">
        <f t="shared" si="5"/>
        <v>0</v>
      </c>
      <c r="F55" s="386">
        <f>'Source Data'!G55</f>
        <v>574.43999999999994</v>
      </c>
      <c r="G55" s="386">
        <f t="shared" si="6"/>
        <v>0</v>
      </c>
      <c r="H55" s="387">
        <f t="shared" si="7"/>
        <v>0</v>
      </c>
      <c r="I55" s="136">
        <f>[2]Oct_Thrive!$G55</f>
        <v>0</v>
      </c>
      <c r="J55" s="136">
        <f>[3]Feb_Thrive!$G55</f>
        <v>0</v>
      </c>
      <c r="K55" s="140">
        <f t="shared" si="10"/>
        <v>0</v>
      </c>
      <c r="L55" s="387">
        <f t="shared" si="2"/>
        <v>0</v>
      </c>
      <c r="M55" s="385">
        <f>'[1]5A6_Thrive'!$J55</f>
        <v>0</v>
      </c>
      <c r="N55" s="139">
        <f t="shared" si="8"/>
        <v>0</v>
      </c>
      <c r="O55" s="136">
        <f>('[4]5A6_Thrive'!Q55*6)+('[7]5A6_Thrive'!Q55*2)</f>
        <v>0</v>
      </c>
      <c r="P55" s="136">
        <f t="shared" si="9"/>
        <v>0</v>
      </c>
      <c r="Q55" s="139">
        <f t="shared" si="11"/>
        <v>0</v>
      </c>
      <c r="R55" s="139">
        <f t="shared" si="12"/>
        <v>0</v>
      </c>
    </row>
    <row r="56" spans="1:18" ht="15.6" customHeight="1" x14ac:dyDescent="0.2">
      <c r="A56" s="388">
        <v>50</v>
      </c>
      <c r="B56" s="148" t="s">
        <v>53</v>
      </c>
      <c r="C56" s="389">
        <f>'8_2.1.19 SIS'!BH56</f>
        <v>1</v>
      </c>
      <c r="D56" s="390">
        <f>'Source Data'!Q56</f>
        <v>8654.4847320365225</v>
      </c>
      <c r="E56" s="391">
        <f t="shared" si="5"/>
        <v>8654.4847320365225</v>
      </c>
      <c r="F56" s="391">
        <f>'Source Data'!G56</f>
        <v>634.46</v>
      </c>
      <c r="G56" s="391">
        <f t="shared" si="6"/>
        <v>634.46</v>
      </c>
      <c r="H56" s="392">
        <f t="shared" si="7"/>
        <v>9289</v>
      </c>
      <c r="I56" s="150">
        <f>[2]Oct_Thrive!$G56</f>
        <v>-9289</v>
      </c>
      <c r="J56" s="150">
        <f>[3]Feb_Thrive!$G56</f>
        <v>0</v>
      </c>
      <c r="K56" s="154">
        <f t="shared" si="10"/>
        <v>-9289</v>
      </c>
      <c r="L56" s="392">
        <f t="shared" si="2"/>
        <v>0</v>
      </c>
      <c r="M56" s="390">
        <f>'[1]5A6_Thrive'!$J56</f>
        <v>0</v>
      </c>
      <c r="N56" s="153">
        <f t="shared" si="8"/>
        <v>0</v>
      </c>
      <c r="O56" s="156">
        <f>('[4]5A6_Thrive'!Q56*6)+('[7]5A6_Thrive'!Q56*2)</f>
        <v>6192</v>
      </c>
      <c r="P56" s="150">
        <f t="shared" si="9"/>
        <v>-6192</v>
      </c>
      <c r="Q56" s="157">
        <f t="shared" si="11"/>
        <v>-1548</v>
      </c>
      <c r="R56" s="153">
        <f t="shared" si="12"/>
        <v>0</v>
      </c>
    </row>
    <row r="57" spans="1:18" ht="15.6" customHeight="1" x14ac:dyDescent="0.2">
      <c r="A57" s="378">
        <v>51</v>
      </c>
      <c r="B57" s="116" t="s">
        <v>54</v>
      </c>
      <c r="C57" s="379">
        <f>'8_2.1.19 SIS'!BH57</f>
        <v>0</v>
      </c>
      <c r="D57" s="380">
        <f>'Source Data'!Q57</f>
        <v>9136.9046492501202</v>
      </c>
      <c r="E57" s="381">
        <f t="shared" si="5"/>
        <v>0</v>
      </c>
      <c r="F57" s="381">
        <f>'Source Data'!G57</f>
        <v>706.66</v>
      </c>
      <c r="G57" s="381">
        <f t="shared" si="6"/>
        <v>0</v>
      </c>
      <c r="H57" s="382">
        <f t="shared" si="7"/>
        <v>0</v>
      </c>
      <c r="I57" s="118">
        <f>[2]Oct_Thrive!$G57</f>
        <v>0</v>
      </c>
      <c r="J57" s="118">
        <f>[3]Feb_Thrive!$G57</f>
        <v>0</v>
      </c>
      <c r="K57" s="122">
        <f t="shared" si="10"/>
        <v>0</v>
      </c>
      <c r="L57" s="382">
        <f t="shared" si="2"/>
        <v>0</v>
      </c>
      <c r="M57" s="380">
        <f>'[1]5A6_Thrive'!$J57</f>
        <v>0</v>
      </c>
      <c r="N57" s="121">
        <f t="shared" si="8"/>
        <v>0</v>
      </c>
      <c r="O57" s="118">
        <f>('[4]5A6_Thrive'!Q57*6)+('[7]5A6_Thrive'!Q57*2)</f>
        <v>0</v>
      </c>
      <c r="P57" s="118">
        <f t="shared" si="9"/>
        <v>0</v>
      </c>
      <c r="Q57" s="121">
        <f t="shared" si="11"/>
        <v>0</v>
      </c>
      <c r="R57" s="123">
        <f t="shared" si="12"/>
        <v>0</v>
      </c>
    </row>
    <row r="58" spans="1:18" ht="15.6" customHeight="1" x14ac:dyDescent="0.2">
      <c r="A58" s="383">
        <v>52</v>
      </c>
      <c r="B58" s="134" t="s">
        <v>55</v>
      </c>
      <c r="C58" s="384">
        <f>'8_2.1.19 SIS'!BH58</f>
        <v>1</v>
      </c>
      <c r="D58" s="385">
        <f>'Source Data'!Q58</f>
        <v>9000.4864854976404</v>
      </c>
      <c r="E58" s="386">
        <f t="shared" si="5"/>
        <v>9000.4864854976404</v>
      </c>
      <c r="F58" s="386">
        <f>'Source Data'!G58</f>
        <v>658.37</v>
      </c>
      <c r="G58" s="386">
        <f t="shared" si="6"/>
        <v>658.37</v>
      </c>
      <c r="H58" s="387">
        <f t="shared" si="7"/>
        <v>9659</v>
      </c>
      <c r="I58" s="136">
        <f>[2]Oct_Thrive!$G58</f>
        <v>0</v>
      </c>
      <c r="J58" s="136">
        <f>[3]Feb_Thrive!$G58</f>
        <v>9659</v>
      </c>
      <c r="K58" s="140">
        <f t="shared" si="10"/>
        <v>9659</v>
      </c>
      <c r="L58" s="387">
        <f t="shared" si="2"/>
        <v>19318</v>
      </c>
      <c r="M58" s="385">
        <f>'[1]5A6_Thrive'!$J58</f>
        <v>0</v>
      </c>
      <c r="N58" s="139">
        <f t="shared" si="8"/>
        <v>19318</v>
      </c>
      <c r="O58" s="136">
        <f>('[4]5A6_Thrive'!Q58*6)+('[7]5A6_Thrive'!Q58*2)</f>
        <v>6440</v>
      </c>
      <c r="P58" s="136">
        <f t="shared" si="9"/>
        <v>12878</v>
      </c>
      <c r="Q58" s="139">
        <f t="shared" si="11"/>
        <v>3220</v>
      </c>
      <c r="R58" s="139">
        <f t="shared" si="12"/>
        <v>19318</v>
      </c>
    </row>
    <row r="59" spans="1:18" ht="15.6" customHeight="1" x14ac:dyDescent="0.2">
      <c r="A59" s="383">
        <v>53</v>
      </c>
      <c r="B59" s="134" t="s">
        <v>56</v>
      </c>
      <c r="C59" s="384">
        <f>'8_2.1.19 SIS'!BH59</f>
        <v>0</v>
      </c>
      <c r="D59" s="385">
        <f>'Source Data'!Q59</f>
        <v>7942.1319708403926</v>
      </c>
      <c r="E59" s="386">
        <f t="shared" si="5"/>
        <v>0</v>
      </c>
      <c r="F59" s="386">
        <f>'Source Data'!G59</f>
        <v>689.74</v>
      </c>
      <c r="G59" s="386">
        <f t="shared" si="6"/>
        <v>0</v>
      </c>
      <c r="H59" s="387">
        <f t="shared" si="7"/>
        <v>0</v>
      </c>
      <c r="I59" s="136">
        <f>[2]Oct_Thrive!$G59</f>
        <v>17264</v>
      </c>
      <c r="J59" s="136">
        <f>[3]Feb_Thrive!$G59</f>
        <v>4316</v>
      </c>
      <c r="K59" s="140">
        <f t="shared" si="10"/>
        <v>21580</v>
      </c>
      <c r="L59" s="387">
        <f t="shared" si="2"/>
        <v>21580</v>
      </c>
      <c r="M59" s="385">
        <f>'[1]5A6_Thrive'!$J59</f>
        <v>0</v>
      </c>
      <c r="N59" s="139">
        <f t="shared" si="8"/>
        <v>21580</v>
      </c>
      <c r="O59" s="136">
        <f>('[4]5A6_Thrive'!Q59*6)+('[7]5A6_Thrive'!Q59*2)</f>
        <v>0</v>
      </c>
      <c r="P59" s="136">
        <f t="shared" si="9"/>
        <v>21580</v>
      </c>
      <c r="Q59" s="139">
        <f t="shared" si="11"/>
        <v>5395</v>
      </c>
      <c r="R59" s="139">
        <f t="shared" si="12"/>
        <v>21580</v>
      </c>
    </row>
    <row r="60" spans="1:18" ht="15.6" customHeight="1" x14ac:dyDescent="0.2">
      <c r="A60" s="383">
        <v>54</v>
      </c>
      <c r="B60" s="134" t="s">
        <v>57</v>
      </c>
      <c r="C60" s="384">
        <f>'8_2.1.19 SIS'!BH60</f>
        <v>0</v>
      </c>
      <c r="D60" s="385">
        <f>'Source Data'!Q60</f>
        <v>10473.672222222223</v>
      </c>
      <c r="E60" s="386">
        <f t="shared" si="5"/>
        <v>0</v>
      </c>
      <c r="F60" s="386">
        <f>'Source Data'!G60</f>
        <v>951.45</v>
      </c>
      <c r="G60" s="386">
        <f t="shared" si="6"/>
        <v>0</v>
      </c>
      <c r="H60" s="387">
        <f t="shared" si="7"/>
        <v>0</v>
      </c>
      <c r="I60" s="136">
        <f>[2]Oct_Thrive!$G60</f>
        <v>0</v>
      </c>
      <c r="J60" s="136">
        <f>[3]Feb_Thrive!$G60</f>
        <v>0</v>
      </c>
      <c r="K60" s="140">
        <f t="shared" si="10"/>
        <v>0</v>
      </c>
      <c r="L60" s="387">
        <f t="shared" si="2"/>
        <v>0</v>
      </c>
      <c r="M60" s="385">
        <f>'[1]5A6_Thrive'!$J60</f>
        <v>0</v>
      </c>
      <c r="N60" s="139">
        <f t="shared" si="8"/>
        <v>0</v>
      </c>
      <c r="O60" s="136">
        <f>('[4]5A6_Thrive'!Q60*6)+('[7]5A6_Thrive'!Q60*2)</f>
        <v>0</v>
      </c>
      <c r="P60" s="136">
        <f t="shared" si="9"/>
        <v>0</v>
      </c>
      <c r="Q60" s="139">
        <f t="shared" si="11"/>
        <v>0</v>
      </c>
      <c r="R60" s="139">
        <f t="shared" si="12"/>
        <v>0</v>
      </c>
    </row>
    <row r="61" spans="1:18" ht="15.6" customHeight="1" x14ac:dyDescent="0.2">
      <c r="A61" s="388">
        <v>55</v>
      </c>
      <c r="B61" s="148" t="s">
        <v>58</v>
      </c>
      <c r="C61" s="389">
        <f>'8_2.1.19 SIS'!BH61</f>
        <v>0</v>
      </c>
      <c r="D61" s="390">
        <f>'Source Data'!Q61</f>
        <v>8488.8722470904213</v>
      </c>
      <c r="E61" s="391">
        <f t="shared" si="5"/>
        <v>0</v>
      </c>
      <c r="F61" s="391">
        <f>'Source Data'!G61</f>
        <v>795.14</v>
      </c>
      <c r="G61" s="391">
        <f t="shared" si="6"/>
        <v>0</v>
      </c>
      <c r="H61" s="392">
        <f t="shared" si="7"/>
        <v>0</v>
      </c>
      <c r="I61" s="150">
        <f>[2]Oct_Thrive!$G61</f>
        <v>0</v>
      </c>
      <c r="J61" s="150">
        <f>[3]Feb_Thrive!$G61</f>
        <v>0</v>
      </c>
      <c r="K61" s="154">
        <f t="shared" si="10"/>
        <v>0</v>
      </c>
      <c r="L61" s="392">
        <f t="shared" si="2"/>
        <v>0</v>
      </c>
      <c r="M61" s="390">
        <f>'[1]5A6_Thrive'!$J61</f>
        <v>0</v>
      </c>
      <c r="N61" s="153">
        <f t="shared" si="8"/>
        <v>0</v>
      </c>
      <c r="O61" s="156">
        <f>('[4]5A6_Thrive'!Q61*6)+('[7]5A6_Thrive'!Q61*2)</f>
        <v>0</v>
      </c>
      <c r="P61" s="150">
        <f t="shared" si="9"/>
        <v>0</v>
      </c>
      <c r="Q61" s="157">
        <f t="shared" si="11"/>
        <v>0</v>
      </c>
      <c r="R61" s="153">
        <f t="shared" si="12"/>
        <v>0</v>
      </c>
    </row>
    <row r="62" spans="1:18" ht="15.6" customHeight="1" x14ac:dyDescent="0.2">
      <c r="A62" s="378">
        <v>56</v>
      </c>
      <c r="B62" s="116" t="s">
        <v>59</v>
      </c>
      <c r="C62" s="379">
        <f>'8_2.1.19 SIS'!BH62</f>
        <v>0</v>
      </c>
      <c r="D62" s="380">
        <f>'Source Data'!Q62</f>
        <v>9570.5786577181207</v>
      </c>
      <c r="E62" s="381">
        <f t="shared" si="5"/>
        <v>0</v>
      </c>
      <c r="F62" s="381">
        <f>'Source Data'!G62</f>
        <v>614.66000000000008</v>
      </c>
      <c r="G62" s="381">
        <f t="shared" si="6"/>
        <v>0</v>
      </c>
      <c r="H62" s="382">
        <f t="shared" si="7"/>
        <v>0</v>
      </c>
      <c r="I62" s="118">
        <f>[2]Oct_Thrive!$G62</f>
        <v>0</v>
      </c>
      <c r="J62" s="118">
        <f>[3]Feb_Thrive!$G62</f>
        <v>0</v>
      </c>
      <c r="K62" s="122">
        <f t="shared" si="10"/>
        <v>0</v>
      </c>
      <c r="L62" s="382">
        <f t="shared" si="2"/>
        <v>0</v>
      </c>
      <c r="M62" s="380">
        <f>'[1]5A6_Thrive'!$J62</f>
        <v>0</v>
      </c>
      <c r="N62" s="121">
        <f t="shared" si="8"/>
        <v>0</v>
      </c>
      <c r="O62" s="118">
        <f>('[4]5A6_Thrive'!Q62*6)+('[7]5A6_Thrive'!Q62*2)</f>
        <v>0</v>
      </c>
      <c r="P62" s="118">
        <f t="shared" si="9"/>
        <v>0</v>
      </c>
      <c r="Q62" s="121">
        <f t="shared" si="11"/>
        <v>0</v>
      </c>
      <c r="R62" s="123">
        <f t="shared" si="12"/>
        <v>0</v>
      </c>
    </row>
    <row r="63" spans="1:18" ht="15.6" customHeight="1" x14ac:dyDescent="0.2">
      <c r="A63" s="383">
        <v>57</v>
      </c>
      <c r="B63" s="134" t="s">
        <v>60</v>
      </c>
      <c r="C63" s="384">
        <f>'8_2.1.19 SIS'!BH63</f>
        <v>0</v>
      </c>
      <c r="D63" s="385">
        <f>'Source Data'!Q63</f>
        <v>7930.6146761658028</v>
      </c>
      <c r="E63" s="386">
        <f t="shared" si="5"/>
        <v>0</v>
      </c>
      <c r="F63" s="386">
        <f>'Source Data'!G63</f>
        <v>764.51</v>
      </c>
      <c r="G63" s="386">
        <f t="shared" si="6"/>
        <v>0</v>
      </c>
      <c r="H63" s="387">
        <f t="shared" si="7"/>
        <v>0</v>
      </c>
      <c r="I63" s="136">
        <f>[2]Oct_Thrive!$G63</f>
        <v>0</v>
      </c>
      <c r="J63" s="136">
        <f>[3]Feb_Thrive!$G63</f>
        <v>0</v>
      </c>
      <c r="K63" s="140">
        <f t="shared" si="10"/>
        <v>0</v>
      </c>
      <c r="L63" s="387">
        <f t="shared" si="2"/>
        <v>0</v>
      </c>
      <c r="M63" s="385">
        <f>'[1]5A6_Thrive'!$J63</f>
        <v>0</v>
      </c>
      <c r="N63" s="139">
        <f t="shared" si="8"/>
        <v>0</v>
      </c>
      <c r="O63" s="136">
        <f>('[4]5A6_Thrive'!Q63*6)+('[7]5A6_Thrive'!Q63*2)</f>
        <v>0</v>
      </c>
      <c r="P63" s="136">
        <f t="shared" si="9"/>
        <v>0</v>
      </c>
      <c r="Q63" s="139">
        <f t="shared" si="11"/>
        <v>0</v>
      </c>
      <c r="R63" s="139">
        <f t="shared" si="12"/>
        <v>0</v>
      </c>
    </row>
    <row r="64" spans="1:18" ht="15.6" customHeight="1" x14ac:dyDescent="0.2">
      <c r="A64" s="383">
        <v>58</v>
      </c>
      <c r="B64" s="134" t="s">
        <v>61</v>
      </c>
      <c r="C64" s="384">
        <f>'8_2.1.19 SIS'!BH64</f>
        <v>0</v>
      </c>
      <c r="D64" s="385">
        <f>'Source Data'!Q64</f>
        <v>8446.5168634732017</v>
      </c>
      <c r="E64" s="386">
        <f t="shared" si="5"/>
        <v>0</v>
      </c>
      <c r="F64" s="386">
        <f>'Source Data'!G64</f>
        <v>697.04</v>
      </c>
      <c r="G64" s="386">
        <f t="shared" si="6"/>
        <v>0</v>
      </c>
      <c r="H64" s="387">
        <f t="shared" si="7"/>
        <v>0</v>
      </c>
      <c r="I64" s="136">
        <f>[2]Oct_Thrive!$G64</f>
        <v>0</v>
      </c>
      <c r="J64" s="136">
        <f>[3]Feb_Thrive!$G64</f>
        <v>0</v>
      </c>
      <c r="K64" s="140">
        <f t="shared" si="10"/>
        <v>0</v>
      </c>
      <c r="L64" s="387">
        <f t="shared" si="2"/>
        <v>0</v>
      </c>
      <c r="M64" s="385">
        <f>'[1]5A6_Thrive'!$J64</f>
        <v>0</v>
      </c>
      <c r="N64" s="139">
        <f t="shared" si="8"/>
        <v>0</v>
      </c>
      <c r="O64" s="136">
        <f>('[4]5A6_Thrive'!Q64*6)+('[7]5A6_Thrive'!Q64*2)</f>
        <v>0</v>
      </c>
      <c r="P64" s="136">
        <f t="shared" si="9"/>
        <v>0</v>
      </c>
      <c r="Q64" s="139">
        <f t="shared" si="11"/>
        <v>0</v>
      </c>
      <c r="R64" s="139">
        <f t="shared" si="12"/>
        <v>0</v>
      </c>
    </row>
    <row r="65" spans="1:18" ht="15.6" customHeight="1" x14ac:dyDescent="0.2">
      <c r="A65" s="383">
        <v>59</v>
      </c>
      <c r="B65" s="134" t="s">
        <v>62</v>
      </c>
      <c r="C65" s="384">
        <f>'8_2.1.19 SIS'!BH65</f>
        <v>0</v>
      </c>
      <c r="D65" s="385">
        <f>'Source Data'!Q65</f>
        <v>8217.7514762567062</v>
      </c>
      <c r="E65" s="386">
        <f t="shared" si="5"/>
        <v>0</v>
      </c>
      <c r="F65" s="386">
        <f>'Source Data'!G65</f>
        <v>689.52</v>
      </c>
      <c r="G65" s="386">
        <f t="shared" si="6"/>
        <v>0</v>
      </c>
      <c r="H65" s="387">
        <f t="shared" si="7"/>
        <v>0</v>
      </c>
      <c r="I65" s="136">
        <f>[2]Oct_Thrive!$G65</f>
        <v>0</v>
      </c>
      <c r="J65" s="136">
        <f>[3]Feb_Thrive!$G65</f>
        <v>0</v>
      </c>
      <c r="K65" s="140">
        <f t="shared" si="10"/>
        <v>0</v>
      </c>
      <c r="L65" s="387">
        <f t="shared" si="2"/>
        <v>0</v>
      </c>
      <c r="M65" s="385">
        <f>'[1]5A6_Thrive'!$J65</f>
        <v>0</v>
      </c>
      <c r="N65" s="139">
        <f t="shared" si="8"/>
        <v>0</v>
      </c>
      <c r="O65" s="136">
        <f>('[4]5A6_Thrive'!Q65*6)+('[7]5A6_Thrive'!Q65*2)</f>
        <v>0</v>
      </c>
      <c r="P65" s="136">
        <f t="shared" si="9"/>
        <v>0</v>
      </c>
      <c r="Q65" s="139">
        <f t="shared" si="11"/>
        <v>0</v>
      </c>
      <c r="R65" s="139">
        <f t="shared" si="12"/>
        <v>0</v>
      </c>
    </row>
    <row r="66" spans="1:18" ht="15.6" customHeight="1" x14ac:dyDescent="0.2">
      <c r="A66" s="388">
        <v>60</v>
      </c>
      <c r="B66" s="148" t="s">
        <v>63</v>
      </c>
      <c r="C66" s="389">
        <f>'8_2.1.19 SIS'!BH66</f>
        <v>0</v>
      </c>
      <c r="D66" s="390">
        <f>'Source Data'!Q66</f>
        <v>9190.3055793703952</v>
      </c>
      <c r="E66" s="391">
        <f t="shared" si="5"/>
        <v>0</v>
      </c>
      <c r="F66" s="391">
        <f>'Source Data'!G66</f>
        <v>594.04</v>
      </c>
      <c r="G66" s="391">
        <f t="shared" si="6"/>
        <v>0</v>
      </c>
      <c r="H66" s="392">
        <f t="shared" si="7"/>
        <v>0</v>
      </c>
      <c r="I66" s="150">
        <f>[2]Oct_Thrive!$G66</f>
        <v>0</v>
      </c>
      <c r="J66" s="150">
        <f>[3]Feb_Thrive!$G66</f>
        <v>0</v>
      </c>
      <c r="K66" s="154">
        <f t="shared" si="10"/>
        <v>0</v>
      </c>
      <c r="L66" s="392">
        <f t="shared" si="2"/>
        <v>0</v>
      </c>
      <c r="M66" s="390">
        <f>'[1]5A6_Thrive'!$J66</f>
        <v>0</v>
      </c>
      <c r="N66" s="153">
        <f t="shared" si="8"/>
        <v>0</v>
      </c>
      <c r="O66" s="156">
        <f>('[4]5A6_Thrive'!Q66*6)+('[7]5A6_Thrive'!Q66*2)</f>
        <v>0</v>
      </c>
      <c r="P66" s="150">
        <f t="shared" si="9"/>
        <v>0</v>
      </c>
      <c r="Q66" s="157">
        <f t="shared" si="11"/>
        <v>0</v>
      </c>
      <c r="R66" s="153">
        <f t="shared" si="12"/>
        <v>0</v>
      </c>
    </row>
    <row r="67" spans="1:18" ht="15.6" customHeight="1" x14ac:dyDescent="0.2">
      <c r="A67" s="378">
        <v>61</v>
      </c>
      <c r="B67" s="116" t="s">
        <v>64</v>
      </c>
      <c r="C67" s="379">
        <f>'8_2.1.19 SIS'!BH67</f>
        <v>3</v>
      </c>
      <c r="D67" s="380">
        <f>'Source Data'!Q67</f>
        <v>8368.0957865786568</v>
      </c>
      <c r="E67" s="381">
        <f t="shared" si="5"/>
        <v>25104.287359735972</v>
      </c>
      <c r="F67" s="381">
        <f>'Source Data'!G67</f>
        <v>833.70999999999992</v>
      </c>
      <c r="G67" s="381">
        <f t="shared" si="6"/>
        <v>2501.1299999999997</v>
      </c>
      <c r="H67" s="382">
        <f t="shared" si="7"/>
        <v>27605</v>
      </c>
      <c r="I67" s="118">
        <f>[2]Oct_Thrive!$G67</f>
        <v>27605</v>
      </c>
      <c r="J67" s="118">
        <f>[3]Feb_Thrive!$G67</f>
        <v>9202</v>
      </c>
      <c r="K67" s="122">
        <f t="shared" si="10"/>
        <v>36807</v>
      </c>
      <c r="L67" s="382">
        <f t="shared" si="2"/>
        <v>64412</v>
      </c>
      <c r="M67" s="380">
        <f>'[1]5A6_Thrive'!$J67</f>
        <v>0</v>
      </c>
      <c r="N67" s="121">
        <f t="shared" si="8"/>
        <v>64412</v>
      </c>
      <c r="O67" s="118">
        <f>('[4]5A6_Thrive'!Q67*6)+('[7]5A6_Thrive'!Q67*2)</f>
        <v>18402</v>
      </c>
      <c r="P67" s="118">
        <f t="shared" si="9"/>
        <v>46010</v>
      </c>
      <c r="Q67" s="121">
        <f t="shared" si="11"/>
        <v>11503</v>
      </c>
      <c r="R67" s="123">
        <f t="shared" si="12"/>
        <v>64412</v>
      </c>
    </row>
    <row r="68" spans="1:18" ht="15.6" customHeight="1" x14ac:dyDescent="0.2">
      <c r="A68" s="383">
        <v>62</v>
      </c>
      <c r="B68" s="134" t="s">
        <v>65</v>
      </c>
      <c r="C68" s="384">
        <f>'8_2.1.19 SIS'!BH68</f>
        <v>0</v>
      </c>
      <c r="D68" s="385">
        <f>'Source Data'!Q68</f>
        <v>8527.1602638254699</v>
      </c>
      <c r="E68" s="386">
        <f t="shared" si="5"/>
        <v>0</v>
      </c>
      <c r="F68" s="386">
        <f>'Source Data'!G68</f>
        <v>516.08000000000004</v>
      </c>
      <c r="G68" s="386">
        <f t="shared" si="6"/>
        <v>0</v>
      </c>
      <c r="H68" s="387">
        <f t="shared" si="7"/>
        <v>0</v>
      </c>
      <c r="I68" s="136">
        <f>[2]Oct_Thrive!$G68</f>
        <v>0</v>
      </c>
      <c r="J68" s="136">
        <f>[3]Feb_Thrive!$G68</f>
        <v>0</v>
      </c>
      <c r="K68" s="140">
        <f t="shared" si="10"/>
        <v>0</v>
      </c>
      <c r="L68" s="387">
        <f t="shared" si="2"/>
        <v>0</v>
      </c>
      <c r="M68" s="385">
        <f>'[1]5A6_Thrive'!$J68</f>
        <v>0</v>
      </c>
      <c r="N68" s="139">
        <f t="shared" si="8"/>
        <v>0</v>
      </c>
      <c r="O68" s="136">
        <f>('[4]5A6_Thrive'!Q68*6)+('[7]5A6_Thrive'!Q68*2)</f>
        <v>0</v>
      </c>
      <c r="P68" s="136">
        <f t="shared" si="9"/>
        <v>0</v>
      </c>
      <c r="Q68" s="139">
        <f t="shared" si="11"/>
        <v>0</v>
      </c>
      <c r="R68" s="139">
        <f t="shared" si="12"/>
        <v>0</v>
      </c>
    </row>
    <row r="69" spans="1:18" ht="15.6" customHeight="1" x14ac:dyDescent="0.2">
      <c r="A69" s="383">
        <v>63</v>
      </c>
      <c r="B69" s="134" t="s">
        <v>66</v>
      </c>
      <c r="C69" s="384">
        <f>'8_2.1.19 SIS'!BH69</f>
        <v>4</v>
      </c>
      <c r="D69" s="385">
        <f>'Source Data'!Q69</f>
        <v>8996.9544990548202</v>
      </c>
      <c r="E69" s="386">
        <f t="shared" si="5"/>
        <v>35987.817996219281</v>
      </c>
      <c r="F69" s="386">
        <f>'Source Data'!G69</f>
        <v>756.79</v>
      </c>
      <c r="G69" s="386">
        <f t="shared" si="6"/>
        <v>3027.16</v>
      </c>
      <c r="H69" s="387">
        <f t="shared" si="7"/>
        <v>39015</v>
      </c>
      <c r="I69" s="136">
        <f>[2]Oct_Thrive!$G69</f>
        <v>-19507</v>
      </c>
      <c r="J69" s="136">
        <f>[3]Feb_Thrive!$G69</f>
        <v>-4877</v>
      </c>
      <c r="K69" s="140">
        <f t="shared" si="10"/>
        <v>-24384</v>
      </c>
      <c r="L69" s="387">
        <f t="shared" si="2"/>
        <v>14631</v>
      </c>
      <c r="M69" s="385">
        <f>'[1]5A6_Thrive'!$J69</f>
        <v>0</v>
      </c>
      <c r="N69" s="139">
        <f t="shared" si="8"/>
        <v>14631</v>
      </c>
      <c r="O69" s="136">
        <f>('[4]5A6_Thrive'!Q69*6)+('[7]5A6_Thrive'!Q69*2)</f>
        <v>26010</v>
      </c>
      <c r="P69" s="136">
        <f t="shared" si="9"/>
        <v>-11379</v>
      </c>
      <c r="Q69" s="139">
        <f t="shared" si="11"/>
        <v>-2845</v>
      </c>
      <c r="R69" s="139">
        <f t="shared" si="12"/>
        <v>14631</v>
      </c>
    </row>
    <row r="70" spans="1:18" ht="15.6" customHeight="1" x14ac:dyDescent="0.2">
      <c r="A70" s="383">
        <v>64</v>
      </c>
      <c r="B70" s="134" t="s">
        <v>67</v>
      </c>
      <c r="C70" s="384">
        <f>'8_2.1.19 SIS'!BH70</f>
        <v>0</v>
      </c>
      <c r="D70" s="385">
        <f>'Source Data'!Q70</f>
        <v>9727.9971906354513</v>
      </c>
      <c r="E70" s="386">
        <f t="shared" si="5"/>
        <v>0</v>
      </c>
      <c r="F70" s="386">
        <f>'Source Data'!G70</f>
        <v>592.66</v>
      </c>
      <c r="G70" s="386">
        <f t="shared" si="6"/>
        <v>0</v>
      </c>
      <c r="H70" s="387">
        <f t="shared" si="7"/>
        <v>0</v>
      </c>
      <c r="I70" s="136">
        <f>[2]Oct_Thrive!$G70</f>
        <v>0</v>
      </c>
      <c r="J70" s="136">
        <f>[3]Feb_Thrive!$G70</f>
        <v>0</v>
      </c>
      <c r="K70" s="140">
        <f t="shared" si="10"/>
        <v>0</v>
      </c>
      <c r="L70" s="387">
        <f t="shared" si="2"/>
        <v>0</v>
      </c>
      <c r="M70" s="385">
        <f>'[1]5A6_Thrive'!$J70</f>
        <v>0</v>
      </c>
      <c r="N70" s="139">
        <f t="shared" si="8"/>
        <v>0</v>
      </c>
      <c r="O70" s="136">
        <f>('[4]5A6_Thrive'!Q70*6)+('[7]5A6_Thrive'!Q70*2)</f>
        <v>0</v>
      </c>
      <c r="P70" s="136">
        <f t="shared" si="9"/>
        <v>0</v>
      </c>
      <c r="Q70" s="139">
        <f t="shared" si="11"/>
        <v>0</v>
      </c>
      <c r="R70" s="139">
        <f t="shared" si="12"/>
        <v>0</v>
      </c>
    </row>
    <row r="71" spans="1:18" ht="15.6" customHeight="1" x14ac:dyDescent="0.2">
      <c r="A71" s="388">
        <v>65</v>
      </c>
      <c r="B71" s="148" t="s">
        <v>68</v>
      </c>
      <c r="C71" s="389">
        <f>'8_2.1.19 SIS'!BH71</f>
        <v>0</v>
      </c>
      <c r="D71" s="390">
        <f>'Source Data'!Q71</f>
        <v>9143.4234235368167</v>
      </c>
      <c r="E71" s="391">
        <f t="shared" si="5"/>
        <v>0</v>
      </c>
      <c r="F71" s="391">
        <f>'Source Data'!G71</f>
        <v>829.12</v>
      </c>
      <c r="G71" s="391">
        <f t="shared" si="6"/>
        <v>0</v>
      </c>
      <c r="H71" s="392">
        <f t="shared" si="7"/>
        <v>0</v>
      </c>
      <c r="I71" s="150">
        <f>[2]Oct_Thrive!$G71</f>
        <v>9973</v>
      </c>
      <c r="J71" s="150">
        <f>[3]Feb_Thrive!$G71</f>
        <v>0</v>
      </c>
      <c r="K71" s="154">
        <f>I71+J71</f>
        <v>9973</v>
      </c>
      <c r="L71" s="392">
        <f>K71+H71</f>
        <v>9973</v>
      </c>
      <c r="M71" s="390">
        <f>'[1]5A6_Thrive'!$J71</f>
        <v>0</v>
      </c>
      <c r="N71" s="153">
        <f t="shared" si="8"/>
        <v>9973</v>
      </c>
      <c r="O71" s="156">
        <f>('[4]5A6_Thrive'!Q71*6)+('[7]5A6_Thrive'!Q71*2)</f>
        <v>0</v>
      </c>
      <c r="P71" s="150">
        <f t="shared" si="9"/>
        <v>9973</v>
      </c>
      <c r="Q71" s="157">
        <f>ROUND(P71/$Q$86,0)</f>
        <v>2493</v>
      </c>
      <c r="R71" s="153">
        <f t="shared" si="12"/>
        <v>9973</v>
      </c>
    </row>
    <row r="72" spans="1:18" ht="15.6" customHeight="1" x14ac:dyDescent="0.2">
      <c r="A72" s="383">
        <v>66</v>
      </c>
      <c r="B72" s="134" t="s">
        <v>69</v>
      </c>
      <c r="C72" s="393">
        <f>'8_2.1.19 SIS'!BH72</f>
        <v>0</v>
      </c>
      <c r="D72" s="394">
        <f>'Source Data'!Q72</f>
        <v>11075.208361344539</v>
      </c>
      <c r="E72" s="395">
        <f>C72*D72</f>
        <v>0</v>
      </c>
      <c r="F72" s="395">
        <f>'Source Data'!G72</f>
        <v>730.06</v>
      </c>
      <c r="G72" s="395">
        <f>C72*F72</f>
        <v>0</v>
      </c>
      <c r="H72" s="396">
        <f>ROUND(E72+G72,0)</f>
        <v>0</v>
      </c>
      <c r="I72" s="397">
        <f>[2]Oct_Thrive!$G72</f>
        <v>0</v>
      </c>
      <c r="J72" s="397">
        <f>[3]Feb_Thrive!$G72</f>
        <v>0</v>
      </c>
      <c r="K72" s="398">
        <f>I72+J72</f>
        <v>0</v>
      </c>
      <c r="L72" s="396">
        <f>K72+H72</f>
        <v>0</v>
      </c>
      <c r="M72" s="394">
        <f>'[1]5A6_Thrive'!$J72</f>
        <v>0</v>
      </c>
      <c r="N72" s="399">
        <f>ROUND(SUM(L72:M72),0)</f>
        <v>0</v>
      </c>
      <c r="O72" s="136">
        <f>('[4]5A6_Thrive'!Q72*6)+('[7]5A6_Thrive'!Q72*2)</f>
        <v>0</v>
      </c>
      <c r="P72" s="397">
        <f>N72-O72</f>
        <v>0</v>
      </c>
      <c r="Q72" s="139">
        <f>ROUND(P72/$Q$86,0)</f>
        <v>0</v>
      </c>
      <c r="R72" s="399">
        <f t="shared" si="12"/>
        <v>0</v>
      </c>
    </row>
    <row r="73" spans="1:18" ht="15.6" customHeight="1" x14ac:dyDescent="0.2">
      <c r="A73" s="383">
        <v>67</v>
      </c>
      <c r="B73" s="134" t="s">
        <v>2</v>
      </c>
      <c r="C73" s="393">
        <f>'8_2.1.19 SIS'!BH73</f>
        <v>3</v>
      </c>
      <c r="D73" s="394">
        <f>'Source Data'!Q73</f>
        <v>8660.052680412371</v>
      </c>
      <c r="E73" s="395">
        <f>C73*D73</f>
        <v>25980.158041237111</v>
      </c>
      <c r="F73" s="395">
        <f>'Source Data'!G73</f>
        <v>715.61</v>
      </c>
      <c r="G73" s="395">
        <f>C73*F73</f>
        <v>2146.83</v>
      </c>
      <c r="H73" s="396">
        <f>ROUND(E73+G73,0)</f>
        <v>28127</v>
      </c>
      <c r="I73" s="397">
        <f>[2]Oct_Thrive!$G73</f>
        <v>-9376</v>
      </c>
      <c r="J73" s="397">
        <f>[3]Feb_Thrive!$G73</f>
        <v>0</v>
      </c>
      <c r="K73" s="398">
        <f>I73+J73</f>
        <v>-9376</v>
      </c>
      <c r="L73" s="396">
        <f>K73+H73</f>
        <v>18751</v>
      </c>
      <c r="M73" s="394">
        <f>'[1]5A6_Thrive'!$J73</f>
        <v>0</v>
      </c>
      <c r="N73" s="399">
        <f>ROUND(SUM(L73:M73),0)</f>
        <v>18751</v>
      </c>
      <c r="O73" s="136">
        <f>('[4]5A6_Thrive'!Q73*6)+('[7]5A6_Thrive'!Q73*2)</f>
        <v>18752</v>
      </c>
      <c r="P73" s="397">
        <f>N73-O73</f>
        <v>-1</v>
      </c>
      <c r="Q73" s="139">
        <f>ROUND(P73/$Q$86,0)</f>
        <v>0</v>
      </c>
      <c r="R73" s="399">
        <f t="shared" si="12"/>
        <v>18751</v>
      </c>
    </row>
    <row r="74" spans="1:18" ht="15.6" customHeight="1" x14ac:dyDescent="0.2">
      <c r="A74" s="383">
        <v>68</v>
      </c>
      <c r="B74" s="134" t="s">
        <v>1</v>
      </c>
      <c r="C74" s="393">
        <f>'8_2.1.19 SIS'!BH74</f>
        <v>2</v>
      </c>
      <c r="D74" s="394">
        <f>'Source Data'!Q74</f>
        <v>9631.6081267217633</v>
      </c>
      <c r="E74" s="395">
        <f>C74*D74</f>
        <v>19263.216253443527</v>
      </c>
      <c r="F74" s="395">
        <f>'Source Data'!G74</f>
        <v>798.7</v>
      </c>
      <c r="G74" s="395">
        <f>C74*F74</f>
        <v>1597.4</v>
      </c>
      <c r="H74" s="396">
        <f>ROUND(E74+G74,0)</f>
        <v>20861</v>
      </c>
      <c r="I74" s="397">
        <f>[2]Oct_Thrive!$G74</f>
        <v>0</v>
      </c>
      <c r="J74" s="397">
        <f>[3]Feb_Thrive!$G74</f>
        <v>-5215</v>
      </c>
      <c r="K74" s="398">
        <f>I74+J74</f>
        <v>-5215</v>
      </c>
      <c r="L74" s="396">
        <f>K74+H74</f>
        <v>15646</v>
      </c>
      <c r="M74" s="394">
        <f>'[1]5A6_Thrive'!$J74</f>
        <v>0</v>
      </c>
      <c r="N74" s="399">
        <f>ROUND(SUM(L74:M74),0)</f>
        <v>15646</v>
      </c>
      <c r="O74" s="136">
        <f>('[4]5A6_Thrive'!Q74*6)+('[7]5A6_Thrive'!Q74*2)</f>
        <v>13906</v>
      </c>
      <c r="P74" s="397">
        <f>N74-O74</f>
        <v>1740</v>
      </c>
      <c r="Q74" s="139">
        <f>ROUND(P74/$Q$86,0)</f>
        <v>435</v>
      </c>
      <c r="R74" s="399">
        <f t="shared" si="12"/>
        <v>15646</v>
      </c>
    </row>
    <row r="75" spans="1:18" ht="15.6" customHeight="1" x14ac:dyDescent="0.2">
      <c r="A75" s="400">
        <v>69</v>
      </c>
      <c r="B75" s="401" t="s">
        <v>74</v>
      </c>
      <c r="C75" s="402">
        <f>'8_2.1.19 SIS'!BH75</f>
        <v>1</v>
      </c>
      <c r="D75" s="403">
        <f>'Source Data'!Q75</f>
        <v>8983.2278574459051</v>
      </c>
      <c r="E75" s="404">
        <f>C75*D75</f>
        <v>8983.2278574459051</v>
      </c>
      <c r="F75" s="404">
        <f>'Source Data'!G75</f>
        <v>705.67</v>
      </c>
      <c r="G75" s="404">
        <f>C75*F75</f>
        <v>705.67</v>
      </c>
      <c r="H75" s="405">
        <f>ROUND(E75+G75,0)</f>
        <v>9689</v>
      </c>
      <c r="I75" s="406">
        <f>[2]Oct_Thrive!$G75</f>
        <v>0</v>
      </c>
      <c r="J75" s="406">
        <f>[3]Feb_Thrive!$G75</f>
        <v>0</v>
      </c>
      <c r="K75" s="407">
        <f>I75+J75</f>
        <v>0</v>
      </c>
      <c r="L75" s="405">
        <f>K75+H75</f>
        <v>9689</v>
      </c>
      <c r="M75" s="403">
        <f>'[1]5A6_Thrive'!$J75</f>
        <v>0</v>
      </c>
      <c r="N75" s="408">
        <f>ROUND(SUM(L75:M75),0)</f>
        <v>9689</v>
      </c>
      <c r="O75" s="409">
        <f>('[4]5A6_Thrive'!Q75*6)+('[7]5A6_Thrive'!Q75*2)</f>
        <v>6458</v>
      </c>
      <c r="P75" s="406">
        <f>N75-O75</f>
        <v>3231</v>
      </c>
      <c r="Q75" s="410">
        <f>ROUND(P75/$Q$86,0)</f>
        <v>808</v>
      </c>
      <c r="R75" s="408">
        <f t="shared" si="12"/>
        <v>9689</v>
      </c>
    </row>
    <row r="76" spans="1:18" s="30" customFormat="1" ht="15.6" customHeight="1" thickBot="1" x14ac:dyDescent="0.25">
      <c r="A76" s="1408" t="s">
        <v>397</v>
      </c>
      <c r="B76" s="1409"/>
      <c r="C76" s="411">
        <f>SUM(C7:C75)</f>
        <v>175</v>
      </c>
      <c r="D76" s="412">
        <f>'Source Data'!Q76</f>
        <v>8521.3829481652883</v>
      </c>
      <c r="E76" s="413">
        <f>SUM(E7:E75)</f>
        <v>1439853.0019410593</v>
      </c>
      <c r="F76" s="413">
        <f>'Source Data'!G76</f>
        <v>706.16</v>
      </c>
      <c r="G76" s="413">
        <f t="shared" ref="G76:O76" si="13">SUM(G7:G75)</f>
        <v>137863.25000000003</v>
      </c>
      <c r="H76" s="414">
        <f t="shared" si="13"/>
        <v>1577716</v>
      </c>
      <c r="I76" s="415">
        <f t="shared" si="13"/>
        <v>-16656</v>
      </c>
      <c r="J76" s="415">
        <f>SUM(J7:J75)</f>
        <v>-15841</v>
      </c>
      <c r="K76" s="416">
        <f t="shared" si="13"/>
        <v>-32497</v>
      </c>
      <c r="L76" s="417">
        <f>SUM(L7:L75)</f>
        <v>1545219</v>
      </c>
      <c r="M76" s="418">
        <f t="shared" si="13"/>
        <v>26675</v>
      </c>
      <c r="N76" s="414">
        <f t="shared" si="13"/>
        <v>1571894</v>
      </c>
      <c r="O76" s="418">
        <f t="shared" si="13"/>
        <v>1069596</v>
      </c>
      <c r="P76" s="418">
        <f>SUM(P7:P75)</f>
        <v>502298</v>
      </c>
      <c r="Q76" s="419">
        <f>SUM(Q7:Q75)</f>
        <v>125575</v>
      </c>
      <c r="R76" s="414">
        <f>SUM(R7:R75)</f>
        <v>1571894</v>
      </c>
    </row>
    <row r="77" spans="1:18" s="30" customFormat="1" ht="15.6" customHeight="1" thickTop="1" x14ac:dyDescent="0.2">
      <c r="A77" s="1468" t="s">
        <v>1273</v>
      </c>
      <c r="B77" s="1455"/>
      <c r="C77" s="970"/>
      <c r="D77" s="971"/>
      <c r="E77" s="971"/>
      <c r="F77" s="971"/>
      <c r="G77" s="971"/>
      <c r="H77" s="972">
        <v>38012</v>
      </c>
      <c r="I77" s="973"/>
      <c r="J77" s="973"/>
      <c r="K77" s="973"/>
      <c r="L77" s="972">
        <f>K77+H77</f>
        <v>38012</v>
      </c>
      <c r="M77" s="971"/>
      <c r="N77" s="974">
        <f>ROUND(SUM(L77:M77),0)</f>
        <v>38012</v>
      </c>
      <c r="O77" s="975">
        <f>('[4]5A6_Thrive'!Q77*6)+('[7]5A6_Thrive'!Q77*2)</f>
        <v>25534</v>
      </c>
      <c r="P77" s="973">
        <f>N77-O77</f>
        <v>12478</v>
      </c>
      <c r="Q77" s="976">
        <f>ROUND(P77/$Q$86,0)</f>
        <v>3120</v>
      </c>
      <c r="R77" s="974">
        <f>N77</f>
        <v>38012</v>
      </c>
    </row>
    <row r="78" spans="1:18" ht="15.6" customHeight="1" x14ac:dyDescent="0.2">
      <c r="A78" s="1429" t="s">
        <v>357</v>
      </c>
      <c r="B78" s="1462"/>
      <c r="C78" s="969"/>
      <c r="D78" s="421"/>
      <c r="E78" s="421"/>
      <c r="F78" s="421"/>
      <c r="G78" s="421"/>
      <c r="H78" s="421"/>
      <c r="I78" s="423"/>
      <c r="J78" s="423"/>
      <c r="K78" s="423"/>
      <c r="L78" s="423"/>
      <c r="M78" s="423"/>
      <c r="N78" s="791"/>
      <c r="O78" s="791"/>
      <c r="P78" s="790"/>
      <c r="Q78" s="791"/>
      <c r="R78" s="791"/>
    </row>
    <row r="79" spans="1:18" ht="15.6" customHeight="1" x14ac:dyDescent="0.2">
      <c r="A79" s="1427" t="s">
        <v>358</v>
      </c>
      <c r="B79" s="1428"/>
      <c r="C79" s="420"/>
      <c r="D79" s="421"/>
      <c r="E79" s="422"/>
      <c r="F79" s="422"/>
      <c r="G79" s="422"/>
      <c r="H79" s="422"/>
      <c r="I79" s="423"/>
      <c r="J79" s="423"/>
      <c r="K79" s="423"/>
      <c r="L79" s="423"/>
      <c r="M79" s="423"/>
      <c r="N79" s="142">
        <v>0</v>
      </c>
      <c r="O79" s="791">
        <f>('[4]5A6_Thrive'!Q79*6)+('[7]5A6_Thrive'!Q79*2)</f>
        <v>0</v>
      </c>
      <c r="P79" s="790">
        <f>N79-O79</f>
        <v>0</v>
      </c>
      <c r="Q79" s="142">
        <f>ROUND(P79/$Q$86,0)</f>
        <v>0</v>
      </c>
      <c r="R79" s="142">
        <v>0</v>
      </c>
    </row>
    <row r="80" spans="1:18" ht="15.6" customHeight="1" x14ac:dyDescent="0.2">
      <c r="A80" s="1425" t="s">
        <v>373</v>
      </c>
      <c r="B80" s="1426"/>
      <c r="C80" s="437"/>
      <c r="D80" s="425"/>
      <c r="E80" s="426"/>
      <c r="F80" s="426"/>
      <c r="G80" s="426"/>
      <c r="H80" s="426"/>
      <c r="I80" s="427"/>
      <c r="J80" s="427"/>
      <c r="K80" s="427"/>
      <c r="L80" s="427"/>
      <c r="M80" s="427"/>
      <c r="N80" s="793"/>
      <c r="O80" s="791"/>
      <c r="P80" s="790"/>
      <c r="Q80" s="793"/>
      <c r="R80" s="142">
        <v>0</v>
      </c>
    </row>
    <row r="81" spans="1:18" ht="15.6" customHeight="1" x14ac:dyDescent="0.2">
      <c r="A81" s="1437" t="s">
        <v>1368</v>
      </c>
      <c r="B81" s="1438"/>
      <c r="C81" s="424"/>
      <c r="D81" s="425"/>
      <c r="E81" s="426"/>
      <c r="F81" s="426"/>
      <c r="G81" s="426"/>
      <c r="H81" s="426"/>
      <c r="I81" s="427"/>
      <c r="J81" s="427"/>
      <c r="K81" s="427"/>
      <c r="L81" s="427"/>
      <c r="M81" s="427"/>
      <c r="N81" s="791"/>
      <c r="O81" s="791"/>
      <c r="P81" s="790"/>
      <c r="Q81" s="791"/>
      <c r="R81" s="142">
        <v>10000</v>
      </c>
    </row>
    <row r="82" spans="1:18" ht="15.6" customHeight="1" x14ac:dyDescent="0.2">
      <c r="A82" s="1437" t="s">
        <v>372</v>
      </c>
      <c r="B82" s="1438"/>
      <c r="C82" s="424"/>
      <c r="D82" s="425"/>
      <c r="E82" s="426"/>
      <c r="F82" s="426"/>
      <c r="G82" s="426"/>
      <c r="H82" s="426"/>
      <c r="I82" s="427"/>
      <c r="J82" s="427"/>
      <c r="K82" s="427"/>
      <c r="L82" s="427"/>
      <c r="M82" s="427"/>
      <c r="N82" s="793"/>
      <c r="O82" s="791"/>
      <c r="P82" s="790"/>
      <c r="Q82" s="793"/>
      <c r="R82" s="142">
        <v>0</v>
      </c>
    </row>
    <row r="83" spans="1:18" ht="15.6" customHeight="1" x14ac:dyDescent="0.2">
      <c r="A83" s="1435" t="s">
        <v>253</v>
      </c>
      <c r="B83" s="1436"/>
      <c r="C83" s="428"/>
      <c r="D83" s="429"/>
      <c r="E83" s="430"/>
      <c r="F83" s="430"/>
      <c r="G83" s="430"/>
      <c r="H83" s="430"/>
      <c r="I83" s="431"/>
      <c r="J83" s="431"/>
      <c r="K83" s="431"/>
      <c r="L83" s="431"/>
      <c r="M83" s="431"/>
      <c r="N83" s="157">
        <v>9322</v>
      </c>
      <c r="O83" s="156">
        <f>('[4]5A6_Thrive'!Q83*6)+('[7]5A6_Thrive'!Q83*2)</f>
        <v>6216</v>
      </c>
      <c r="P83" s="795">
        <f>N83-O83</f>
        <v>3106</v>
      </c>
      <c r="Q83" s="157">
        <f>ROUND(P83/$Q$86,0)</f>
        <v>777</v>
      </c>
      <c r="R83" s="157">
        <v>9322</v>
      </c>
    </row>
    <row r="84" spans="1:18" s="30" customFormat="1" ht="15.6" customHeight="1" thickBot="1" x14ac:dyDescent="0.25">
      <c r="A84" s="1408" t="s">
        <v>398</v>
      </c>
      <c r="B84" s="1461"/>
      <c r="C84" s="411">
        <f>SUM(C76:C83)</f>
        <v>175</v>
      </c>
      <c r="D84" s="412">
        <f>D76</f>
        <v>8521.3829481652883</v>
      </c>
      <c r="E84" s="413">
        <f t="shared" ref="E84:R84" si="14">SUM(E76:E83)</f>
        <v>1439853.0019410593</v>
      </c>
      <c r="F84" s="413">
        <f>F76</f>
        <v>706.16</v>
      </c>
      <c r="G84" s="413">
        <f t="shared" si="14"/>
        <v>137863.25000000003</v>
      </c>
      <c r="H84" s="414">
        <f t="shared" si="14"/>
        <v>1615728</v>
      </c>
      <c r="I84" s="415">
        <f t="shared" si="14"/>
        <v>-16656</v>
      </c>
      <c r="J84" s="415">
        <f t="shared" si="14"/>
        <v>-15841</v>
      </c>
      <c r="K84" s="416">
        <f t="shared" si="14"/>
        <v>-32497</v>
      </c>
      <c r="L84" s="417">
        <f t="shared" si="14"/>
        <v>1583231</v>
      </c>
      <c r="M84" s="432">
        <f t="shared" si="14"/>
        <v>26675</v>
      </c>
      <c r="N84" s="414">
        <f t="shared" si="14"/>
        <v>1619228</v>
      </c>
      <c r="O84" s="418">
        <f t="shared" si="14"/>
        <v>1101346</v>
      </c>
      <c r="P84" s="418">
        <f t="shared" si="14"/>
        <v>517882</v>
      </c>
      <c r="Q84" s="419">
        <f t="shared" si="14"/>
        <v>129472</v>
      </c>
      <c r="R84" s="414">
        <f t="shared" si="14"/>
        <v>1629228</v>
      </c>
    </row>
    <row r="85" spans="1:18" ht="13.5" thickTop="1" x14ac:dyDescent="0.2"/>
    <row r="86" spans="1:18" x14ac:dyDescent="0.2">
      <c r="G86" s="885"/>
      <c r="O86" s="344"/>
      <c r="Q86" s="7">
        <v>4</v>
      </c>
    </row>
    <row r="87" spans="1:18" x14ac:dyDescent="0.2">
      <c r="C87" s="496"/>
      <c r="D87" s="496"/>
      <c r="E87" s="496"/>
      <c r="F87" s="496"/>
      <c r="G87" s="496"/>
      <c r="H87" s="496"/>
      <c r="I87" s="496"/>
      <c r="J87" s="496"/>
      <c r="K87" s="496"/>
      <c r="L87" s="496"/>
      <c r="M87" s="496"/>
      <c r="N87" s="496"/>
      <c r="O87" s="496"/>
      <c r="P87" s="496"/>
      <c r="Q87" s="496"/>
      <c r="R87" s="4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&amp;L&amp;"Arial,Bold"&amp;20&amp;K000000FY2019-20 Budget Letter
March 2020&amp;R&amp;"Arial,Bold"&amp;12&amp;KFF0000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1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8.85546875" defaultRowHeight="12.75" x14ac:dyDescent="0.2"/>
  <cols>
    <col min="1" max="1" width="9.42578125" style="11" customWidth="1"/>
    <col min="2" max="2" width="8.42578125" style="11" hidden="1" customWidth="1"/>
    <col min="3" max="3" width="31.7109375" style="5" customWidth="1"/>
    <col min="4" max="4" width="13.140625" style="5" customWidth="1"/>
    <col min="5" max="5" width="13.5703125" style="5" customWidth="1"/>
    <col min="6" max="6" width="16.140625" style="5" bestFit="1" customWidth="1"/>
    <col min="7" max="9" width="12.85546875" style="5" customWidth="1"/>
    <col min="10" max="10" width="14.28515625" style="5" customWidth="1"/>
    <col min="11" max="14" width="15" style="5" customWidth="1"/>
    <col min="15" max="17" width="12.7109375" style="5" customWidth="1"/>
    <col min="18" max="18" width="15" style="5" customWidth="1"/>
    <col min="19" max="20" width="15.5703125" style="5" customWidth="1"/>
    <col min="21" max="22" width="16.28515625" style="5" customWidth="1"/>
    <col min="23" max="23" width="17.140625" style="5" customWidth="1"/>
    <col min="24" max="24" width="15.28515625" style="5" customWidth="1"/>
    <col min="25" max="25" width="14.42578125" style="5" bestFit="1" customWidth="1"/>
    <col min="26" max="26" width="16" style="5" customWidth="1"/>
    <col min="27" max="29" width="16.5703125" style="5" customWidth="1"/>
    <col min="30" max="30" width="17.140625" style="5" customWidth="1"/>
    <col min="31" max="38" width="16.28515625" style="5" customWidth="1"/>
    <col min="39" max="41" width="15.28515625" style="5" customWidth="1"/>
    <col min="42" max="47" width="17.28515625" style="5" customWidth="1"/>
    <col min="48" max="16384" width="8.85546875" style="5"/>
  </cols>
  <sheetData>
    <row r="1" spans="1:47" ht="22.15" customHeight="1" x14ac:dyDescent="0.2">
      <c r="A1" s="1389" t="s">
        <v>994</v>
      </c>
      <c r="B1" s="1389"/>
      <c r="C1" s="1472"/>
      <c r="D1" s="1475" t="s">
        <v>310</v>
      </c>
      <c r="E1" s="1400"/>
      <c r="F1" s="1400"/>
      <c r="G1" s="1400"/>
      <c r="H1" s="1400"/>
      <c r="I1" s="1400"/>
      <c r="J1" s="1400"/>
      <c r="K1" s="1400"/>
      <c r="L1" s="1400"/>
      <c r="M1" s="1400"/>
      <c r="N1" s="1400"/>
      <c r="O1" s="1400"/>
      <c r="P1" s="1400"/>
      <c r="Q1" s="1400"/>
      <c r="R1" s="1476"/>
      <c r="S1" s="1475" t="s">
        <v>310</v>
      </c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76"/>
      <c r="AE1" s="1469" t="s">
        <v>389</v>
      </c>
      <c r="AF1" s="1470"/>
      <c r="AG1" s="1470"/>
      <c r="AH1" s="1470"/>
      <c r="AI1" s="1470"/>
      <c r="AJ1" s="1470"/>
      <c r="AK1" s="1470"/>
      <c r="AL1" s="1470"/>
      <c r="AM1" s="1470"/>
      <c r="AN1" s="1470"/>
      <c r="AO1" s="1471"/>
      <c r="AP1" s="1469" t="s">
        <v>389</v>
      </c>
      <c r="AQ1" s="1470"/>
      <c r="AR1" s="1470"/>
      <c r="AS1" s="1470"/>
      <c r="AT1" s="1470"/>
      <c r="AU1" s="1471"/>
    </row>
    <row r="2" spans="1:47" ht="21.6" customHeight="1" x14ac:dyDescent="0.25">
      <c r="A2" s="1472"/>
      <c r="B2" s="1472"/>
      <c r="C2" s="1472"/>
      <c r="D2" s="746"/>
      <c r="E2" s="747"/>
      <c r="F2" s="748"/>
      <c r="G2" s="749"/>
      <c r="H2" s="750"/>
      <c r="I2" s="963"/>
      <c r="J2" s="745"/>
      <c r="K2" s="1415" t="s">
        <v>228</v>
      </c>
      <c r="L2" s="1415"/>
      <c r="M2" s="1415"/>
      <c r="N2" s="745"/>
      <c r="O2" s="751"/>
      <c r="P2" s="751"/>
      <c r="Q2" s="751"/>
      <c r="R2" s="752"/>
      <c r="S2" s="743"/>
      <c r="T2" s="744"/>
      <c r="U2" s="1474" t="s">
        <v>307</v>
      </c>
      <c r="V2" s="1474"/>
      <c r="W2" s="745"/>
      <c r="X2" s="745"/>
      <c r="Y2" s="745"/>
      <c r="Z2" s="745"/>
      <c r="AA2" s="1474" t="s">
        <v>309</v>
      </c>
      <c r="AB2" s="1474"/>
      <c r="AC2" s="1474"/>
      <c r="AD2" s="744"/>
      <c r="AE2" s="754"/>
      <c r="AF2" s="753"/>
      <c r="AG2" s="1473" t="s">
        <v>228</v>
      </c>
      <c r="AH2" s="1473"/>
      <c r="AI2" s="1473"/>
      <c r="AJ2" s="1473"/>
      <c r="AK2" s="1473"/>
      <c r="AL2" s="753"/>
      <c r="AM2" s="755"/>
      <c r="AN2" s="755"/>
      <c r="AO2" s="756"/>
      <c r="AP2" s="754"/>
      <c r="AQ2" s="753"/>
      <c r="AR2" s="753"/>
      <c r="AS2" s="753"/>
      <c r="AT2" s="753"/>
      <c r="AU2" s="757"/>
    </row>
    <row r="3" spans="1:47" ht="136.9" customHeight="1" x14ac:dyDescent="0.2">
      <c r="A3" s="1472"/>
      <c r="B3" s="1472"/>
      <c r="C3" s="1472"/>
      <c r="D3" s="242" t="s">
        <v>1196</v>
      </c>
      <c r="E3" s="534" t="s">
        <v>423</v>
      </c>
      <c r="F3" s="534" t="s">
        <v>424</v>
      </c>
      <c r="G3" s="532" t="s">
        <v>362</v>
      </c>
      <c r="H3" s="532" t="s">
        <v>364</v>
      </c>
      <c r="I3" s="950" t="s">
        <v>1271</v>
      </c>
      <c r="J3" s="958" t="s">
        <v>1285</v>
      </c>
      <c r="K3" s="655" t="s">
        <v>1186</v>
      </c>
      <c r="L3" s="655" t="s">
        <v>1187</v>
      </c>
      <c r="M3" s="655" t="s">
        <v>230</v>
      </c>
      <c r="N3" s="540" t="s">
        <v>433</v>
      </c>
      <c r="O3" s="532" t="s">
        <v>429</v>
      </c>
      <c r="P3" s="532" t="s">
        <v>439</v>
      </c>
      <c r="Q3" s="532" t="s">
        <v>426</v>
      </c>
      <c r="R3" s="532" t="s">
        <v>434</v>
      </c>
      <c r="S3" s="839" t="s">
        <v>1430</v>
      </c>
      <c r="T3" s="532" t="s">
        <v>436</v>
      </c>
      <c r="U3" s="23" t="s">
        <v>302</v>
      </c>
      <c r="V3" s="23" t="s">
        <v>306</v>
      </c>
      <c r="W3" s="205" t="s">
        <v>988</v>
      </c>
      <c r="X3" s="205" t="s">
        <v>268</v>
      </c>
      <c r="Y3" s="205" t="s">
        <v>269</v>
      </c>
      <c r="Z3" s="205" t="s">
        <v>326</v>
      </c>
      <c r="AA3" s="175" t="s">
        <v>1396</v>
      </c>
      <c r="AB3" s="175" t="s">
        <v>1169</v>
      </c>
      <c r="AC3" s="175" t="s">
        <v>368</v>
      </c>
      <c r="AD3" s="205" t="s">
        <v>989</v>
      </c>
      <c r="AE3" s="538" t="s">
        <v>1447</v>
      </c>
      <c r="AF3" s="539" t="s">
        <v>990</v>
      </c>
      <c r="AG3" s="536" t="s">
        <v>1202</v>
      </c>
      <c r="AH3" s="536" t="s">
        <v>1203</v>
      </c>
      <c r="AI3" s="536" t="s">
        <v>1204</v>
      </c>
      <c r="AJ3" s="536" t="s">
        <v>1205</v>
      </c>
      <c r="AK3" s="536" t="s">
        <v>230</v>
      </c>
      <c r="AL3" s="247" t="s">
        <v>991</v>
      </c>
      <c r="AM3" s="539" t="s">
        <v>431</v>
      </c>
      <c r="AN3" s="539" t="s">
        <v>430</v>
      </c>
      <c r="AO3" s="539" t="s">
        <v>427</v>
      </c>
      <c r="AP3" s="539" t="s">
        <v>992</v>
      </c>
      <c r="AQ3" s="839" t="s">
        <v>1430</v>
      </c>
      <c r="AR3" s="243" t="s">
        <v>993</v>
      </c>
      <c r="AS3" s="539" t="s">
        <v>290</v>
      </c>
      <c r="AT3" s="539" t="s">
        <v>269</v>
      </c>
      <c r="AU3" s="539" t="s">
        <v>428</v>
      </c>
    </row>
    <row r="4" spans="1:47" x14ac:dyDescent="0.2">
      <c r="A4" s="244"/>
      <c r="B4" s="244"/>
      <c r="C4" s="245"/>
      <c r="D4" s="246">
        <v>1</v>
      </c>
      <c r="E4" s="246">
        <f t="shared" ref="E4:AU4" si="0">D4+1</f>
        <v>2</v>
      </c>
      <c r="F4" s="246">
        <f t="shared" si="0"/>
        <v>3</v>
      </c>
      <c r="G4" s="246">
        <f t="shared" si="0"/>
        <v>4</v>
      </c>
      <c r="H4" s="246">
        <f t="shared" si="0"/>
        <v>5</v>
      </c>
      <c r="I4" s="246">
        <f>H4+1</f>
        <v>6</v>
      </c>
      <c r="J4" s="246">
        <f>I4+1</f>
        <v>7</v>
      </c>
      <c r="K4" s="246">
        <f>J4+1</f>
        <v>8</v>
      </c>
      <c r="L4" s="246">
        <f t="shared" si="0"/>
        <v>9</v>
      </c>
      <c r="M4" s="246">
        <f t="shared" si="0"/>
        <v>10</v>
      </c>
      <c r="N4" s="246">
        <f t="shared" si="0"/>
        <v>11</v>
      </c>
      <c r="O4" s="246">
        <f t="shared" si="0"/>
        <v>12</v>
      </c>
      <c r="P4" s="246">
        <f t="shared" si="0"/>
        <v>13</v>
      </c>
      <c r="Q4" s="246">
        <f t="shared" si="0"/>
        <v>14</v>
      </c>
      <c r="R4" s="246">
        <f t="shared" si="0"/>
        <v>15</v>
      </c>
      <c r="S4" s="246">
        <f t="shared" si="0"/>
        <v>16</v>
      </c>
      <c r="T4" s="246">
        <f t="shared" si="0"/>
        <v>17</v>
      </c>
      <c r="U4" s="246">
        <f t="shared" si="0"/>
        <v>18</v>
      </c>
      <c r="V4" s="246">
        <f t="shared" ref="V4:AC4" si="1">U4+1</f>
        <v>19</v>
      </c>
      <c r="W4" s="246">
        <f t="shared" si="1"/>
        <v>20</v>
      </c>
      <c r="X4" s="246">
        <f t="shared" si="1"/>
        <v>21</v>
      </c>
      <c r="Y4" s="246">
        <f t="shared" si="1"/>
        <v>22</v>
      </c>
      <c r="Z4" s="246">
        <f t="shared" si="1"/>
        <v>23</v>
      </c>
      <c r="AA4" s="246">
        <f t="shared" si="1"/>
        <v>24</v>
      </c>
      <c r="AB4" s="246">
        <f t="shared" si="1"/>
        <v>25</v>
      </c>
      <c r="AC4" s="246">
        <f t="shared" si="1"/>
        <v>26</v>
      </c>
      <c r="AD4" s="246">
        <f t="shared" si="0"/>
        <v>27</v>
      </c>
      <c r="AE4" s="246">
        <f t="shared" si="0"/>
        <v>28</v>
      </c>
      <c r="AF4" s="246">
        <f t="shared" si="0"/>
        <v>29</v>
      </c>
      <c r="AG4" s="246">
        <f t="shared" si="0"/>
        <v>30</v>
      </c>
      <c r="AH4" s="246">
        <f t="shared" si="0"/>
        <v>31</v>
      </c>
      <c r="AI4" s="246">
        <f t="shared" si="0"/>
        <v>32</v>
      </c>
      <c r="AJ4" s="246">
        <f t="shared" si="0"/>
        <v>33</v>
      </c>
      <c r="AK4" s="246">
        <f t="shared" si="0"/>
        <v>34</v>
      </c>
      <c r="AL4" s="246">
        <f t="shared" si="0"/>
        <v>35</v>
      </c>
      <c r="AM4" s="246">
        <f t="shared" si="0"/>
        <v>36</v>
      </c>
      <c r="AN4" s="246">
        <f t="shared" si="0"/>
        <v>37</v>
      </c>
      <c r="AO4" s="246">
        <f t="shared" si="0"/>
        <v>38</v>
      </c>
      <c r="AP4" s="246">
        <f t="shared" si="0"/>
        <v>39</v>
      </c>
      <c r="AQ4" s="246">
        <f t="shared" si="0"/>
        <v>40</v>
      </c>
      <c r="AR4" s="246">
        <f t="shared" si="0"/>
        <v>41</v>
      </c>
      <c r="AS4" s="246">
        <f t="shared" si="0"/>
        <v>42</v>
      </c>
      <c r="AT4" s="246">
        <f t="shared" si="0"/>
        <v>43</v>
      </c>
      <c r="AU4" s="246">
        <f t="shared" si="0"/>
        <v>44</v>
      </c>
    </row>
    <row r="5" spans="1:47" s="736" customFormat="1" ht="25.5" customHeight="1" x14ac:dyDescent="0.2">
      <c r="A5" s="741"/>
      <c r="B5" s="741"/>
      <c r="C5" s="742"/>
      <c r="D5" s="708" t="s">
        <v>848</v>
      </c>
      <c r="E5" s="708" t="s">
        <v>985</v>
      </c>
      <c r="F5" s="708" t="s">
        <v>814</v>
      </c>
      <c r="G5" s="708" t="s">
        <v>733</v>
      </c>
      <c r="H5" s="708" t="s">
        <v>708</v>
      </c>
      <c r="I5" s="964" t="s">
        <v>1272</v>
      </c>
      <c r="J5" s="708" t="s">
        <v>1286</v>
      </c>
      <c r="K5" s="598" t="s">
        <v>951</v>
      </c>
      <c r="L5" s="598" t="s">
        <v>952</v>
      </c>
      <c r="M5" s="708" t="s">
        <v>1287</v>
      </c>
      <c r="N5" s="708" t="s">
        <v>1288</v>
      </c>
      <c r="O5" s="598" t="s">
        <v>1302</v>
      </c>
      <c r="P5" s="598" t="s">
        <v>1303</v>
      </c>
      <c r="Q5" s="598" t="s">
        <v>805</v>
      </c>
      <c r="R5" s="598" t="s">
        <v>1304</v>
      </c>
      <c r="S5" s="708" t="s">
        <v>818</v>
      </c>
      <c r="T5" s="708" t="s">
        <v>1305</v>
      </c>
      <c r="U5" s="598" t="s">
        <v>245</v>
      </c>
      <c r="V5" s="598" t="s">
        <v>405</v>
      </c>
      <c r="W5" s="708" t="s">
        <v>1306</v>
      </c>
      <c r="X5" s="708" t="s">
        <v>996</v>
      </c>
      <c r="Y5" s="708" t="s">
        <v>986</v>
      </c>
      <c r="Z5" s="708" t="s">
        <v>987</v>
      </c>
      <c r="AA5" s="598" t="s">
        <v>273</v>
      </c>
      <c r="AB5" s="598" t="s">
        <v>289</v>
      </c>
      <c r="AC5" s="598" t="s">
        <v>361</v>
      </c>
      <c r="AD5" s="708" t="s">
        <v>1307</v>
      </c>
      <c r="AE5" s="598" t="s">
        <v>845</v>
      </c>
      <c r="AF5" s="598" t="s">
        <v>727</v>
      </c>
      <c r="AG5" s="598" t="s">
        <v>951</v>
      </c>
      <c r="AH5" s="598" t="s">
        <v>1308</v>
      </c>
      <c r="AI5" s="598" t="s">
        <v>952</v>
      </c>
      <c r="AJ5" s="598" t="s">
        <v>1309</v>
      </c>
      <c r="AK5" s="598" t="s">
        <v>1310</v>
      </c>
      <c r="AL5" s="598" t="s">
        <v>1311</v>
      </c>
      <c r="AM5" s="598" t="s">
        <v>1312</v>
      </c>
      <c r="AN5" s="598" t="s">
        <v>1313</v>
      </c>
      <c r="AO5" s="598" t="s">
        <v>874</v>
      </c>
      <c r="AP5" s="598" t="s">
        <v>1314</v>
      </c>
      <c r="AQ5" s="598" t="s">
        <v>818</v>
      </c>
      <c r="AR5" s="598" t="s">
        <v>847</v>
      </c>
      <c r="AS5" s="598" t="s">
        <v>1015</v>
      </c>
      <c r="AT5" s="598" t="s">
        <v>888</v>
      </c>
      <c r="AU5" s="598" t="s">
        <v>1315</v>
      </c>
    </row>
    <row r="6" spans="1:47" s="736" customFormat="1" ht="11.25" hidden="1" x14ac:dyDescent="0.2">
      <c r="A6" s="741"/>
      <c r="B6" s="741"/>
      <c r="C6" s="742"/>
      <c r="D6" s="708" t="s">
        <v>603</v>
      </c>
      <c r="E6" s="708" t="s">
        <v>603</v>
      </c>
      <c r="F6" s="708" t="s">
        <v>604</v>
      </c>
      <c r="G6" s="708" t="s">
        <v>740</v>
      </c>
      <c r="H6" s="708" t="s">
        <v>604</v>
      </c>
      <c r="I6" s="964"/>
      <c r="J6" s="708" t="s">
        <v>604</v>
      </c>
      <c r="K6" s="708" t="s">
        <v>817</v>
      </c>
      <c r="L6" s="708" t="s">
        <v>817</v>
      </c>
      <c r="M6" s="708" t="s">
        <v>604</v>
      </c>
      <c r="N6" s="708" t="s">
        <v>604</v>
      </c>
      <c r="O6" s="708" t="s">
        <v>604</v>
      </c>
      <c r="P6" s="708" t="s">
        <v>604</v>
      </c>
      <c r="Q6" s="708" t="s">
        <v>604</v>
      </c>
      <c r="R6" s="708" t="s">
        <v>604</v>
      </c>
      <c r="S6" s="708" t="s">
        <v>818</v>
      </c>
      <c r="T6" s="708" t="s">
        <v>604</v>
      </c>
      <c r="U6" s="708" t="s">
        <v>603</v>
      </c>
      <c r="V6" s="708" t="s">
        <v>603</v>
      </c>
      <c r="W6" s="708" t="s">
        <v>604</v>
      </c>
      <c r="X6" s="708" t="s">
        <v>844</v>
      </c>
      <c r="Y6" s="708" t="s">
        <v>604</v>
      </c>
      <c r="Z6" s="708" t="s">
        <v>604</v>
      </c>
      <c r="AA6" s="708" t="s">
        <v>603</v>
      </c>
      <c r="AB6" s="708" t="s">
        <v>603</v>
      </c>
      <c r="AC6" s="708" t="s">
        <v>603</v>
      </c>
      <c r="AD6" s="708" t="s">
        <v>604</v>
      </c>
      <c r="AE6" s="708" t="s">
        <v>603</v>
      </c>
      <c r="AF6" s="708" t="s">
        <v>604</v>
      </c>
      <c r="AG6" s="708" t="s">
        <v>817</v>
      </c>
      <c r="AH6" s="708" t="s">
        <v>604</v>
      </c>
      <c r="AI6" s="708" t="s">
        <v>817</v>
      </c>
      <c r="AJ6" s="708" t="s">
        <v>604</v>
      </c>
      <c r="AK6" s="708" t="s">
        <v>604</v>
      </c>
      <c r="AL6" s="708" t="s">
        <v>604</v>
      </c>
      <c r="AM6" s="708" t="s">
        <v>604</v>
      </c>
      <c r="AN6" s="708" t="s">
        <v>604</v>
      </c>
      <c r="AO6" s="708" t="s">
        <v>604</v>
      </c>
      <c r="AP6" s="708" t="s">
        <v>604</v>
      </c>
      <c r="AQ6" s="708" t="s">
        <v>818</v>
      </c>
      <c r="AR6" s="708" t="s">
        <v>604</v>
      </c>
      <c r="AS6" s="708" t="s">
        <v>844</v>
      </c>
      <c r="AT6" s="708" t="s">
        <v>604</v>
      </c>
      <c r="AU6" s="708" t="s">
        <v>604</v>
      </c>
    </row>
    <row r="7" spans="1:47" s="16" customFormat="1" ht="21.75" customHeight="1" x14ac:dyDescent="0.2">
      <c r="A7" s="206">
        <v>396211</v>
      </c>
      <c r="B7" s="206" t="s">
        <v>469</v>
      </c>
      <c r="C7" s="207" t="s">
        <v>1178</v>
      </c>
      <c r="D7" s="208">
        <f>VLOOKUP(A7,'8A_2.1.19 RSD Op &amp; 5s'!$A$4:$F$11,6,FALSE)</f>
        <v>960</v>
      </c>
      <c r="E7" s="209">
        <f>'3_Levels 1&amp;2'!$AM$15</f>
        <v>4792.3993824117078</v>
      </c>
      <c r="F7" s="210">
        <f>D7*E7</f>
        <v>4600703.4071152397</v>
      </c>
      <c r="G7" s="211">
        <f>'Source Data'!$G$15</f>
        <v>744.76</v>
      </c>
      <c r="H7" s="210">
        <f>G7*D7</f>
        <v>714969.59999999998</v>
      </c>
      <c r="I7" s="965">
        <f>VLOOKUP($A7,'3B_Pay Raise'!$A$7:$O$144,15,FALSE)</f>
        <v>108393</v>
      </c>
      <c r="J7" s="212">
        <f>ROUND(F7+H7+I7,0)</f>
        <v>5424066</v>
      </c>
      <c r="K7" s="213">
        <f>VLOOKUP($A7,'[2]Oct_MidYear Adj'!$A$7:$N$137,10,FALSE)</f>
        <v>110743</v>
      </c>
      <c r="L7" s="213">
        <f>VLOOKUP($A7,'[3]Feb_MidYear Adj'!$A$7:$N$137,10,FALSE)</f>
        <v>-77520</v>
      </c>
      <c r="M7" s="214">
        <f>SUM(K7:L7)</f>
        <v>33223</v>
      </c>
      <c r="N7" s="212">
        <f>M7+J7</f>
        <v>5457289</v>
      </c>
      <c r="O7" s="677"/>
      <c r="P7" s="677"/>
      <c r="Q7" s="213">
        <f>O7+P7</f>
        <v>0</v>
      </c>
      <c r="R7" s="212">
        <f>N7+Q7</f>
        <v>5457289</v>
      </c>
      <c r="S7" s="213">
        <f>VLOOKUP($A7,'[1]LEA Summary'!$A$7:$S$216,11,FALSE)</f>
        <v>0</v>
      </c>
      <c r="T7" s="212">
        <f>SUM(R7:S7)</f>
        <v>5457289</v>
      </c>
      <c r="U7" s="213">
        <f>VLOOKUP($A7,'4_Level 4'!$A$78:$R$141,5,FALSE)</f>
        <v>0</v>
      </c>
      <c r="V7" s="213">
        <f>VLOOKUP($A7,'4_Level 4'!$A$78:$R$141,17,FALSE)</f>
        <v>11682</v>
      </c>
      <c r="W7" s="215">
        <f>ROUND(SUM(T7:V7),0)</f>
        <v>5468971</v>
      </c>
      <c r="X7" s="211">
        <f>'[4]5B2_RSD LA'!Z7+'[17]5B2_RSD LA'!Z7+('[5]5B2_RSD LA'!Z7*4)+('[7]5B2_RSD LA'!Z7*2)</f>
        <v>3621256</v>
      </c>
      <c r="Y7" s="211">
        <f>W7-X7</f>
        <v>1847715</v>
      </c>
      <c r="Z7" s="212">
        <f>ROUND(Y7/$Z$21,0)</f>
        <v>461929</v>
      </c>
      <c r="AA7" s="213">
        <f>VLOOKUP($A7,'4_Level 4'!$A$78:$R$141,10,FALSE)</f>
        <v>0</v>
      </c>
      <c r="AB7" s="213">
        <f>VLOOKUP($A7,'4_Level 4'!$A$78:$R$141,12,FALSE)</f>
        <v>3856</v>
      </c>
      <c r="AC7" s="213">
        <f>VLOOKUP($A7,'4_Level 4'!$A$78:$R$141,13,FALSE)</f>
        <v>0</v>
      </c>
      <c r="AD7" s="215">
        <f>W7+AA7+AB7+AC7</f>
        <v>5472827</v>
      </c>
      <c r="AE7" s="213">
        <f>'Source Data'!M15</f>
        <v>4720</v>
      </c>
      <c r="AF7" s="216">
        <f>AE7*D7</f>
        <v>4531200</v>
      </c>
      <c r="AG7" s="217">
        <f>VLOOKUP($A7,'[2]Oct_MidYear Adj'!$A$7:$N$137,6,FALSE)</f>
        <v>20</v>
      </c>
      <c r="AH7" s="210">
        <f>ROUND(AE7*AG7,0)</f>
        <v>94400</v>
      </c>
      <c r="AI7" s="217">
        <f>VLOOKUP($A7,'[3]Feb_MidYear Adj'!$A$7:$N$137,6,FALSE)</f>
        <v>-28</v>
      </c>
      <c r="AJ7" s="210">
        <f>ROUND(AE7*AI7*0.5,0)</f>
        <v>-66080</v>
      </c>
      <c r="AK7" s="214">
        <f>AJ7+AH7</f>
        <v>28320</v>
      </c>
      <c r="AL7" s="216">
        <f>AF7+AK7</f>
        <v>4559520</v>
      </c>
      <c r="AM7" s="677"/>
      <c r="AN7" s="677"/>
      <c r="AO7" s="210">
        <f>AM7+AN7</f>
        <v>0</v>
      </c>
      <c r="AP7" s="216">
        <f>AL7+AO7</f>
        <v>4559520</v>
      </c>
      <c r="AQ7" s="213">
        <f>VLOOKUP($A7,'[1]LEA Summary'!$A$7:$S$216,19,FALSE)</f>
        <v>0</v>
      </c>
      <c r="AR7" s="216">
        <f>ROUND(SUM(AP7:AQ7),0)</f>
        <v>4559520</v>
      </c>
      <c r="AS7" s="211">
        <f>'[4]5B2_RSD LA'!AU7+'[17]5B2_RSD LA'!AU7+('[5]5B2_RSD LA'!AU7*4)+('[7]5B2_RSD LA'!AU7*2)</f>
        <v>2911360</v>
      </c>
      <c r="AT7" s="211">
        <f>AR7-AS7</f>
        <v>1648160</v>
      </c>
      <c r="AU7" s="216">
        <f>ROUND(AT7/$AU$21,0)</f>
        <v>412040</v>
      </c>
    </row>
    <row r="8" spans="1:47" s="16" customFormat="1" ht="21.75" customHeight="1" x14ac:dyDescent="0.2">
      <c r="A8" s="218" t="s">
        <v>1381</v>
      </c>
      <c r="B8" s="219" t="s">
        <v>475</v>
      </c>
      <c r="C8" s="207" t="s">
        <v>351</v>
      </c>
      <c r="D8" s="208">
        <f>VLOOKUP($B8,'8A_2.1.19 RSD Op &amp; 5s'!$A$4:$F$11,6,FALSE)</f>
        <v>382</v>
      </c>
      <c r="E8" s="209">
        <f>'3_Levels 1&amp;2'!$AM$23</f>
        <v>3415.2208961895185</v>
      </c>
      <c r="F8" s="210">
        <f>D8*E8</f>
        <v>1304614.3823443961</v>
      </c>
      <c r="G8" s="211">
        <f>'Source Data'!$G$23</f>
        <v>801.48</v>
      </c>
      <c r="H8" s="210">
        <f>G8*D8</f>
        <v>306165.36</v>
      </c>
      <c r="I8" s="965">
        <f>VLOOKUP($A8,'3B_Pay Raise'!$A$7:$O$144,15,FALSE)</f>
        <v>44236</v>
      </c>
      <c r="J8" s="212">
        <f>ROUND(F8+H8+I8,0)</f>
        <v>1655016</v>
      </c>
      <c r="K8" s="213">
        <f>VLOOKUP($A8,'[2]Oct_MidYear Adj'!$A$7:$N$137,10,FALSE)</f>
        <v>-118068</v>
      </c>
      <c r="L8" s="213">
        <f>VLOOKUP($A8,'[3]Feb_MidYear Adj'!$A$7:$N$137,10,FALSE)</f>
        <v>12650</v>
      </c>
      <c r="M8" s="214">
        <f>SUM(K8:L8)</f>
        <v>-105418</v>
      </c>
      <c r="N8" s="212">
        <f>M8+J8</f>
        <v>1549598</v>
      </c>
      <c r="O8" s="677"/>
      <c r="P8" s="677"/>
      <c r="Q8" s="213">
        <f>O8+P8</f>
        <v>0</v>
      </c>
      <c r="R8" s="212">
        <f>N8+Q8</f>
        <v>1549598</v>
      </c>
      <c r="S8" s="213">
        <f>VLOOKUP($A8,'[1]LEA Summary'!$A$7:$S$216,11,FALSE)</f>
        <v>-6416</v>
      </c>
      <c r="T8" s="212">
        <f>SUM(R8:S8)</f>
        <v>1543182</v>
      </c>
      <c r="U8" s="213">
        <f>VLOOKUP($A8,'4_Level 4'!$A$78:$R$141,5,FALSE)</f>
        <v>0</v>
      </c>
      <c r="V8" s="213">
        <f>VLOOKUP($A8,'4_Level 4'!$A$78:$R$141,17,FALSE)</f>
        <v>22538</v>
      </c>
      <c r="W8" s="215">
        <f>ROUND(SUM(T8:V8),0)</f>
        <v>1565720</v>
      </c>
      <c r="X8" s="211">
        <f>'[4]5B2_RSD LA'!Z8+'[17]5B2_RSD LA'!Z8+('[5]5B2_RSD LA'!Z8*4)+('[7]5B2_RSD LA'!Z8*2)</f>
        <v>1078710</v>
      </c>
      <c r="Y8" s="211">
        <f>W8-X8</f>
        <v>487010</v>
      </c>
      <c r="Z8" s="212">
        <f>ROUND(Y8/$Z$21,0)</f>
        <v>121753</v>
      </c>
      <c r="AA8" s="213">
        <f>VLOOKUP($A8,'4_Level 4'!$A$78:$R$141,10,FALSE)</f>
        <v>0</v>
      </c>
      <c r="AB8" s="213">
        <f>VLOOKUP($A8,'4_Level 4'!$A$78:$R$141,12,FALSE)</f>
        <v>68444</v>
      </c>
      <c r="AC8" s="213">
        <f>VLOOKUP($A8,'4_Level 4'!$A$78:$R$141,13,FALSE)</f>
        <v>0</v>
      </c>
      <c r="AD8" s="215">
        <f>W8+AA8+AB8+AC8</f>
        <v>1634164</v>
      </c>
      <c r="AE8" s="213">
        <f>'Source Data'!$M$23</f>
        <v>6617</v>
      </c>
      <c r="AF8" s="216">
        <f>AE8*D8</f>
        <v>2527694</v>
      </c>
      <c r="AG8" s="217">
        <f>VLOOKUP($A8,'[2]Oct_MidYear Adj'!$A$7:$N$137,6,FALSE)</f>
        <v>-28</v>
      </c>
      <c r="AH8" s="210">
        <f>ROUND(AE8*AG8,0)</f>
        <v>-185276</v>
      </c>
      <c r="AI8" s="217">
        <f>VLOOKUP($A8,'[3]Feb_MidYear Adj'!$A$7:$N$137,6,FALSE)</f>
        <v>6</v>
      </c>
      <c r="AJ8" s="210">
        <f>ROUND(AE8*AI8*0.5,0)</f>
        <v>19851</v>
      </c>
      <c r="AK8" s="214">
        <f>AJ8+AH8</f>
        <v>-165425</v>
      </c>
      <c r="AL8" s="216">
        <f>AF8+AK8</f>
        <v>2362269</v>
      </c>
      <c r="AM8" s="677"/>
      <c r="AN8" s="677"/>
      <c r="AO8" s="210">
        <f>AM8+AN8</f>
        <v>0</v>
      </c>
      <c r="AP8" s="216">
        <f>AL8+AO8</f>
        <v>2362269</v>
      </c>
      <c r="AQ8" s="213">
        <f>VLOOKUP($A8,'[1]LEA Summary'!$A$7:$S$216,19,FALSE)</f>
        <v>-16630</v>
      </c>
      <c r="AR8" s="216">
        <f>ROUND(SUM(AP8:AQ8),0)</f>
        <v>2345639</v>
      </c>
      <c r="AS8" s="211">
        <f>'[4]5B2_RSD LA'!AU8+'[17]5B2_RSD LA'!AU8+('[5]5B2_RSD LA'!AU8*4)+('[7]5B2_RSD LA'!AU8*2)</f>
        <v>1647122</v>
      </c>
      <c r="AT8" s="211">
        <f>AR8-AS8</f>
        <v>698517</v>
      </c>
      <c r="AU8" s="216">
        <f>ROUND(AT8/$AU$21,0)</f>
        <v>174629</v>
      </c>
    </row>
    <row r="9" spans="1:47" s="17" customFormat="1" ht="29.25" customHeight="1" x14ac:dyDescent="0.2">
      <c r="A9" s="678"/>
      <c r="B9" s="256" t="s">
        <v>299</v>
      </c>
      <c r="C9" s="230" t="s">
        <v>1221</v>
      </c>
      <c r="D9" s="231">
        <f>SUM(D7:D8)</f>
        <v>1342</v>
      </c>
      <c r="E9" s="232"/>
      <c r="F9" s="233">
        <f>SUM(F7:F8)</f>
        <v>5905317.7894596355</v>
      </c>
      <c r="G9" s="235"/>
      <c r="H9" s="233">
        <f t="shared" ref="H9:AD9" si="2">SUM(H7:H8)</f>
        <v>1021134.96</v>
      </c>
      <c r="I9" s="233">
        <f t="shared" si="2"/>
        <v>152629</v>
      </c>
      <c r="J9" s="234">
        <f t="shared" si="2"/>
        <v>7079082</v>
      </c>
      <c r="K9" s="235">
        <f t="shared" si="2"/>
        <v>-7325</v>
      </c>
      <c r="L9" s="235">
        <f t="shared" si="2"/>
        <v>-64870</v>
      </c>
      <c r="M9" s="236">
        <f t="shared" si="2"/>
        <v>-72195</v>
      </c>
      <c r="N9" s="234">
        <f t="shared" si="2"/>
        <v>7006887</v>
      </c>
      <c r="O9" s="235">
        <f t="shared" si="2"/>
        <v>0</v>
      </c>
      <c r="P9" s="235">
        <f t="shared" si="2"/>
        <v>0</v>
      </c>
      <c r="Q9" s="235">
        <f t="shared" si="2"/>
        <v>0</v>
      </c>
      <c r="R9" s="234">
        <f t="shared" si="2"/>
        <v>7006887</v>
      </c>
      <c r="S9" s="233">
        <f t="shared" si="2"/>
        <v>-6416</v>
      </c>
      <c r="T9" s="234">
        <f t="shared" si="2"/>
        <v>7000471</v>
      </c>
      <c r="U9" s="233">
        <f t="shared" si="2"/>
        <v>0</v>
      </c>
      <c r="V9" s="233">
        <f t="shared" si="2"/>
        <v>34220</v>
      </c>
      <c r="W9" s="237">
        <f t="shared" si="2"/>
        <v>7034691</v>
      </c>
      <c r="X9" s="241">
        <f t="shared" si="2"/>
        <v>4699966</v>
      </c>
      <c r="Y9" s="241">
        <f t="shared" si="2"/>
        <v>2334725</v>
      </c>
      <c r="Z9" s="234">
        <f t="shared" si="2"/>
        <v>583682</v>
      </c>
      <c r="AA9" s="233">
        <f t="shared" si="2"/>
        <v>0</v>
      </c>
      <c r="AB9" s="233">
        <f t="shared" si="2"/>
        <v>72300</v>
      </c>
      <c r="AC9" s="233">
        <f t="shared" si="2"/>
        <v>0</v>
      </c>
      <c r="AD9" s="237">
        <f t="shared" si="2"/>
        <v>7106991</v>
      </c>
      <c r="AE9" s="233"/>
      <c r="AF9" s="238">
        <f t="shared" ref="AF9:AU9" si="3">SUM(AF7:AF8)</f>
        <v>7058894</v>
      </c>
      <c r="AG9" s="240">
        <f t="shared" si="3"/>
        <v>-8</v>
      </c>
      <c r="AH9" s="233">
        <f t="shared" si="3"/>
        <v>-90876</v>
      </c>
      <c r="AI9" s="240">
        <f>SUM(AI7:AI8)</f>
        <v>-22</v>
      </c>
      <c r="AJ9" s="233">
        <f t="shared" si="3"/>
        <v>-46229</v>
      </c>
      <c r="AK9" s="236">
        <f t="shared" si="3"/>
        <v>-137105</v>
      </c>
      <c r="AL9" s="238">
        <f t="shared" si="3"/>
        <v>6921789</v>
      </c>
      <c r="AM9" s="233">
        <f t="shared" si="3"/>
        <v>0</v>
      </c>
      <c r="AN9" s="233">
        <f t="shared" si="3"/>
        <v>0</v>
      </c>
      <c r="AO9" s="233">
        <f t="shared" si="3"/>
        <v>0</v>
      </c>
      <c r="AP9" s="238">
        <f t="shared" si="3"/>
        <v>6921789</v>
      </c>
      <c r="AQ9" s="233">
        <f t="shared" si="3"/>
        <v>-16630</v>
      </c>
      <c r="AR9" s="238">
        <f t="shared" si="3"/>
        <v>6905159</v>
      </c>
      <c r="AS9" s="241">
        <f t="shared" si="3"/>
        <v>4558482</v>
      </c>
      <c r="AT9" s="241">
        <f t="shared" si="3"/>
        <v>2346677</v>
      </c>
      <c r="AU9" s="238">
        <f t="shared" si="3"/>
        <v>586669</v>
      </c>
    </row>
    <row r="10" spans="1:47" s="16" customFormat="1" ht="9.75" customHeight="1" x14ac:dyDescent="0.2">
      <c r="A10" s="1173"/>
      <c r="B10" s="1173"/>
      <c r="C10" s="1174"/>
      <c r="D10" s="1175"/>
      <c r="E10" s="1176"/>
      <c r="F10" s="1176"/>
      <c r="G10" s="1176"/>
      <c r="H10" s="1176"/>
      <c r="I10" s="1176"/>
      <c r="J10" s="1176"/>
      <c r="K10" s="1176"/>
      <c r="L10" s="1176"/>
      <c r="M10" s="1176"/>
      <c r="N10" s="1176"/>
      <c r="O10" s="1176"/>
      <c r="P10" s="1176"/>
      <c r="Q10" s="1176"/>
      <c r="R10" s="1176"/>
      <c r="S10" s="1176"/>
      <c r="T10" s="1176"/>
      <c r="U10" s="1176"/>
      <c r="V10" s="1176"/>
      <c r="W10" s="1176"/>
      <c r="X10" s="1176"/>
      <c r="Y10" s="1176"/>
      <c r="Z10" s="1176"/>
      <c r="AA10" s="1176"/>
      <c r="AB10" s="1176"/>
      <c r="AC10" s="1176"/>
      <c r="AD10" s="1176"/>
      <c r="AE10" s="1176"/>
      <c r="AF10" s="1176"/>
      <c r="AG10" s="1177"/>
      <c r="AH10" s="1176"/>
      <c r="AI10" s="1177"/>
      <c r="AJ10" s="1176"/>
      <c r="AK10" s="1176"/>
      <c r="AL10" s="1176"/>
      <c r="AM10" s="1176"/>
      <c r="AN10" s="1176"/>
      <c r="AO10" s="1176"/>
      <c r="AP10" s="1176"/>
      <c r="AQ10" s="1176"/>
      <c r="AR10" s="1176"/>
      <c r="AS10" s="1176"/>
      <c r="AT10" s="1176"/>
      <c r="AU10" s="1176"/>
    </row>
    <row r="11" spans="1:47" s="16" customFormat="1" ht="21.75" customHeight="1" x14ac:dyDescent="0.2">
      <c r="A11" s="218" t="s">
        <v>473</v>
      </c>
      <c r="B11" s="219" t="s">
        <v>327</v>
      </c>
      <c r="C11" s="207" t="s">
        <v>1448</v>
      </c>
      <c r="D11" s="208">
        <f>VLOOKUP(A11,'8A_2.1.19 RSD Op &amp; 5s'!$A$4:$F$11,6,FALSE)</f>
        <v>305</v>
      </c>
      <c r="E11" s="209">
        <f>'3_Levels 1&amp;2'!$AM$23</f>
        <v>3415.2208961895185</v>
      </c>
      <c r="F11" s="210">
        <f t="shared" ref="F11:F16" si="4">D11*E11</f>
        <v>1041642.3733378032</v>
      </c>
      <c r="G11" s="211">
        <f>'Source Data'!$G$23</f>
        <v>801.48</v>
      </c>
      <c r="H11" s="210">
        <f t="shared" ref="H11:H16" si="5">G11*D11</f>
        <v>244451.4</v>
      </c>
      <c r="I11" s="965">
        <f>VLOOKUP($A11,'3B_Pay Raise'!$A$7:$O$144,15,FALSE)</f>
        <v>39167</v>
      </c>
      <c r="J11" s="212">
        <f t="shared" ref="J11:J16" si="6">ROUND(F11+H11+I11,0)</f>
        <v>1325261</v>
      </c>
      <c r="K11" s="213">
        <f>VLOOKUP($A11,'[2]Oct_MidYear Adj'!$A$7:$N$137,10,FALSE)</f>
        <v>-126501</v>
      </c>
      <c r="L11" s="213">
        <f>VLOOKUP($A11,'[3]Feb_MidYear Adj'!$A$7:$N$137,10,FALSE)</f>
        <v>-33734</v>
      </c>
      <c r="M11" s="214">
        <f t="shared" ref="M11:M16" si="7">SUM(K11:L11)</f>
        <v>-160235</v>
      </c>
      <c r="N11" s="212">
        <f t="shared" ref="N11:N16" si="8">M11+J11</f>
        <v>1165026</v>
      </c>
      <c r="O11" s="213">
        <f>ROUND(N11*-1.75%,0)</f>
        <v>-20388</v>
      </c>
      <c r="P11" s="213">
        <f>ROUND(N11*-0.25%,0)</f>
        <v>-2913</v>
      </c>
      <c r="Q11" s="213">
        <f>O11+P11</f>
        <v>-23301</v>
      </c>
      <c r="R11" s="212">
        <f>N11+Q11</f>
        <v>1141725</v>
      </c>
      <c r="S11" s="213">
        <f>VLOOKUP($A11,'[1]LEA Summary'!$A$7:$S$216,11,FALSE)</f>
        <v>0</v>
      </c>
      <c r="T11" s="212">
        <f>SUM(R11:S11)</f>
        <v>1141725</v>
      </c>
      <c r="U11" s="213">
        <f>VLOOKUP($A11,'4_Level 4'!$A$78:$R$141,5,FALSE)</f>
        <v>0</v>
      </c>
      <c r="V11" s="213">
        <f>VLOOKUP($A11,'4_Level 4'!$A$78:$R$141,17,FALSE)</f>
        <v>0</v>
      </c>
      <c r="W11" s="215">
        <f>ROUND(SUM(T11:V11),0)</f>
        <v>1141725</v>
      </c>
      <c r="X11" s="211">
        <f>'[4]5B2_RSD LA'!Z11+'[17]5B2_RSD LA'!Z11+('[5]5B2_RSD LA'!Z11*4)+('[7]5B2_RSD LA'!Z11*2)</f>
        <v>825114</v>
      </c>
      <c r="Y11" s="211">
        <f>W11-X11</f>
        <v>316611</v>
      </c>
      <c r="Z11" s="212">
        <f>ROUND(Y11/$Z$21,0)</f>
        <v>79153</v>
      </c>
      <c r="AA11" s="213">
        <f>VLOOKUP($A11,'4_Level 4'!$A$78:$R$141,10,FALSE)</f>
        <v>0</v>
      </c>
      <c r="AB11" s="213">
        <f>VLOOKUP($A11,'4_Level 4'!$A$78:$R$141,12,FALSE)</f>
        <v>0</v>
      </c>
      <c r="AC11" s="213">
        <f>VLOOKUP($A11,'4_Level 4'!$A$78:$R$141,13,FALSE)</f>
        <v>0</v>
      </c>
      <c r="AD11" s="215">
        <f>W11+AA11+AB11+AC11</f>
        <v>1141725</v>
      </c>
      <c r="AE11" s="213">
        <f>'Source Data'!$M$23</f>
        <v>6617</v>
      </c>
      <c r="AF11" s="216">
        <f>AE11*D11</f>
        <v>2018185</v>
      </c>
      <c r="AG11" s="217">
        <f>VLOOKUP($A11,'[2]Oct_MidYear Adj'!$A$7:$N$137,6,FALSE)</f>
        <v>-30</v>
      </c>
      <c r="AH11" s="210">
        <f>ROUND(AE11*AG11,0)</f>
        <v>-198510</v>
      </c>
      <c r="AI11" s="217">
        <f>VLOOKUP($A11,'[3]Feb_MidYear Adj'!$A$7:$N$137,6,FALSE)</f>
        <v>-16</v>
      </c>
      <c r="AJ11" s="210">
        <f>ROUND(AE11*AI11*0.5,0)</f>
        <v>-52936</v>
      </c>
      <c r="AK11" s="214">
        <f>AJ11+AH11</f>
        <v>-251446</v>
      </c>
      <c r="AL11" s="216">
        <f>AF11+AK11</f>
        <v>1766739</v>
      </c>
      <c r="AM11" s="210">
        <f>ROUND(-AL11*0.0175,0)</f>
        <v>-30918</v>
      </c>
      <c r="AN11" s="210">
        <f>ROUND(-AL11*0.0025,0)</f>
        <v>-4417</v>
      </c>
      <c r="AO11" s="210">
        <f>AM11+AN11</f>
        <v>-35335</v>
      </c>
      <c r="AP11" s="216">
        <f>AL11+AO11</f>
        <v>1731404</v>
      </c>
      <c r="AQ11" s="213">
        <f>VLOOKUP($A11,'[1]LEA Summary'!$A$7:$S$216,19,FALSE)</f>
        <v>0</v>
      </c>
      <c r="AR11" s="216">
        <f>ROUND(SUM(AP11:AQ11),0)</f>
        <v>1731404</v>
      </c>
      <c r="AS11" s="211">
        <f>'[4]5B2_RSD LA'!AU11+'[17]5B2_RSD LA'!AU11+('[5]5B2_RSD LA'!AU11*4)+('[7]5B2_RSD LA'!AU11*2)</f>
        <v>1280606</v>
      </c>
      <c r="AT11" s="211">
        <f>AR11-AS11</f>
        <v>450798</v>
      </c>
      <c r="AU11" s="216">
        <f>ROUND(AT11/$AU$21,0)</f>
        <v>112700</v>
      </c>
    </row>
    <row r="12" spans="1:47" s="16" customFormat="1" ht="21.75" customHeight="1" x14ac:dyDescent="0.2">
      <c r="A12" s="218" t="s">
        <v>471</v>
      </c>
      <c r="B12" s="219" t="s">
        <v>297</v>
      </c>
      <c r="C12" s="207" t="s">
        <v>1449</v>
      </c>
      <c r="D12" s="208">
        <f>VLOOKUP(A12,'8A_2.1.19 RSD Op &amp; 5s'!$A$4:$F$11,6,FALSE)</f>
        <v>260</v>
      </c>
      <c r="E12" s="209">
        <f>'3_Levels 1&amp;2'!$AM$23</f>
        <v>3415.2208961895185</v>
      </c>
      <c r="F12" s="210">
        <f t="shared" si="4"/>
        <v>887957.43300927477</v>
      </c>
      <c r="G12" s="210">
        <f>'Source Data'!$G$23</f>
        <v>801.48</v>
      </c>
      <c r="H12" s="210">
        <f t="shared" si="5"/>
        <v>208384.80000000002</v>
      </c>
      <c r="I12" s="965">
        <f>VLOOKUP($A12,'3B_Pay Raise'!$A$7:$O$144,15,FALSE)</f>
        <v>32794</v>
      </c>
      <c r="J12" s="212">
        <f t="shared" si="6"/>
        <v>1129136</v>
      </c>
      <c r="K12" s="213">
        <f>VLOOKUP($A12,'[2]Oct_MidYear Adj'!$A$7:$N$137,10,FALSE)</f>
        <v>21084</v>
      </c>
      <c r="L12" s="213">
        <f>VLOOKUP($A12,'[3]Feb_MidYear Adj'!$A$7:$N$137,10,FALSE)</f>
        <v>-27409</v>
      </c>
      <c r="M12" s="214">
        <f t="shared" si="7"/>
        <v>-6325</v>
      </c>
      <c r="N12" s="212">
        <f t="shared" si="8"/>
        <v>1122811</v>
      </c>
      <c r="O12" s="213">
        <f>ROUND(N12*-1.75%,0)</f>
        <v>-19649</v>
      </c>
      <c r="P12" s="213">
        <f>ROUND(N12*-0.25%,0)</f>
        <v>-2807</v>
      </c>
      <c r="Q12" s="213">
        <f>O12+P12</f>
        <v>-22456</v>
      </c>
      <c r="R12" s="212">
        <f>N12+Q12</f>
        <v>1100355</v>
      </c>
      <c r="S12" s="213">
        <f>VLOOKUP($A12,'[1]LEA Summary'!$A$7:$S$216,11,FALSE)</f>
        <v>-5964</v>
      </c>
      <c r="T12" s="212">
        <f>SUM(R12:S12)</f>
        <v>1094391</v>
      </c>
      <c r="U12" s="213">
        <f>VLOOKUP($A12,'4_Level 4'!$A$78:$R$141,5,FALSE)</f>
        <v>0</v>
      </c>
      <c r="V12" s="213">
        <f>VLOOKUP($A12,'4_Level 4'!$A$78:$R$141,17,FALSE)</f>
        <v>0</v>
      </c>
      <c r="W12" s="215">
        <f>ROUND(SUM(T12:V12),0)</f>
        <v>1094391</v>
      </c>
      <c r="X12" s="211">
        <f>'[4]5B2_RSD LA'!Z12+'[17]5B2_RSD LA'!Z12+('[5]5B2_RSD LA'!Z12*4)+('[7]5B2_RSD LA'!Z12*2)</f>
        <v>734856</v>
      </c>
      <c r="Y12" s="211">
        <f>W12-X12</f>
        <v>359535</v>
      </c>
      <c r="Z12" s="212">
        <f>ROUND(Y12/$Z$21,0)</f>
        <v>89884</v>
      </c>
      <c r="AA12" s="213">
        <f>VLOOKUP($A12,'4_Level 4'!$A$78:$R$141,10,FALSE)</f>
        <v>0</v>
      </c>
      <c r="AB12" s="213">
        <f>VLOOKUP($A12,'4_Level 4'!$A$78:$R$141,12,FALSE)</f>
        <v>0</v>
      </c>
      <c r="AC12" s="213">
        <f>VLOOKUP($A12,'4_Level 4'!$A$78:$R$141,13,FALSE)</f>
        <v>0</v>
      </c>
      <c r="AD12" s="215">
        <f>W12+AA12+AB12+AC12</f>
        <v>1094391</v>
      </c>
      <c r="AE12" s="213">
        <f>'Source Data'!$M$23</f>
        <v>6617</v>
      </c>
      <c r="AF12" s="216">
        <f>AE12*D12</f>
        <v>1720420</v>
      </c>
      <c r="AG12" s="217">
        <f>VLOOKUP($A12,'[2]Oct_MidYear Adj'!$A$7:$N$137,6,FALSE)</f>
        <v>5</v>
      </c>
      <c r="AH12" s="210">
        <f>ROUND(AE12*AG12,0)</f>
        <v>33085</v>
      </c>
      <c r="AI12" s="217">
        <f>VLOOKUP($A12,'[3]Feb_MidYear Adj'!$A$7:$N$137,6,FALSE)</f>
        <v>-13</v>
      </c>
      <c r="AJ12" s="210">
        <f>ROUND(AE12*AI12*0.5,0)</f>
        <v>-43011</v>
      </c>
      <c r="AK12" s="214">
        <f>AJ12+AH12</f>
        <v>-9926</v>
      </c>
      <c r="AL12" s="216">
        <f>AF12+AK12</f>
        <v>1710494</v>
      </c>
      <c r="AM12" s="210">
        <f>ROUND(-AL12*0.0175,0)</f>
        <v>-29934</v>
      </c>
      <c r="AN12" s="210">
        <f>ROUND(-AL12*0.0025,0)</f>
        <v>-4276</v>
      </c>
      <c r="AO12" s="210">
        <f>AM12+AN12</f>
        <v>-34210</v>
      </c>
      <c r="AP12" s="216">
        <f>AL12+AO12</f>
        <v>1676284</v>
      </c>
      <c r="AQ12" s="213">
        <f>VLOOKUP($A12,'[1]LEA Summary'!$A$7:$S$216,19,FALSE)</f>
        <v>-10054</v>
      </c>
      <c r="AR12" s="216">
        <f>ROUND(SUM(AP12:AQ12),0)</f>
        <v>1666230</v>
      </c>
      <c r="AS12" s="211">
        <f>'[4]5B2_RSD LA'!AU12+'[17]5B2_RSD LA'!AU12+('[5]5B2_RSD LA'!AU12*4)+('[7]5B2_RSD LA'!AU12*2)</f>
        <v>1141426</v>
      </c>
      <c r="AT12" s="211">
        <f>AR12-AS12</f>
        <v>524804</v>
      </c>
      <c r="AU12" s="216">
        <f>ROUND(AT12/$AU$21,0)</f>
        <v>131201</v>
      </c>
    </row>
    <row r="13" spans="1:47" s="16" customFormat="1" ht="21.75" customHeight="1" x14ac:dyDescent="0.2">
      <c r="A13" s="218" t="s">
        <v>369</v>
      </c>
      <c r="B13" s="219" t="s">
        <v>369</v>
      </c>
      <c r="C13" s="207" t="s">
        <v>355</v>
      </c>
      <c r="D13" s="208">
        <f>VLOOKUP(A13,'8A_2.1.19 RSD Op &amp; 5s'!$A$4:$F$11,6,FALSE)</f>
        <v>522</v>
      </c>
      <c r="E13" s="209">
        <f>'3_Levels 1&amp;2'!$AM$23</f>
        <v>3415.2208961895185</v>
      </c>
      <c r="F13" s="210">
        <f t="shared" si="4"/>
        <v>1782745.3078109287</v>
      </c>
      <c r="G13" s="211">
        <f>'Source Data'!$G$23</f>
        <v>801.48</v>
      </c>
      <c r="H13" s="210">
        <f t="shared" si="5"/>
        <v>418372.56</v>
      </c>
      <c r="I13" s="965">
        <f>VLOOKUP($A13,'3B_Pay Raise'!$A$7:$O$144,15,FALSE)</f>
        <v>53294</v>
      </c>
      <c r="J13" s="212">
        <f t="shared" si="6"/>
        <v>2254412</v>
      </c>
      <c r="K13" s="213">
        <f>VLOOKUP($A13,'[2]Oct_MidYear Adj'!$A$7:$N$137,10,FALSE)</f>
        <v>105418</v>
      </c>
      <c r="L13" s="213">
        <f>VLOOKUP($A13,'[3]Feb_MidYear Adj'!$A$7:$N$137,10,FALSE)</f>
        <v>-16867</v>
      </c>
      <c r="M13" s="214">
        <f t="shared" si="7"/>
        <v>88551</v>
      </c>
      <c r="N13" s="212">
        <f t="shared" si="8"/>
        <v>2342963</v>
      </c>
      <c r="O13" s="213">
        <f>ROUND(N13*-1.75%,0)</f>
        <v>-41002</v>
      </c>
      <c r="P13" s="213">
        <f>ROUND(N13*-0.25%,0)</f>
        <v>-5857</v>
      </c>
      <c r="Q13" s="213">
        <f>O13+P13</f>
        <v>-46859</v>
      </c>
      <c r="R13" s="212">
        <f>N13+Q13</f>
        <v>2296104</v>
      </c>
      <c r="S13" s="213">
        <f>VLOOKUP($A13,'[1]LEA Summary'!$A$7:$S$216,11,FALSE)</f>
        <v>-1787</v>
      </c>
      <c r="T13" s="212">
        <f>SUM(R13:S13)</f>
        <v>2294317</v>
      </c>
      <c r="U13" s="213">
        <f>VLOOKUP($A13,'4_Level 4'!$A$78:$R$141,5,FALSE)</f>
        <v>0</v>
      </c>
      <c r="V13" s="213">
        <f>VLOOKUP($A13,'4_Level 4'!$A$78:$R$141,17,FALSE)</f>
        <v>6549</v>
      </c>
      <c r="W13" s="215">
        <f>ROUND(SUM(T13:V13),0)</f>
        <v>2300866</v>
      </c>
      <c r="X13" s="211">
        <f>'[4]5B2_RSD LA'!Z13+'[17]5B2_RSD LA'!Z13+('[5]5B2_RSD LA'!Z13*4)+('[7]5B2_RSD LA'!Z13*2)</f>
        <v>1477368</v>
      </c>
      <c r="Y13" s="211">
        <f>W13-X13</f>
        <v>823498</v>
      </c>
      <c r="Z13" s="212">
        <f>ROUND(Y13/$Z$21,0)</f>
        <v>205875</v>
      </c>
      <c r="AA13" s="213">
        <f>VLOOKUP($A13,'4_Level 4'!$A$78:$R$141,10,FALSE)</f>
        <v>0</v>
      </c>
      <c r="AB13" s="213">
        <f>VLOOKUP($A13,'4_Level 4'!$A$78:$R$141,12,FALSE)</f>
        <v>0</v>
      </c>
      <c r="AC13" s="213">
        <f>VLOOKUP($A13,'4_Level 4'!$A$78:$R$141,13,FALSE)</f>
        <v>0</v>
      </c>
      <c r="AD13" s="215">
        <f>W13+AA13+AB13+AC13</f>
        <v>2300866</v>
      </c>
      <c r="AE13" s="213">
        <f>'Source Data'!$M$23</f>
        <v>6617</v>
      </c>
      <c r="AF13" s="216">
        <f>AE13*D13</f>
        <v>3454074</v>
      </c>
      <c r="AG13" s="217">
        <f>VLOOKUP($A13,'[2]Oct_MidYear Adj'!$A$7:$N$137,6,FALSE)</f>
        <v>25</v>
      </c>
      <c r="AH13" s="210">
        <f>ROUND(AE13*AG13,0)</f>
        <v>165425</v>
      </c>
      <c r="AI13" s="217">
        <f>VLOOKUP($A13,'[3]Feb_MidYear Adj'!$A$7:$N$137,6,FALSE)</f>
        <v>-8</v>
      </c>
      <c r="AJ13" s="210">
        <f>ROUND(AE13*AI13*0.5,0)</f>
        <v>-26468</v>
      </c>
      <c r="AK13" s="214">
        <f>AJ13+AH13</f>
        <v>138957</v>
      </c>
      <c r="AL13" s="216">
        <f>AF13+AK13</f>
        <v>3593031</v>
      </c>
      <c r="AM13" s="210">
        <f>ROUND(-AL13*0.0175,0)</f>
        <v>-62878</v>
      </c>
      <c r="AN13" s="210">
        <f>ROUND(-AL13*0.0025,0)</f>
        <v>-8983</v>
      </c>
      <c r="AO13" s="210">
        <f>AM13+AN13</f>
        <v>-71861</v>
      </c>
      <c r="AP13" s="216">
        <f>AL13+AO13</f>
        <v>3521170</v>
      </c>
      <c r="AQ13" s="213">
        <f>VLOOKUP($A13,'[1]LEA Summary'!$A$7:$S$216,19,FALSE)</f>
        <v>-3352</v>
      </c>
      <c r="AR13" s="216">
        <f>ROUND(SUM(AP13:AQ13),0)</f>
        <v>3517818</v>
      </c>
      <c r="AS13" s="211">
        <f>'[4]5B2_RSD LA'!AU13+'[17]5B2_RSD LA'!AU13+('[5]5B2_RSD LA'!AU13*4)+('[7]5B2_RSD LA'!AU13*2)</f>
        <v>2302856</v>
      </c>
      <c r="AT13" s="211">
        <f>AR13-AS13</f>
        <v>1214962</v>
      </c>
      <c r="AU13" s="216">
        <f>ROUND(AT13/$AU$21,0)</f>
        <v>303741</v>
      </c>
    </row>
    <row r="14" spans="1:47" s="16" customFormat="1" ht="21.75" customHeight="1" x14ac:dyDescent="0.2">
      <c r="A14" s="206" t="s">
        <v>470</v>
      </c>
      <c r="B14" s="255">
        <v>389002</v>
      </c>
      <c r="C14" s="207" t="s">
        <v>1220</v>
      </c>
      <c r="D14" s="208">
        <f>VLOOKUP(A14,'8A_2.1.19 RSD Op &amp; 5s'!$A$4:$F$11,6,FALSE)</f>
        <v>381</v>
      </c>
      <c r="E14" s="209">
        <f>'3_Levels 1&amp;2'!$AM$23</f>
        <v>3415.2208961895185</v>
      </c>
      <c r="F14" s="210">
        <f t="shared" si="4"/>
        <v>1301199.1614482065</v>
      </c>
      <c r="G14" s="211">
        <f>'Source Data'!$G$23</f>
        <v>801.48</v>
      </c>
      <c r="H14" s="210">
        <f t="shared" si="5"/>
        <v>305363.88</v>
      </c>
      <c r="I14" s="965">
        <f>VLOOKUP($A14,'3B_Pay Raise'!$A$7:$O$144,15,FALSE)</f>
        <v>56811</v>
      </c>
      <c r="J14" s="212">
        <f t="shared" si="6"/>
        <v>1663374</v>
      </c>
      <c r="K14" s="213">
        <f>VLOOKUP($A14,'[2]Oct_MidYear Adj'!$A$7:$N$137,10,FALSE)</f>
        <v>88551</v>
      </c>
      <c r="L14" s="213">
        <f>VLOOKUP($A14,'[3]Feb_MidYear Adj'!$A$7:$N$137,10,FALSE)</f>
        <v>0</v>
      </c>
      <c r="M14" s="214">
        <f t="shared" si="7"/>
        <v>88551</v>
      </c>
      <c r="N14" s="212">
        <f t="shared" si="8"/>
        <v>1751925</v>
      </c>
      <c r="O14" s="213">
        <f>ROUND(N14*-1.75%,0)</f>
        <v>-30659</v>
      </c>
      <c r="P14" s="213">
        <f>ROUND(N14*-0.25%,0)</f>
        <v>-4380</v>
      </c>
      <c r="Q14" s="213">
        <f>O14+P14</f>
        <v>-35039</v>
      </c>
      <c r="R14" s="212">
        <f>N14+Q14</f>
        <v>1716886</v>
      </c>
      <c r="S14" s="213">
        <f>VLOOKUP($A14,'[1]LEA Summary'!$A$7:$S$216,11,FALSE)</f>
        <v>0</v>
      </c>
      <c r="T14" s="212">
        <f>SUM(R14:S14)</f>
        <v>1716886</v>
      </c>
      <c r="U14" s="213">
        <f>VLOOKUP($A14,'4_Level 4'!$A$78:$R$141,5,FALSE)</f>
        <v>0</v>
      </c>
      <c r="V14" s="213">
        <f>VLOOKUP($A14,'4_Level 4'!$A$78:$R$141,17,FALSE)</f>
        <v>16048</v>
      </c>
      <c r="W14" s="215">
        <f>ROUND(SUM(T14:V14),0)</f>
        <v>1732934</v>
      </c>
      <c r="X14" s="211">
        <f>'[4]5B2_RSD LA'!Z14+'[17]5B2_RSD LA'!Z14+('[5]5B2_RSD LA'!Z14*4)+('[7]5B2_RSD LA'!Z14*2)</f>
        <v>1097154</v>
      </c>
      <c r="Y14" s="211">
        <f>W14-X14</f>
        <v>635780</v>
      </c>
      <c r="Z14" s="212">
        <f>ROUND(Y14/$Z$21,0)</f>
        <v>158945</v>
      </c>
      <c r="AA14" s="213">
        <f>VLOOKUP($A14,'4_Level 4'!$A$78:$R$141,10,FALSE)</f>
        <v>0</v>
      </c>
      <c r="AB14" s="213">
        <f>VLOOKUP($A14,'4_Level 4'!$A$78:$R$141,12,FALSE)</f>
        <v>0</v>
      </c>
      <c r="AC14" s="213">
        <f>VLOOKUP($A14,'4_Level 4'!$A$78:$R$141,13,FALSE)</f>
        <v>0</v>
      </c>
      <c r="AD14" s="215">
        <f>W14+AA14+AB14+AC14</f>
        <v>1732934</v>
      </c>
      <c r="AE14" s="213">
        <f>'Source Data'!$M$23</f>
        <v>6617</v>
      </c>
      <c r="AF14" s="216">
        <f>AE14*D14</f>
        <v>2521077</v>
      </c>
      <c r="AG14" s="217">
        <f>VLOOKUP($A14,'[2]Oct_MidYear Adj'!$A$7:$N$137,6,FALSE)</f>
        <v>21</v>
      </c>
      <c r="AH14" s="210">
        <f>ROUND(AE14*AG14,0)</f>
        <v>138957</v>
      </c>
      <c r="AI14" s="217">
        <f>VLOOKUP($A14,'[3]Feb_MidYear Adj'!$A$7:$N$137,6,FALSE)</f>
        <v>0</v>
      </c>
      <c r="AJ14" s="210">
        <f>ROUND(AE14*AI14*0.5,0)</f>
        <v>0</v>
      </c>
      <c r="AK14" s="214">
        <f>AJ14+AH14</f>
        <v>138957</v>
      </c>
      <c r="AL14" s="216">
        <f>AF14+AK14</f>
        <v>2660034</v>
      </c>
      <c r="AM14" s="210">
        <f>ROUND(-AL14*0.0175,0)</f>
        <v>-46551</v>
      </c>
      <c r="AN14" s="210">
        <f>ROUND(-AL14*0.0025,0)</f>
        <v>-6650</v>
      </c>
      <c r="AO14" s="210">
        <f>AM14+AN14</f>
        <v>-53201</v>
      </c>
      <c r="AP14" s="216">
        <f>AL14+AO14</f>
        <v>2606833</v>
      </c>
      <c r="AQ14" s="213">
        <f>VLOOKUP($A14,'[1]LEA Summary'!$A$7:$S$216,19,FALSE)</f>
        <v>0</v>
      </c>
      <c r="AR14" s="216">
        <f>ROUND(SUM(AP14:AQ14),0)</f>
        <v>2606833</v>
      </c>
      <c r="AS14" s="211">
        <f>'[4]5B2_RSD LA'!AU14+'[17]5B2_RSD LA'!AU14+('[5]5B2_RSD LA'!AU14*4)+('[7]5B2_RSD LA'!AU14*2)</f>
        <v>1682450</v>
      </c>
      <c r="AT14" s="211">
        <f>AR14-AS14</f>
        <v>924383</v>
      </c>
      <c r="AU14" s="216">
        <f>ROUND(AT14/$AU$21,0)</f>
        <v>231096</v>
      </c>
    </row>
    <row r="15" spans="1:47" s="16" customFormat="1" ht="21.75" customHeight="1" x14ac:dyDescent="0.2">
      <c r="A15" s="218" t="s">
        <v>1382</v>
      </c>
      <c r="B15" s="219" t="s">
        <v>1383</v>
      </c>
      <c r="C15" s="207" t="s">
        <v>1450</v>
      </c>
      <c r="D15" s="208">
        <v>0</v>
      </c>
      <c r="E15" s="209">
        <f>'3_Levels 1&amp;2'!$AM$23</f>
        <v>3415.2208961895185</v>
      </c>
      <c r="F15" s="210">
        <f t="shared" si="4"/>
        <v>0</v>
      </c>
      <c r="G15" s="211">
        <f>'Source Data'!$G$23</f>
        <v>801.48</v>
      </c>
      <c r="H15" s="210">
        <f t="shared" si="5"/>
        <v>0</v>
      </c>
      <c r="I15" s="965">
        <f>VLOOKUP($A15,'3B_Pay Raise'!$A$7:$O$144,15,FALSE)</f>
        <v>36680</v>
      </c>
      <c r="J15" s="212">
        <f t="shared" si="6"/>
        <v>36680</v>
      </c>
      <c r="K15" s="213">
        <f>VLOOKUP($A15,'[2]Oct_MidYear Adj'!$A$7:$N$137,10,FALSE)</f>
        <v>1180676</v>
      </c>
      <c r="L15" s="213">
        <f>VLOOKUP($A15,'[3]Feb_MidYear Adj'!$A$7:$N$137,10,FALSE)</f>
        <v>-46384</v>
      </c>
      <c r="M15" s="214">
        <f t="shared" si="7"/>
        <v>1134292</v>
      </c>
      <c r="N15" s="212">
        <f t="shared" si="8"/>
        <v>1170972</v>
      </c>
      <c r="O15" s="213">
        <f>ROUND(N15*-1.75%,0)</f>
        <v>-20492</v>
      </c>
      <c r="P15" s="213">
        <f>ROUND(N15*-0.25%,0)</f>
        <v>-2927</v>
      </c>
      <c r="Q15" s="213">
        <f>O15+P15</f>
        <v>-23419</v>
      </c>
      <c r="R15" s="212">
        <f>N15+Q15</f>
        <v>1147553</v>
      </c>
      <c r="S15" s="213">
        <v>0</v>
      </c>
      <c r="T15" s="212">
        <f>SUM(R15:S15)</f>
        <v>1147553</v>
      </c>
      <c r="U15" s="213">
        <f>VLOOKUP($A15,'4_Level 4'!$A$78:$R$141,5,FALSE)</f>
        <v>0</v>
      </c>
      <c r="V15" s="213">
        <f>VLOOKUP($A15,'4_Level 4'!$A$78:$R$141,17,FALSE)</f>
        <v>0</v>
      </c>
      <c r="W15" s="215">
        <f>ROUND(SUM(T15:V15),0)</f>
        <v>1147553</v>
      </c>
      <c r="X15" s="211">
        <f>'[4]5B2_RSD LA'!Z15+'[17]5B2_RSD LA'!Z15+('[5]5B2_RSD LA'!Z15*4)+('[7]5B2_RSD LA'!Z15*2)</f>
        <v>793777</v>
      </c>
      <c r="Y15" s="211">
        <f>W15-X15</f>
        <v>353776</v>
      </c>
      <c r="Z15" s="212">
        <f>ROUND(Y15/$Z$21,0)</f>
        <v>88444</v>
      </c>
      <c r="AA15" s="213">
        <f>VLOOKUP($A15,'4_Level 4'!$A$78:$R$141,10,FALSE)</f>
        <v>0</v>
      </c>
      <c r="AB15" s="213">
        <f>VLOOKUP($A15,'4_Level 4'!$A$78:$R$141,12,FALSE)</f>
        <v>0</v>
      </c>
      <c r="AC15" s="213">
        <f>VLOOKUP($A15,'4_Level 4'!$A$78:$R$141,13,FALSE)</f>
        <v>0</v>
      </c>
      <c r="AD15" s="215">
        <f>W15+AA15+AB15+AC15</f>
        <v>1147553</v>
      </c>
      <c r="AE15" s="213">
        <f>'Source Data'!$M$23</f>
        <v>6617</v>
      </c>
      <c r="AF15" s="216">
        <f>AE15*D15</f>
        <v>0</v>
      </c>
      <c r="AG15" s="217">
        <f>VLOOKUP($A15,'[2]Oct_MidYear Adj'!$A$7:$N$137,6,FALSE)</f>
        <v>280</v>
      </c>
      <c r="AH15" s="210">
        <f>ROUND(AE15*AG15,0)</f>
        <v>1852760</v>
      </c>
      <c r="AI15" s="217">
        <f>VLOOKUP($A15,'[3]Feb_MidYear Adj'!$A$7:$N$137,6,FALSE)</f>
        <v>-22</v>
      </c>
      <c r="AJ15" s="210">
        <f>ROUND(AE15*AI15*0.5,0)</f>
        <v>-72787</v>
      </c>
      <c r="AK15" s="214">
        <f>AJ15+AH15</f>
        <v>1779973</v>
      </c>
      <c r="AL15" s="216">
        <f>AF15+AK15</f>
        <v>1779973</v>
      </c>
      <c r="AM15" s="210">
        <f>ROUND(-AL15*0.0175,0)</f>
        <v>-31150</v>
      </c>
      <c r="AN15" s="210">
        <f>ROUND(-AL15*0.0025,0)</f>
        <v>-4450</v>
      </c>
      <c r="AO15" s="210">
        <f>AM15+AN15</f>
        <v>-35600</v>
      </c>
      <c r="AP15" s="216">
        <f>AL15+AO15</f>
        <v>1744373</v>
      </c>
      <c r="AQ15" s="213"/>
      <c r="AR15" s="216">
        <f>ROUND(SUM(AP15:AQ15),0)</f>
        <v>1744373</v>
      </c>
      <c r="AS15" s="211">
        <f>'[4]5B2_RSD LA'!AU15+'[17]5B2_RSD LA'!AU15+('[5]5B2_RSD LA'!AU15*4)+('[7]5B2_RSD LA'!AU15*2)</f>
        <v>1236888</v>
      </c>
      <c r="AT15" s="211">
        <f>AR15-AS15</f>
        <v>507485</v>
      </c>
      <c r="AU15" s="216">
        <f>ROUND(AT15/$AU$21,0)</f>
        <v>126871</v>
      </c>
    </row>
    <row r="16" spans="1:47" s="16" customFormat="1" ht="21.75" customHeight="1" x14ac:dyDescent="0.2">
      <c r="A16" s="219"/>
      <c r="B16" s="219"/>
      <c r="C16" s="220" t="s">
        <v>1108</v>
      </c>
      <c r="D16" s="221">
        <v>317</v>
      </c>
      <c r="E16" s="222">
        <f>'3_Levels 1&amp;2'!$AM$23</f>
        <v>3415.2208961895185</v>
      </c>
      <c r="F16" s="223">
        <f t="shared" si="4"/>
        <v>1082625.0240920773</v>
      </c>
      <c r="G16" s="224">
        <f>'Source Data'!$G$23</f>
        <v>801.48</v>
      </c>
      <c r="H16" s="223">
        <f t="shared" si="5"/>
        <v>254069.16</v>
      </c>
      <c r="I16" s="965">
        <v>0</v>
      </c>
      <c r="J16" s="215">
        <f t="shared" si="6"/>
        <v>1336694</v>
      </c>
      <c r="K16" s="225">
        <f>'[2]Oct_MidYear Adj'!$J$137</f>
        <v>-1336694</v>
      </c>
      <c r="L16" s="225"/>
      <c r="M16" s="226">
        <f t="shared" si="7"/>
        <v>-1336694</v>
      </c>
      <c r="N16" s="215">
        <f t="shared" si="8"/>
        <v>0</v>
      </c>
      <c r="O16" s="225"/>
      <c r="P16" s="225"/>
      <c r="Q16" s="225"/>
      <c r="R16" s="215"/>
      <c r="S16" s="225"/>
      <c r="T16" s="215"/>
      <c r="U16" s="225"/>
      <c r="V16" s="225"/>
      <c r="W16" s="215"/>
      <c r="X16" s="224"/>
      <c r="Y16" s="224"/>
      <c r="Z16" s="215"/>
      <c r="AA16" s="225"/>
      <c r="AB16" s="225"/>
      <c r="AC16" s="225"/>
      <c r="AD16" s="215"/>
      <c r="AE16" s="225"/>
      <c r="AF16" s="227"/>
      <c r="AG16" s="228"/>
      <c r="AH16" s="223"/>
      <c r="AI16" s="228"/>
      <c r="AJ16" s="223"/>
      <c r="AK16" s="226"/>
      <c r="AL16" s="227"/>
      <c r="AM16" s="223"/>
      <c r="AN16" s="223"/>
      <c r="AO16" s="223"/>
      <c r="AP16" s="227"/>
      <c r="AQ16" s="225"/>
      <c r="AR16" s="227"/>
      <c r="AS16" s="224"/>
      <c r="AT16" s="224"/>
      <c r="AU16" s="227"/>
    </row>
    <row r="17" spans="1:47" s="17" customFormat="1" ht="29.25" customHeight="1" x14ac:dyDescent="0.2">
      <c r="A17" s="229"/>
      <c r="B17" s="256"/>
      <c r="C17" s="230" t="s">
        <v>82</v>
      </c>
      <c r="D17" s="231">
        <f>SUM(D11:D16)</f>
        <v>1785</v>
      </c>
      <c r="E17" s="232"/>
      <c r="F17" s="233">
        <f>SUM(F11:F16)</f>
        <v>6096169.2996982904</v>
      </c>
      <c r="G17" s="233"/>
      <c r="H17" s="233">
        <f t="shared" ref="H17:AD17" si="9">SUM(H11:H16)</f>
        <v>1430641.8</v>
      </c>
      <c r="I17" s="233">
        <f>SUM(I11:I16)</f>
        <v>218746</v>
      </c>
      <c r="J17" s="234">
        <f t="shared" si="9"/>
        <v>7745557</v>
      </c>
      <c r="K17" s="235">
        <f t="shared" si="9"/>
        <v>-67466</v>
      </c>
      <c r="L17" s="235">
        <f t="shared" si="9"/>
        <v>-124394</v>
      </c>
      <c r="M17" s="236">
        <f t="shared" si="9"/>
        <v>-191860</v>
      </c>
      <c r="N17" s="234">
        <f t="shared" si="9"/>
        <v>7553697</v>
      </c>
      <c r="O17" s="235">
        <f t="shared" si="9"/>
        <v>-132190</v>
      </c>
      <c r="P17" s="235">
        <f t="shared" si="9"/>
        <v>-18884</v>
      </c>
      <c r="Q17" s="235">
        <f t="shared" si="9"/>
        <v>-151074</v>
      </c>
      <c r="R17" s="234">
        <f t="shared" si="9"/>
        <v>7402623</v>
      </c>
      <c r="S17" s="233">
        <f t="shared" si="9"/>
        <v>-7751</v>
      </c>
      <c r="T17" s="234">
        <f t="shared" si="9"/>
        <v>7394872</v>
      </c>
      <c r="U17" s="233">
        <f t="shared" si="9"/>
        <v>0</v>
      </c>
      <c r="V17" s="233">
        <f t="shared" si="9"/>
        <v>22597</v>
      </c>
      <c r="W17" s="237">
        <f t="shared" si="9"/>
        <v>7417469</v>
      </c>
      <c r="X17" s="233">
        <f t="shared" si="9"/>
        <v>4928269</v>
      </c>
      <c r="Y17" s="233">
        <f t="shared" si="9"/>
        <v>2489200</v>
      </c>
      <c r="Z17" s="234">
        <f t="shared" si="9"/>
        <v>622301</v>
      </c>
      <c r="AA17" s="233">
        <f t="shared" si="9"/>
        <v>0</v>
      </c>
      <c r="AB17" s="233">
        <f t="shared" si="9"/>
        <v>0</v>
      </c>
      <c r="AC17" s="233">
        <f t="shared" si="9"/>
        <v>0</v>
      </c>
      <c r="AD17" s="237">
        <f t="shared" si="9"/>
        <v>7417469</v>
      </c>
      <c r="AE17" s="233"/>
      <c r="AF17" s="238">
        <f t="shared" ref="AF17:AU17" si="10">SUM(AF11:AF16)</f>
        <v>9713756</v>
      </c>
      <c r="AG17" s="239">
        <f t="shared" si="10"/>
        <v>301</v>
      </c>
      <c r="AH17" s="233">
        <f t="shared" si="10"/>
        <v>1991717</v>
      </c>
      <c r="AI17" s="240">
        <f t="shared" si="10"/>
        <v>-59</v>
      </c>
      <c r="AJ17" s="233">
        <f t="shared" si="10"/>
        <v>-195202</v>
      </c>
      <c r="AK17" s="236">
        <f t="shared" si="10"/>
        <v>1796515</v>
      </c>
      <c r="AL17" s="238">
        <f t="shared" si="10"/>
        <v>11510271</v>
      </c>
      <c r="AM17" s="233">
        <f t="shared" si="10"/>
        <v>-201431</v>
      </c>
      <c r="AN17" s="233">
        <f t="shared" si="10"/>
        <v>-28776</v>
      </c>
      <c r="AO17" s="233">
        <f t="shared" si="10"/>
        <v>-230207</v>
      </c>
      <c r="AP17" s="238">
        <f t="shared" si="10"/>
        <v>11280064</v>
      </c>
      <c r="AQ17" s="233">
        <f t="shared" si="10"/>
        <v>-13406</v>
      </c>
      <c r="AR17" s="238">
        <f t="shared" si="10"/>
        <v>11266658</v>
      </c>
      <c r="AS17" s="241">
        <f t="shared" si="10"/>
        <v>7644226</v>
      </c>
      <c r="AT17" s="241">
        <f t="shared" si="10"/>
        <v>3622432</v>
      </c>
      <c r="AU17" s="238">
        <f t="shared" si="10"/>
        <v>905609</v>
      </c>
    </row>
    <row r="18" spans="1:47" s="16" customFormat="1" ht="9.75" customHeight="1" x14ac:dyDescent="0.2">
      <c r="A18" s="1173"/>
      <c r="B18" s="1173"/>
      <c r="C18" s="1174"/>
      <c r="D18" s="1175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1176"/>
      <c r="P18" s="1176"/>
      <c r="Q18" s="1176"/>
      <c r="R18" s="1176"/>
      <c r="S18" s="1176"/>
      <c r="T18" s="1176"/>
      <c r="U18" s="1176"/>
      <c r="V18" s="1176"/>
      <c r="W18" s="1176"/>
      <c r="X18" s="1176"/>
      <c r="Y18" s="1176"/>
      <c r="Z18" s="1176"/>
      <c r="AA18" s="1176"/>
      <c r="AB18" s="1176"/>
      <c r="AC18" s="1176"/>
      <c r="AD18" s="1176"/>
      <c r="AE18" s="1176"/>
      <c r="AF18" s="1176"/>
      <c r="AG18" s="1177"/>
      <c r="AH18" s="1176"/>
      <c r="AI18" s="1177"/>
      <c r="AJ18" s="1176"/>
      <c r="AK18" s="1176"/>
      <c r="AL18" s="1176"/>
      <c r="AM18" s="1176"/>
      <c r="AN18" s="1176"/>
      <c r="AO18" s="1176"/>
      <c r="AP18" s="1176"/>
      <c r="AQ18" s="1176"/>
      <c r="AR18" s="1176"/>
      <c r="AS18" s="1176"/>
      <c r="AT18" s="1176"/>
      <c r="AU18" s="1176"/>
    </row>
    <row r="19" spans="1:47" s="17" customFormat="1" ht="29.25" customHeight="1" thickBot="1" x14ac:dyDescent="0.25">
      <c r="A19" s="1264"/>
      <c r="B19" s="1264"/>
      <c r="C19" s="1265" t="s">
        <v>83</v>
      </c>
      <c r="D19" s="1266">
        <f>D9+D17</f>
        <v>3127</v>
      </c>
      <c r="E19" s="1267"/>
      <c r="F19" s="1268">
        <f>F9+F17</f>
        <v>12001487.089157926</v>
      </c>
      <c r="G19" s="1268"/>
      <c r="H19" s="1268">
        <f t="shared" ref="H19:AD19" si="11">H9+H17</f>
        <v>2451776.7599999998</v>
      </c>
      <c r="I19" s="1268">
        <f>I9+I17</f>
        <v>371375</v>
      </c>
      <c r="J19" s="1269">
        <f t="shared" si="11"/>
        <v>14824639</v>
      </c>
      <c r="K19" s="1270">
        <f t="shared" si="11"/>
        <v>-74791</v>
      </c>
      <c r="L19" s="1270">
        <f t="shared" si="11"/>
        <v>-189264</v>
      </c>
      <c r="M19" s="1271">
        <f t="shared" si="11"/>
        <v>-264055</v>
      </c>
      <c r="N19" s="1269">
        <f t="shared" si="11"/>
        <v>14560584</v>
      </c>
      <c r="O19" s="1270">
        <f t="shared" si="11"/>
        <v>-132190</v>
      </c>
      <c r="P19" s="1270">
        <f t="shared" si="11"/>
        <v>-18884</v>
      </c>
      <c r="Q19" s="1270">
        <f t="shared" si="11"/>
        <v>-151074</v>
      </c>
      <c r="R19" s="1269">
        <f t="shared" si="11"/>
        <v>14409510</v>
      </c>
      <c r="S19" s="1272">
        <f t="shared" si="11"/>
        <v>-14167</v>
      </c>
      <c r="T19" s="1269">
        <f t="shared" si="11"/>
        <v>14395343</v>
      </c>
      <c r="U19" s="1272">
        <f t="shared" si="11"/>
        <v>0</v>
      </c>
      <c r="V19" s="1272">
        <f t="shared" si="11"/>
        <v>56817</v>
      </c>
      <c r="W19" s="1269">
        <f t="shared" si="11"/>
        <v>14452160</v>
      </c>
      <c r="X19" s="1268">
        <f t="shared" si="11"/>
        <v>9628235</v>
      </c>
      <c r="Y19" s="1268">
        <f t="shared" si="11"/>
        <v>4823925</v>
      </c>
      <c r="Z19" s="1269">
        <f t="shared" si="11"/>
        <v>1205983</v>
      </c>
      <c r="AA19" s="1272">
        <f t="shared" si="11"/>
        <v>0</v>
      </c>
      <c r="AB19" s="1272">
        <f t="shared" si="11"/>
        <v>72300</v>
      </c>
      <c r="AC19" s="1272">
        <f t="shared" si="11"/>
        <v>0</v>
      </c>
      <c r="AD19" s="1269">
        <f t="shared" si="11"/>
        <v>14524460</v>
      </c>
      <c r="AE19" s="1268"/>
      <c r="AF19" s="1273">
        <f t="shared" ref="AF19:AU19" si="12">AF9+AF17</f>
        <v>16772650</v>
      </c>
      <c r="AG19" s="1274">
        <f t="shared" si="12"/>
        <v>293</v>
      </c>
      <c r="AH19" s="1268">
        <f t="shared" si="12"/>
        <v>1900841</v>
      </c>
      <c r="AI19" s="1275">
        <f t="shared" si="12"/>
        <v>-81</v>
      </c>
      <c r="AJ19" s="1268">
        <f t="shared" si="12"/>
        <v>-241431</v>
      </c>
      <c r="AK19" s="1271">
        <f t="shared" si="12"/>
        <v>1659410</v>
      </c>
      <c r="AL19" s="1273">
        <f t="shared" si="12"/>
        <v>18432060</v>
      </c>
      <c r="AM19" s="1268">
        <f t="shared" si="12"/>
        <v>-201431</v>
      </c>
      <c r="AN19" s="1268">
        <f t="shared" si="12"/>
        <v>-28776</v>
      </c>
      <c r="AO19" s="1268">
        <f t="shared" si="12"/>
        <v>-230207</v>
      </c>
      <c r="AP19" s="1273">
        <f t="shared" si="12"/>
        <v>18201853</v>
      </c>
      <c r="AQ19" s="1268">
        <f t="shared" si="12"/>
        <v>-30036</v>
      </c>
      <c r="AR19" s="1273">
        <f t="shared" si="12"/>
        <v>18171817</v>
      </c>
      <c r="AS19" s="1268">
        <f t="shared" si="12"/>
        <v>12202708</v>
      </c>
      <c r="AT19" s="1268">
        <f t="shared" si="12"/>
        <v>5969109</v>
      </c>
      <c r="AU19" s="1273">
        <f t="shared" si="12"/>
        <v>1492278</v>
      </c>
    </row>
    <row r="20" spans="1:47" s="1263" customFormat="1" ht="16.149999999999999" customHeight="1" thickTop="1" x14ac:dyDescent="0.25">
      <c r="A20" s="1260"/>
      <c r="B20" s="1260"/>
      <c r="C20" s="1261"/>
      <c r="D20" s="248"/>
      <c r="E20" s="1262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50"/>
      <c r="AH20" s="249"/>
      <c r="AI20" s="251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</row>
    <row r="21" spans="1:47" ht="15" x14ac:dyDescent="0.25">
      <c r="Z21" s="41">
        <v>4</v>
      </c>
      <c r="AU21" s="41">
        <f>Z21</f>
        <v>4</v>
      </c>
    </row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P1:AU1"/>
    <mergeCell ref="A1:C3"/>
    <mergeCell ref="AG2:AK2"/>
    <mergeCell ref="K2:M2"/>
    <mergeCell ref="U2:V2"/>
    <mergeCell ref="AA2:AC2"/>
    <mergeCell ref="S1:AD1"/>
    <mergeCell ref="D1:R1"/>
    <mergeCell ref="AE1:AO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&amp;L&amp;"Arial,Bold"&amp;18&amp;K000000FY2019-20 Budget Letter
March 2020&amp;R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42"/>
  <sheetViews>
    <sheetView zoomScaleNormal="100" zoomScaleSheetLayoutView="100" workbookViewId="0">
      <pane xSplit="4" ySplit="6" topLeftCell="E7" activePane="bottomRight" state="frozen"/>
      <selection activeCell="C7" sqref="C7"/>
      <selection pane="topRight" activeCell="C7" sqref="C7"/>
      <selection pane="bottomLeft" activeCell="C7" sqref="C7"/>
      <selection pane="bottomRight" activeCell="E7" sqref="E7"/>
    </sheetView>
  </sheetViews>
  <sheetFormatPr defaultColWidth="8.85546875" defaultRowHeight="12.75" x14ac:dyDescent="0.2"/>
  <cols>
    <col min="1" max="1" width="8.5703125" style="13" bestFit="1" customWidth="1"/>
    <col min="2" max="2" width="8.5703125" style="13" hidden="1" customWidth="1"/>
    <col min="3" max="3" width="8" style="13" hidden="1" customWidth="1"/>
    <col min="4" max="4" width="35.140625" style="7" customWidth="1"/>
    <col min="5" max="5" width="14.7109375" style="7" customWidth="1"/>
    <col min="6" max="6" width="7.28515625" style="7" customWidth="1"/>
    <col min="7" max="7" width="14.7109375" style="7" customWidth="1"/>
    <col min="8" max="8" width="10.7109375" style="7" customWidth="1"/>
    <col min="9" max="9" width="7.28515625" style="7" customWidth="1"/>
    <col min="10" max="10" width="13.28515625" style="7" customWidth="1"/>
    <col min="11" max="11" width="10.7109375" style="7" customWidth="1"/>
    <col min="12" max="12" width="7.28515625" style="7" customWidth="1"/>
    <col min="13" max="13" width="13.28515625" style="7" customWidth="1"/>
    <col min="14" max="14" width="10.7109375" style="7" customWidth="1"/>
    <col min="15" max="15" width="7.28515625" style="7" customWidth="1"/>
    <col min="16" max="16" width="13.28515625" style="7" customWidth="1"/>
    <col min="17" max="17" width="10.7109375" style="7" customWidth="1"/>
    <col min="18" max="18" width="7.28515625" style="7" customWidth="1"/>
    <col min="19" max="20" width="13.28515625" style="7" customWidth="1"/>
    <col min="21" max="21" width="15.140625" style="7" customWidth="1"/>
    <col min="22" max="24" width="14.85546875" style="7" customWidth="1"/>
    <col min="25" max="25" width="15.42578125" style="7" customWidth="1"/>
    <col min="26" max="26" width="12.85546875" style="7" customWidth="1"/>
    <col min="27" max="28" width="15.42578125" style="7" customWidth="1"/>
    <col min="29" max="29" width="13.42578125" style="7" customWidth="1"/>
    <col min="30" max="30" width="17.7109375" style="7" customWidth="1"/>
    <col min="31" max="33" width="13.28515625" style="7" customWidth="1"/>
    <col min="34" max="34" width="12.28515625" style="7" customWidth="1"/>
    <col min="35" max="35" width="16.42578125" style="7" bestFit="1" customWidth="1"/>
    <col min="36" max="37" width="14.85546875" style="7" bestFit="1" customWidth="1"/>
    <col min="38" max="42" width="12.85546875" style="7" customWidth="1"/>
    <col min="43" max="43" width="14.85546875" style="7" bestFit="1" customWidth="1"/>
    <col min="44" max="44" width="12.140625" style="7" customWidth="1"/>
    <col min="45" max="45" width="14.85546875" style="7" bestFit="1" customWidth="1"/>
    <col min="46" max="46" width="12.140625" style="7" bestFit="1" customWidth="1"/>
    <col min="47" max="47" width="14.85546875" style="7" bestFit="1" customWidth="1"/>
    <col min="48" max="49" width="13" style="7" customWidth="1"/>
    <col min="50" max="50" width="14.85546875" style="7" bestFit="1" customWidth="1"/>
    <col min="51" max="16384" width="8.85546875" style="7"/>
  </cols>
  <sheetData>
    <row r="1" spans="1:50" ht="21" customHeight="1" x14ac:dyDescent="0.2">
      <c r="A1" s="1489" t="s">
        <v>417</v>
      </c>
      <c r="B1" s="1489"/>
      <c r="C1" s="1489"/>
      <c r="D1" s="1490"/>
      <c r="E1" s="1483" t="s">
        <v>310</v>
      </c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5"/>
      <c r="V1" s="1480" t="s">
        <v>310</v>
      </c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2"/>
      <c r="AJ1" s="1477" t="s">
        <v>389</v>
      </c>
      <c r="AK1" s="1478"/>
      <c r="AL1" s="1478"/>
      <c r="AM1" s="1478"/>
      <c r="AN1" s="1478"/>
      <c r="AO1" s="1478"/>
      <c r="AP1" s="1478"/>
      <c r="AQ1" s="1478"/>
      <c r="AR1" s="1478"/>
      <c r="AS1" s="1478"/>
      <c r="AT1" s="1478"/>
      <c r="AU1" s="1478"/>
      <c r="AV1" s="1478"/>
      <c r="AW1" s="1478"/>
      <c r="AX1" s="1479"/>
    </row>
    <row r="2" spans="1:50" ht="18.75" customHeight="1" x14ac:dyDescent="0.2">
      <c r="A2" s="1490"/>
      <c r="B2" s="1490"/>
      <c r="C2" s="1490"/>
      <c r="D2" s="1490"/>
      <c r="E2" s="1487" t="s">
        <v>1196</v>
      </c>
      <c r="F2" s="1491" t="s">
        <v>550</v>
      </c>
      <c r="G2" s="1491"/>
      <c r="H2" s="1491" t="s">
        <v>964</v>
      </c>
      <c r="I2" s="1491"/>
      <c r="J2" s="1491"/>
      <c r="K2" s="1491" t="s">
        <v>961</v>
      </c>
      <c r="L2" s="1491"/>
      <c r="M2" s="1491"/>
      <c r="N2" s="1491" t="s">
        <v>962</v>
      </c>
      <c r="O2" s="1491"/>
      <c r="P2" s="1491"/>
      <c r="Q2" s="1491" t="s">
        <v>963</v>
      </c>
      <c r="R2" s="1491"/>
      <c r="S2" s="1491"/>
      <c r="T2" s="1492" t="s">
        <v>1271</v>
      </c>
      <c r="U2" s="1487" t="s">
        <v>432</v>
      </c>
      <c r="V2" s="1415" t="s">
        <v>228</v>
      </c>
      <c r="W2" s="1415"/>
      <c r="X2" s="1415"/>
      <c r="Y2" s="1487" t="s">
        <v>433</v>
      </c>
      <c r="Z2" s="1487" t="s">
        <v>1004</v>
      </c>
      <c r="AA2" s="1487" t="s">
        <v>434</v>
      </c>
      <c r="AB2" s="1415" t="s">
        <v>1431</v>
      </c>
      <c r="AC2" s="1410" t="s">
        <v>1394</v>
      </c>
      <c r="AD2" s="1487" t="s">
        <v>970</v>
      </c>
      <c r="AE2" s="1487" t="s">
        <v>268</v>
      </c>
      <c r="AF2" s="1487" t="s">
        <v>269</v>
      </c>
      <c r="AG2" s="1487" t="s">
        <v>231</v>
      </c>
      <c r="AH2" s="1488" t="s">
        <v>1395</v>
      </c>
      <c r="AI2" s="1487" t="s">
        <v>971</v>
      </c>
      <c r="AJ2" s="1486" t="s">
        <v>1435</v>
      </c>
      <c r="AK2" s="1486" t="s">
        <v>323</v>
      </c>
      <c r="AL2" s="1473" t="s">
        <v>228</v>
      </c>
      <c r="AM2" s="1473"/>
      <c r="AN2" s="1473"/>
      <c r="AO2" s="1473"/>
      <c r="AP2" s="1473"/>
      <c r="AQ2" s="1486" t="s">
        <v>414</v>
      </c>
      <c r="AR2" s="1486" t="s">
        <v>1005</v>
      </c>
      <c r="AS2" s="1486" t="s">
        <v>415</v>
      </c>
      <c r="AT2" s="1415" t="s">
        <v>1431</v>
      </c>
      <c r="AU2" s="1486" t="s">
        <v>416</v>
      </c>
      <c r="AV2" s="1486" t="s">
        <v>290</v>
      </c>
      <c r="AW2" s="1486" t="s">
        <v>269</v>
      </c>
      <c r="AX2" s="1486" t="s">
        <v>319</v>
      </c>
    </row>
    <row r="3" spans="1:50" ht="99.75" customHeight="1" x14ac:dyDescent="0.2">
      <c r="A3" s="1490"/>
      <c r="B3" s="1490"/>
      <c r="C3" s="1490"/>
      <c r="D3" s="1490"/>
      <c r="E3" s="1487"/>
      <c r="F3" s="758" t="s">
        <v>392</v>
      </c>
      <c r="G3" s="758" t="s">
        <v>553</v>
      </c>
      <c r="H3" s="758" t="s">
        <v>1197</v>
      </c>
      <c r="I3" s="758" t="s">
        <v>392</v>
      </c>
      <c r="J3" s="758" t="s">
        <v>320</v>
      </c>
      <c r="K3" s="758" t="s">
        <v>1198</v>
      </c>
      <c r="L3" s="758" t="s">
        <v>392</v>
      </c>
      <c r="M3" s="758" t="s">
        <v>320</v>
      </c>
      <c r="N3" s="758" t="s">
        <v>1199</v>
      </c>
      <c r="O3" s="758" t="s">
        <v>407</v>
      </c>
      <c r="P3" s="758" t="s">
        <v>320</v>
      </c>
      <c r="Q3" s="758" t="s">
        <v>1199</v>
      </c>
      <c r="R3" s="758" t="s">
        <v>407</v>
      </c>
      <c r="S3" s="758" t="s">
        <v>320</v>
      </c>
      <c r="T3" s="1492"/>
      <c r="U3" s="1487"/>
      <c r="V3" s="659" t="s">
        <v>1186</v>
      </c>
      <c r="W3" s="659" t="s">
        <v>1187</v>
      </c>
      <c r="X3" s="659" t="s">
        <v>230</v>
      </c>
      <c r="Y3" s="1487"/>
      <c r="Z3" s="1487"/>
      <c r="AA3" s="1487"/>
      <c r="AB3" s="1415"/>
      <c r="AC3" s="1411"/>
      <c r="AD3" s="1487"/>
      <c r="AE3" s="1487"/>
      <c r="AF3" s="1487"/>
      <c r="AG3" s="1487"/>
      <c r="AH3" s="1488"/>
      <c r="AI3" s="1487"/>
      <c r="AJ3" s="1486"/>
      <c r="AK3" s="1486"/>
      <c r="AL3" s="659" t="s">
        <v>1202</v>
      </c>
      <c r="AM3" s="659" t="s">
        <v>1203</v>
      </c>
      <c r="AN3" s="659" t="s">
        <v>1204</v>
      </c>
      <c r="AO3" s="659" t="s">
        <v>1205</v>
      </c>
      <c r="AP3" s="659" t="s">
        <v>230</v>
      </c>
      <c r="AQ3" s="1486"/>
      <c r="AR3" s="1486"/>
      <c r="AS3" s="1486"/>
      <c r="AT3" s="1415"/>
      <c r="AU3" s="1486"/>
      <c r="AV3" s="1486"/>
      <c r="AW3" s="1486"/>
      <c r="AX3" s="1486"/>
    </row>
    <row r="4" spans="1:50" ht="14.25" customHeight="1" x14ac:dyDescent="0.2">
      <c r="A4" s="764"/>
      <c r="B4" s="765"/>
      <c r="C4" s="765"/>
      <c r="D4" s="762"/>
      <c r="E4" s="759">
        <v>1</v>
      </c>
      <c r="F4" s="759">
        <f t="shared" ref="F4:AB4" si="0">E4+1</f>
        <v>2</v>
      </c>
      <c r="G4" s="759">
        <f t="shared" si="0"/>
        <v>3</v>
      </c>
      <c r="H4" s="759">
        <f t="shared" si="0"/>
        <v>4</v>
      </c>
      <c r="I4" s="759">
        <f t="shared" si="0"/>
        <v>5</v>
      </c>
      <c r="J4" s="759">
        <f t="shared" si="0"/>
        <v>6</v>
      </c>
      <c r="K4" s="759">
        <f t="shared" si="0"/>
        <v>7</v>
      </c>
      <c r="L4" s="759">
        <f t="shared" si="0"/>
        <v>8</v>
      </c>
      <c r="M4" s="759">
        <f t="shared" si="0"/>
        <v>9</v>
      </c>
      <c r="N4" s="759">
        <f t="shared" si="0"/>
        <v>10</v>
      </c>
      <c r="O4" s="759">
        <f t="shared" si="0"/>
        <v>11</v>
      </c>
      <c r="P4" s="759">
        <f t="shared" si="0"/>
        <v>12</v>
      </c>
      <c r="Q4" s="759">
        <f t="shared" si="0"/>
        <v>13</v>
      </c>
      <c r="R4" s="759">
        <f t="shared" si="0"/>
        <v>14</v>
      </c>
      <c r="S4" s="759">
        <f t="shared" si="0"/>
        <v>15</v>
      </c>
      <c r="T4" s="873" t="s">
        <v>1316</v>
      </c>
      <c r="U4" s="759">
        <f>S4+1</f>
        <v>16</v>
      </c>
      <c r="V4" s="759">
        <f t="shared" si="0"/>
        <v>17</v>
      </c>
      <c r="W4" s="759">
        <f t="shared" si="0"/>
        <v>18</v>
      </c>
      <c r="X4" s="759">
        <f t="shared" si="0"/>
        <v>19</v>
      </c>
      <c r="Y4" s="759">
        <f t="shared" si="0"/>
        <v>20</v>
      </c>
      <c r="Z4" s="759">
        <f t="shared" si="0"/>
        <v>21</v>
      </c>
      <c r="AA4" s="759">
        <f t="shared" si="0"/>
        <v>22</v>
      </c>
      <c r="AB4" s="759">
        <f t="shared" si="0"/>
        <v>23</v>
      </c>
      <c r="AC4" s="759" t="s">
        <v>852</v>
      </c>
      <c r="AD4" s="759">
        <v>24</v>
      </c>
      <c r="AE4" s="759">
        <f>AD4+1</f>
        <v>25</v>
      </c>
      <c r="AF4" s="759">
        <f>AE4+1</f>
        <v>26</v>
      </c>
      <c r="AG4" s="759">
        <f>AF4+1</f>
        <v>27</v>
      </c>
      <c r="AH4" s="759" t="s">
        <v>853</v>
      </c>
      <c r="AI4" s="759">
        <v>28</v>
      </c>
      <c r="AJ4" s="759">
        <f t="shared" ref="AJ4:AX4" si="1">AI4+1</f>
        <v>29</v>
      </c>
      <c r="AK4" s="759">
        <f t="shared" si="1"/>
        <v>30</v>
      </c>
      <c r="AL4" s="759">
        <f t="shared" si="1"/>
        <v>31</v>
      </c>
      <c r="AM4" s="759">
        <f t="shared" si="1"/>
        <v>32</v>
      </c>
      <c r="AN4" s="759">
        <f t="shared" si="1"/>
        <v>33</v>
      </c>
      <c r="AO4" s="759">
        <f t="shared" si="1"/>
        <v>34</v>
      </c>
      <c r="AP4" s="759">
        <f t="shared" si="1"/>
        <v>35</v>
      </c>
      <c r="AQ4" s="759">
        <f t="shared" si="1"/>
        <v>36</v>
      </c>
      <c r="AR4" s="759">
        <f t="shared" si="1"/>
        <v>37</v>
      </c>
      <c r="AS4" s="759">
        <f t="shared" si="1"/>
        <v>38</v>
      </c>
      <c r="AT4" s="759">
        <f t="shared" si="1"/>
        <v>39</v>
      </c>
      <c r="AU4" s="759">
        <f t="shared" si="1"/>
        <v>40</v>
      </c>
      <c r="AV4" s="759">
        <f t="shared" si="1"/>
        <v>41</v>
      </c>
      <c r="AW4" s="759">
        <f t="shared" si="1"/>
        <v>42</v>
      </c>
      <c r="AX4" s="759">
        <f t="shared" si="1"/>
        <v>43</v>
      </c>
    </row>
    <row r="5" spans="1:50" s="495" customFormat="1" ht="35.25" customHeight="1" x14ac:dyDescent="0.2">
      <c r="A5" s="766"/>
      <c r="B5" s="767"/>
      <c r="C5" s="767" t="s">
        <v>1175</v>
      </c>
      <c r="D5" s="778"/>
      <c r="E5" s="760" t="s">
        <v>813</v>
      </c>
      <c r="F5" s="599" t="s">
        <v>858</v>
      </c>
      <c r="G5" s="599" t="s">
        <v>814</v>
      </c>
      <c r="H5" s="760" t="s">
        <v>960</v>
      </c>
      <c r="I5" s="760" t="s">
        <v>823</v>
      </c>
      <c r="J5" s="760" t="s">
        <v>859</v>
      </c>
      <c r="K5" s="760" t="s">
        <v>959</v>
      </c>
      <c r="L5" s="760" t="s">
        <v>825</v>
      </c>
      <c r="M5" s="760" t="s">
        <v>860</v>
      </c>
      <c r="N5" s="760" t="s">
        <v>957</v>
      </c>
      <c r="O5" s="760" t="s">
        <v>827</v>
      </c>
      <c r="P5" s="760" t="s">
        <v>861</v>
      </c>
      <c r="Q5" s="760" t="s">
        <v>958</v>
      </c>
      <c r="R5" s="760" t="s">
        <v>829</v>
      </c>
      <c r="S5" s="760" t="s">
        <v>862</v>
      </c>
      <c r="T5" s="871" t="s">
        <v>1272</v>
      </c>
      <c r="U5" s="760" t="s">
        <v>1317</v>
      </c>
      <c r="V5" s="760" t="s">
        <v>951</v>
      </c>
      <c r="W5" s="760" t="s">
        <v>952</v>
      </c>
      <c r="X5" s="760" t="s">
        <v>863</v>
      </c>
      <c r="Y5" s="760" t="s">
        <v>864</v>
      </c>
      <c r="Z5" s="760" t="s">
        <v>865</v>
      </c>
      <c r="AA5" s="760" t="s">
        <v>866</v>
      </c>
      <c r="AB5" s="760" t="s">
        <v>818</v>
      </c>
      <c r="AC5" s="760" t="s">
        <v>1128</v>
      </c>
      <c r="AD5" s="760" t="s">
        <v>999</v>
      </c>
      <c r="AE5" s="760" t="s">
        <v>1000</v>
      </c>
      <c r="AF5" s="760" t="s">
        <v>867</v>
      </c>
      <c r="AG5" s="760" t="s">
        <v>1001</v>
      </c>
      <c r="AH5" s="760" t="s">
        <v>1129</v>
      </c>
      <c r="AI5" s="760" t="s">
        <v>1002</v>
      </c>
      <c r="AJ5" s="760" t="s">
        <v>846</v>
      </c>
      <c r="AK5" s="760" t="s">
        <v>868</v>
      </c>
      <c r="AL5" s="760" t="s">
        <v>951</v>
      </c>
      <c r="AM5" s="760" t="s">
        <v>869</v>
      </c>
      <c r="AN5" s="760" t="s">
        <v>952</v>
      </c>
      <c r="AO5" s="760" t="s">
        <v>870</v>
      </c>
      <c r="AP5" s="760" t="s">
        <v>871</v>
      </c>
      <c r="AQ5" s="760" t="s">
        <v>872</v>
      </c>
      <c r="AR5" s="760" t="s">
        <v>873</v>
      </c>
      <c r="AS5" s="760" t="s">
        <v>874</v>
      </c>
      <c r="AT5" s="760" t="s">
        <v>818</v>
      </c>
      <c r="AU5" s="760" t="s">
        <v>850</v>
      </c>
      <c r="AV5" s="760" t="s">
        <v>995</v>
      </c>
      <c r="AW5" s="760" t="s">
        <v>851</v>
      </c>
      <c r="AX5" s="760" t="s">
        <v>1003</v>
      </c>
    </row>
    <row r="6" spans="1:50" s="495" customFormat="1" ht="11.25" hidden="1" customHeight="1" x14ac:dyDescent="0.2">
      <c r="A6" s="761"/>
      <c r="B6" s="761"/>
      <c r="C6" s="876"/>
      <c r="D6" s="763"/>
      <c r="E6" s="735" t="s">
        <v>603</v>
      </c>
      <c r="F6" s="735"/>
      <c r="G6" s="735" t="s">
        <v>603</v>
      </c>
      <c r="H6" s="735" t="s">
        <v>603</v>
      </c>
      <c r="I6" s="735"/>
      <c r="J6" s="735" t="s">
        <v>603</v>
      </c>
      <c r="K6" s="735" t="s">
        <v>603</v>
      </c>
      <c r="L6" s="735"/>
      <c r="M6" s="735" t="s">
        <v>603</v>
      </c>
      <c r="N6" s="735" t="s">
        <v>603</v>
      </c>
      <c r="O6" s="735"/>
      <c r="P6" s="735" t="s">
        <v>603</v>
      </c>
      <c r="Q6" s="735" t="s">
        <v>603</v>
      </c>
      <c r="R6" s="735"/>
      <c r="S6" s="735" t="s">
        <v>603</v>
      </c>
      <c r="T6" s="871"/>
      <c r="U6" s="735" t="s">
        <v>603</v>
      </c>
      <c r="V6" s="735" t="s">
        <v>603</v>
      </c>
      <c r="W6" s="735" t="s">
        <v>603</v>
      </c>
      <c r="X6" s="735" t="s">
        <v>603</v>
      </c>
      <c r="Y6" s="735" t="s">
        <v>603</v>
      </c>
      <c r="Z6" s="735" t="s">
        <v>603</v>
      </c>
      <c r="AA6" s="735" t="s">
        <v>603</v>
      </c>
      <c r="AB6" s="735" t="s">
        <v>603</v>
      </c>
      <c r="AC6" s="735" t="s">
        <v>603</v>
      </c>
      <c r="AD6" s="735" t="s">
        <v>603</v>
      </c>
      <c r="AE6" s="735" t="s">
        <v>603</v>
      </c>
      <c r="AF6" s="735" t="s">
        <v>603</v>
      </c>
      <c r="AG6" s="735" t="s">
        <v>603</v>
      </c>
      <c r="AH6" s="735" t="s">
        <v>603</v>
      </c>
      <c r="AI6" s="735" t="s">
        <v>603</v>
      </c>
      <c r="AJ6" s="735"/>
      <c r="AK6" s="735" t="s">
        <v>603</v>
      </c>
      <c r="AL6" s="735" t="s">
        <v>603</v>
      </c>
      <c r="AM6" s="735" t="s">
        <v>603</v>
      </c>
      <c r="AN6" s="735" t="s">
        <v>603</v>
      </c>
      <c r="AO6" s="735" t="s">
        <v>603</v>
      </c>
      <c r="AP6" s="735" t="s">
        <v>603</v>
      </c>
      <c r="AQ6" s="735" t="s">
        <v>603</v>
      </c>
      <c r="AR6" s="735" t="s">
        <v>603</v>
      </c>
      <c r="AS6" s="735" t="s">
        <v>603</v>
      </c>
      <c r="AT6" s="735" t="s">
        <v>603</v>
      </c>
      <c r="AU6" s="735" t="s">
        <v>603</v>
      </c>
      <c r="AV6" s="735" t="s">
        <v>603</v>
      </c>
      <c r="AW6" s="735" t="s">
        <v>603</v>
      </c>
      <c r="AX6" s="735" t="s">
        <v>603</v>
      </c>
    </row>
    <row r="7" spans="1:50" ht="15.75" customHeight="1" x14ac:dyDescent="0.2">
      <c r="A7" s="771">
        <v>341001</v>
      </c>
      <c r="B7" s="772">
        <v>341001</v>
      </c>
      <c r="C7" s="877">
        <v>4</v>
      </c>
      <c r="D7" s="773" t="s">
        <v>255</v>
      </c>
      <c r="E7" s="768">
        <f>'5C1B_DArbonne'!$C$84</f>
        <v>948</v>
      </c>
      <c r="F7" s="118"/>
      <c r="G7" s="119">
        <f>'5C1B_DArbonne'!$E$84</f>
        <v>4775739.2130460879</v>
      </c>
      <c r="H7" s="120">
        <f>'5C1B_DArbonne'!$F$84</f>
        <v>547</v>
      </c>
      <c r="I7" s="118"/>
      <c r="J7" s="119">
        <f>'5C1B_DArbonne'!$H$84</f>
        <v>367742.85124011541</v>
      </c>
      <c r="K7" s="120">
        <f>'5C1B_DArbonne'!$I$84</f>
        <v>367</v>
      </c>
      <c r="L7" s="118"/>
      <c r="M7" s="119">
        <f>'5C1B_DArbonne'!$K$84</f>
        <v>67389.610632470343</v>
      </c>
      <c r="N7" s="120">
        <f>'5C1B_DArbonne'!$L$84</f>
        <v>75</v>
      </c>
      <c r="O7" s="118"/>
      <c r="P7" s="119">
        <f>'5C1B_DArbonne'!$N$84</f>
        <v>339002.26313282689</v>
      </c>
      <c r="Q7" s="120">
        <f>'5C1B_DArbonne'!$O$84</f>
        <v>17</v>
      </c>
      <c r="R7" s="118"/>
      <c r="S7" s="119">
        <f>'5C1B_DArbonne'!$Q$84</f>
        <v>31449.788970107824</v>
      </c>
      <c r="T7" s="966">
        <f>'5C1B_DArbonne'!$R$77</f>
        <v>104643</v>
      </c>
      <c r="U7" s="121">
        <f>'5C1B_DArbonne'!$R$84</f>
        <v>5685967</v>
      </c>
      <c r="V7" s="118">
        <f>'5C1B_DArbonne'!$S$84</f>
        <v>260791</v>
      </c>
      <c r="W7" s="118">
        <f>'5C1B_DArbonne'!$T$84</f>
        <v>6757</v>
      </c>
      <c r="X7" s="122">
        <f>'5C1B_DArbonne'!$U$84</f>
        <v>267548</v>
      </c>
      <c r="Y7" s="121">
        <f>'5C1B_DArbonne'!$V$84</f>
        <v>5953515</v>
      </c>
      <c r="Z7" s="119">
        <f>'5C1B_DArbonne'!$W$84</f>
        <v>-14884</v>
      </c>
      <c r="AA7" s="121">
        <f>'5C1B_DArbonne'!$X$84</f>
        <v>5938631</v>
      </c>
      <c r="AB7" s="118">
        <f>'5C1B_DArbonne'!$Y$84</f>
        <v>0</v>
      </c>
      <c r="AC7" s="133">
        <f>('5C1B_DArbonne'!$Z$79+'5C1B_DArbonne'!$Z$83)</f>
        <v>23777</v>
      </c>
      <c r="AD7" s="121">
        <f>'5C1B_DArbonne'!$Z$84</f>
        <v>5962408</v>
      </c>
      <c r="AE7" s="118">
        <f>'5C1B_DArbonne'!$AA$84</f>
        <v>3793452</v>
      </c>
      <c r="AF7" s="118">
        <f>'5C1B_DArbonne'!$AB$84</f>
        <v>2168956</v>
      </c>
      <c r="AG7" s="121">
        <f>'5C1B_DArbonne'!$AC$84</f>
        <v>542241</v>
      </c>
      <c r="AH7" s="133">
        <f>('5C1B_DArbonne'!$AD$80+'5C1B_DArbonne'!$AD$81+'5C1B_DArbonne'!$AD$82)</f>
        <v>55671</v>
      </c>
      <c r="AI7" s="123">
        <f>'5C1B_DArbonne'!$AD$84</f>
        <v>6018079</v>
      </c>
      <c r="AJ7" s="124"/>
      <c r="AK7" s="125">
        <f>'5C1B_DArbonne'!$AF$84</f>
        <v>4108287</v>
      </c>
      <c r="AL7" s="117">
        <f>'5C1B_DArbonne'!$AG$84</f>
        <v>29</v>
      </c>
      <c r="AM7" s="124">
        <f>'5C1B_DArbonne'!$AH$84</f>
        <v>124365</v>
      </c>
      <c r="AN7" s="117">
        <f>'5C1B_DArbonne'!$AI$84</f>
        <v>-4</v>
      </c>
      <c r="AO7" s="126">
        <f>'5C1B_DArbonne'!$AJ$84</f>
        <v>-7257</v>
      </c>
      <c r="AP7" s="127">
        <f>'5C1B_DArbonne'!$AK$84</f>
        <v>117108</v>
      </c>
      <c r="AQ7" s="125">
        <f>'5C1B_DArbonne'!$AL$84</f>
        <v>4225395</v>
      </c>
      <c r="AR7" s="128">
        <f>'5C1B_DArbonne'!$AM$84</f>
        <v>-10563</v>
      </c>
      <c r="AS7" s="125">
        <f>'5C1B_DArbonne'!$AN$84</f>
        <v>4214832</v>
      </c>
      <c r="AT7" s="126">
        <f>'5C1B_DArbonne'!$AO$84</f>
        <v>0</v>
      </c>
      <c r="AU7" s="125">
        <f>'5C1B_DArbonne'!$AP$84</f>
        <v>4214832</v>
      </c>
      <c r="AV7" s="126">
        <f>'5C1B_DArbonne'!$AQ$84</f>
        <v>2822574</v>
      </c>
      <c r="AW7" s="126">
        <f>'5C1B_DArbonne'!$AR$84</f>
        <v>1392258</v>
      </c>
      <c r="AX7" s="125">
        <f>'5C1B_DArbonne'!$AS$84</f>
        <v>348065</v>
      </c>
    </row>
    <row r="8" spans="1:50" ht="15.75" customHeight="1" x14ac:dyDescent="0.2">
      <c r="A8" s="130">
        <v>343001</v>
      </c>
      <c r="B8" s="258">
        <v>343001</v>
      </c>
      <c r="C8" s="878">
        <v>3</v>
      </c>
      <c r="D8" s="774" t="s">
        <v>352</v>
      </c>
      <c r="E8" s="769">
        <f>'5C1A_Madison'!$C$84</f>
        <v>552</v>
      </c>
      <c r="F8" s="136"/>
      <c r="G8" s="137">
        <f>'5C1A_Madison'!$E$84</f>
        <v>1956628.1800786376</v>
      </c>
      <c r="H8" s="138">
        <f>'5C1A_Madison'!$F$84</f>
        <v>398</v>
      </c>
      <c r="I8" s="136"/>
      <c r="J8" s="137">
        <f>'5C1A_Madison'!$H$84</f>
        <v>178628.86185173522</v>
      </c>
      <c r="K8" s="138">
        <f>'5C1A_Madison'!$I$84</f>
        <v>694</v>
      </c>
      <c r="L8" s="136"/>
      <c r="M8" s="137">
        <f>'5C1A_Madison'!$K$84</f>
        <v>84714.248108869346</v>
      </c>
      <c r="N8" s="138">
        <f>'5C1A_Madison'!$L$84</f>
        <v>35</v>
      </c>
      <c r="O8" s="136"/>
      <c r="P8" s="137">
        <f>'5C1A_Madison'!$N$84</f>
        <v>105779.87263546005</v>
      </c>
      <c r="Q8" s="138">
        <f>'5C1A_Madison'!$O$84</f>
        <v>0</v>
      </c>
      <c r="R8" s="136"/>
      <c r="S8" s="137">
        <f>'5C1A_Madison'!$Q$84</f>
        <v>0</v>
      </c>
      <c r="T8" s="967">
        <f>'5C1A_Madison'!$R$77</f>
        <v>57714</v>
      </c>
      <c r="U8" s="139">
        <f>'5C1A_Madison'!$R$84</f>
        <v>2383465</v>
      </c>
      <c r="V8" s="136">
        <f>'5C1A_Madison'!$S$84</f>
        <v>62625</v>
      </c>
      <c r="W8" s="136">
        <f>'5C1A_Madison'!$T$84</f>
        <v>9472</v>
      </c>
      <c r="X8" s="140">
        <f>'5C1A_Madison'!$U$84</f>
        <v>72097</v>
      </c>
      <c r="Y8" s="139">
        <f>'5C1A_Madison'!$V$84</f>
        <v>2455562</v>
      </c>
      <c r="Z8" s="137">
        <f>'5C1A_Madison'!$W$84</f>
        <v>-6138</v>
      </c>
      <c r="AA8" s="139">
        <f>'5C1A_Madison'!$X$84</f>
        <v>2449424</v>
      </c>
      <c r="AB8" s="136">
        <f>'5C1A_Madison'!$Y$84</f>
        <v>0</v>
      </c>
      <c r="AC8" s="141">
        <f>('5C1A_Madison'!$Z$79+'5C1A_Madison'!$Z$83)</f>
        <v>32568</v>
      </c>
      <c r="AD8" s="139">
        <f>'5C1A_Madison'!$Z$84</f>
        <v>2481992</v>
      </c>
      <c r="AE8" s="136">
        <f>'5C1A_Madison'!$AA$84</f>
        <v>1605454</v>
      </c>
      <c r="AF8" s="136">
        <f>'5C1A_Madison'!$AB$84</f>
        <v>876538</v>
      </c>
      <c r="AG8" s="139">
        <f>'5C1A_Madison'!$AC$84</f>
        <v>219135</v>
      </c>
      <c r="AH8" s="141">
        <f>('5C1A_Madison'!$AD$80+'5C1A_Madison'!$AD$81+'5C1A_Madison'!$AD$82)</f>
        <v>79530</v>
      </c>
      <c r="AI8" s="142">
        <f>'5C1A_Madison'!$AD$84</f>
        <v>2561522</v>
      </c>
      <c r="AJ8" s="143"/>
      <c r="AK8" s="144">
        <f>'5C1A_Madison'!$AF$84</f>
        <v>4062761</v>
      </c>
      <c r="AL8" s="135">
        <f>'5C1A_Madison'!$AG$84</f>
        <v>18</v>
      </c>
      <c r="AM8" s="143">
        <f>'5C1A_Madison'!$AH$84</f>
        <v>152767</v>
      </c>
      <c r="AN8" s="135">
        <f>'5C1A_Madison'!$AI$84</f>
        <v>-1</v>
      </c>
      <c r="AO8" s="145">
        <f>'5C1A_Madison'!$AJ$84</f>
        <v>-17435</v>
      </c>
      <c r="AP8" s="146">
        <f>'5C1A_Madison'!$AK$84</f>
        <v>135332</v>
      </c>
      <c r="AQ8" s="144">
        <f>'5C1A_Madison'!$AL$84</f>
        <v>4198093</v>
      </c>
      <c r="AR8" s="147">
        <f>'5C1A_Madison'!$AM$84</f>
        <v>-10496</v>
      </c>
      <c r="AS8" s="144">
        <f>'5C1A_Madison'!$AN$84</f>
        <v>4187597</v>
      </c>
      <c r="AT8" s="145">
        <f>'5C1A_Madison'!$AO$84</f>
        <v>0</v>
      </c>
      <c r="AU8" s="144">
        <f>'5C1A_Madison'!$AP$84</f>
        <v>4187597</v>
      </c>
      <c r="AV8" s="145">
        <f>'5C1A_Madison'!$AQ$84</f>
        <v>2750698</v>
      </c>
      <c r="AW8" s="145">
        <f>'5C1A_Madison'!$AR$84</f>
        <v>1436899</v>
      </c>
      <c r="AX8" s="144">
        <f>'5C1A_Madison'!$AS$84</f>
        <v>359227</v>
      </c>
    </row>
    <row r="9" spans="1:50" ht="15.75" customHeight="1" x14ac:dyDescent="0.2">
      <c r="A9" s="130">
        <v>344001</v>
      </c>
      <c r="B9" s="258">
        <v>344001</v>
      </c>
      <c r="C9" s="878">
        <v>5</v>
      </c>
      <c r="D9" s="774" t="s">
        <v>256</v>
      </c>
      <c r="E9" s="769">
        <f>'5C1C_Intl High'!$C$84</f>
        <v>508</v>
      </c>
      <c r="F9" s="136"/>
      <c r="G9" s="137">
        <f>'5C1C_Intl High'!$E$84</f>
        <v>1756632.3872650254</v>
      </c>
      <c r="H9" s="138">
        <f>'5C1C_Intl High'!$F$84</f>
        <v>408</v>
      </c>
      <c r="I9" s="136"/>
      <c r="J9" s="137">
        <f>'5C1C_Intl High'!$H$84</f>
        <v>190345.12113329451</v>
      </c>
      <c r="K9" s="138">
        <f>'5C1C_Intl High'!$I$84</f>
        <v>5</v>
      </c>
      <c r="L9" s="136"/>
      <c r="M9" s="137">
        <f>'5C1C_Intl High'!$K$84</f>
        <v>632.74215765193298</v>
      </c>
      <c r="N9" s="138">
        <f>'5C1C_Intl High'!$L$84</f>
        <v>49</v>
      </c>
      <c r="O9" s="136"/>
      <c r="P9" s="137">
        <f>'5C1C_Intl High'!$N$84</f>
        <v>156669.20186489369</v>
      </c>
      <c r="Q9" s="138">
        <f>'5C1C_Intl High'!$O$84</f>
        <v>0</v>
      </c>
      <c r="R9" s="136"/>
      <c r="S9" s="137">
        <f>'5C1C_Intl High'!$Q$84</f>
        <v>0</v>
      </c>
      <c r="T9" s="967">
        <f>'5C1C_Intl High'!$R$77</f>
        <v>70926</v>
      </c>
      <c r="U9" s="139">
        <f>'5C1C_Intl High'!$R$84</f>
        <v>2175205</v>
      </c>
      <c r="V9" s="136">
        <f>'5C1C_Intl High'!$S$84</f>
        <v>-230479</v>
      </c>
      <c r="W9" s="136">
        <f>'5C1C_Intl High'!$T$84</f>
        <v>-24375</v>
      </c>
      <c r="X9" s="140">
        <f>'5C1C_Intl High'!$U$84</f>
        <v>-254854</v>
      </c>
      <c r="Y9" s="139">
        <f>'5C1C_Intl High'!$V$84</f>
        <v>1920351</v>
      </c>
      <c r="Z9" s="137">
        <f>'5C1C_Intl High'!$W$84</f>
        <v>-4801</v>
      </c>
      <c r="AA9" s="139">
        <f>'5C1C_Intl High'!$X$84</f>
        <v>1915550</v>
      </c>
      <c r="AB9" s="136">
        <f>'5C1C_Intl High'!$Y$84</f>
        <v>0</v>
      </c>
      <c r="AC9" s="141">
        <f>('5C1C_Intl High'!$Z$79+'5C1C_Intl High'!$Z$83)</f>
        <v>29972</v>
      </c>
      <c r="AD9" s="139">
        <f>'5C1C_Intl High'!$Z$84</f>
        <v>1945522</v>
      </c>
      <c r="AE9" s="136">
        <f>'5C1C_Intl High'!$AA$84</f>
        <v>1389652</v>
      </c>
      <c r="AF9" s="136">
        <f>'5C1C_Intl High'!$AB$84</f>
        <v>555870</v>
      </c>
      <c r="AG9" s="139">
        <f>'5C1C_Intl High'!$AC$84</f>
        <v>138968</v>
      </c>
      <c r="AH9" s="141">
        <f>('5C1C_Intl High'!$AD$80+'5C1C_Intl High'!$AD$81+'5C1C_Intl High'!$AD$82)</f>
        <v>55836</v>
      </c>
      <c r="AI9" s="142">
        <f>'5C1C_Intl High'!$AD$84</f>
        <v>2001358</v>
      </c>
      <c r="AJ9" s="143"/>
      <c r="AK9" s="144">
        <f>'5C1C_Intl High'!$AF$84</f>
        <v>2870363</v>
      </c>
      <c r="AL9" s="135">
        <f>'5C1C_Intl High'!$AG$84</f>
        <v>-52</v>
      </c>
      <c r="AM9" s="143">
        <f>'5C1C_Intl High'!$AH$84</f>
        <v>-298741</v>
      </c>
      <c r="AN9" s="135">
        <f>'5C1C_Intl High'!$AI$84</f>
        <v>-13</v>
      </c>
      <c r="AO9" s="145">
        <f>'5C1C_Intl High'!$AJ$84</f>
        <v>-35914</v>
      </c>
      <c r="AP9" s="146">
        <f>'5C1C_Intl High'!$AK$84</f>
        <v>-334655</v>
      </c>
      <c r="AQ9" s="144">
        <f>'5C1C_Intl High'!$AL$84</f>
        <v>2535708</v>
      </c>
      <c r="AR9" s="147">
        <f>'5C1C_Intl High'!$AM$84</f>
        <v>-6339</v>
      </c>
      <c r="AS9" s="144">
        <f>'5C1C_Intl High'!$AN$84</f>
        <v>2529369</v>
      </c>
      <c r="AT9" s="145">
        <f>'5C1C_Intl High'!$AO$84</f>
        <v>0</v>
      </c>
      <c r="AU9" s="144">
        <f>'5C1C_Intl High'!$AP$84</f>
        <v>2529369</v>
      </c>
      <c r="AV9" s="145">
        <f>'5C1C_Intl High'!$AQ$84</f>
        <v>1829598</v>
      </c>
      <c r="AW9" s="145">
        <f>'5C1C_Intl High'!$AR$84</f>
        <v>699771</v>
      </c>
      <c r="AX9" s="144">
        <f>'5C1C_Intl High'!$AS$84</f>
        <v>174944</v>
      </c>
    </row>
    <row r="10" spans="1:50" ht="15.75" customHeight="1" x14ac:dyDescent="0.2">
      <c r="A10" s="130">
        <v>345001</v>
      </c>
      <c r="B10" s="258">
        <v>345001</v>
      </c>
      <c r="C10" s="878">
        <v>45</v>
      </c>
      <c r="D10" s="774" t="s">
        <v>558</v>
      </c>
      <c r="E10" s="769">
        <f>'5C3_UnvView'!$C$84</f>
        <v>3000</v>
      </c>
      <c r="F10" s="136"/>
      <c r="G10" s="137">
        <f>'5C3_UnvView'!$E$84</f>
        <v>11886434.721594753</v>
      </c>
      <c r="H10" s="138">
        <f>'5C3_UnvView'!$F$84</f>
        <v>1825</v>
      </c>
      <c r="I10" s="136"/>
      <c r="J10" s="137">
        <f>'5C3_UnvView'!$H$84</f>
        <v>989551.81506361312</v>
      </c>
      <c r="K10" s="138">
        <f>'5C3_UnvView'!$I$84</f>
        <v>2006</v>
      </c>
      <c r="L10" s="136"/>
      <c r="M10" s="137">
        <f>'5C3_UnvView'!$K$84</f>
        <v>293131.29851602769</v>
      </c>
      <c r="N10" s="138">
        <f>'5C3_UnvView'!$L$84</f>
        <v>347</v>
      </c>
      <c r="O10" s="136"/>
      <c r="P10" s="137">
        <f>'5C3_UnvView'!$N$84</f>
        <v>1272616.6146992086</v>
      </c>
      <c r="Q10" s="138">
        <f>'5C3_UnvView'!$O$84</f>
        <v>118</v>
      </c>
      <c r="R10" s="136"/>
      <c r="S10" s="137">
        <f>'5C3_UnvView'!$Q$84</f>
        <v>169341.39447750925</v>
      </c>
      <c r="T10" s="967">
        <f>'5C3_UnvView'!$R$77</f>
        <v>313602</v>
      </c>
      <c r="U10" s="139">
        <f>'5C3_UnvView'!$R$84</f>
        <v>14924676</v>
      </c>
      <c r="V10" s="136">
        <f>'5C3_UnvView'!$T$84</f>
        <v>1076501</v>
      </c>
      <c r="W10" s="136">
        <f>'5C3_UnvView'!$U$84</f>
        <v>109060</v>
      </c>
      <c r="X10" s="140">
        <f>'5C3_UnvView'!$V$84</f>
        <v>1185561</v>
      </c>
      <c r="Y10" s="139">
        <f>'5C3_UnvView'!$W$84</f>
        <v>16110237</v>
      </c>
      <c r="Z10" s="137">
        <f>'5C3_UnvView'!$X$84</f>
        <v>-40278</v>
      </c>
      <c r="AA10" s="139">
        <f>'5C3_UnvView'!$Y$84</f>
        <v>16069959</v>
      </c>
      <c r="AB10" s="136">
        <f>'5C3_UnvView'!$Z$84</f>
        <v>-244830</v>
      </c>
      <c r="AC10" s="141">
        <f>('5C3_UnvView'!$AA$79+'5C3_UnvView'!$AA$83)</f>
        <v>115581</v>
      </c>
      <c r="AD10" s="139">
        <f>'5C3_UnvView'!$AA$84</f>
        <v>15940710</v>
      </c>
      <c r="AE10" s="136">
        <f>'5C3_UnvView'!$AB$84</f>
        <v>9816596</v>
      </c>
      <c r="AF10" s="136">
        <f>'5C3_UnvView'!$AC$84</f>
        <v>6124114</v>
      </c>
      <c r="AG10" s="139">
        <f>'5C3_UnvView'!$AD$84</f>
        <v>1531041</v>
      </c>
      <c r="AH10" s="141">
        <f>'5C3_UnvView'!$AE$80+'5C3_UnvView'!$AE$81+'5C3_UnvView'!$AE$82</f>
        <v>58322</v>
      </c>
      <c r="AI10" s="142">
        <f>'5C3_UnvView'!$AE$84</f>
        <v>15999032</v>
      </c>
      <c r="AJ10" s="143"/>
      <c r="AK10" s="144">
        <f>'5C3_UnvView'!$AG$84</f>
        <v>13379343</v>
      </c>
      <c r="AL10" s="135">
        <f>'5C3_UnvView'!$AH$84</f>
        <v>191</v>
      </c>
      <c r="AM10" s="143">
        <f>'5C3_UnvView'!$AI$84</f>
        <v>757996</v>
      </c>
      <c r="AN10" s="135">
        <f>'5C3_UnvView'!$AJ$84</f>
        <v>36</v>
      </c>
      <c r="AO10" s="145">
        <f>'5C3_UnvView'!$AK$84</f>
        <v>85405</v>
      </c>
      <c r="AP10" s="146">
        <f>'5C3_UnvView'!$AL$84</f>
        <v>843401</v>
      </c>
      <c r="AQ10" s="144">
        <f>'5C3_UnvView'!$AM$84</f>
        <v>14222744</v>
      </c>
      <c r="AR10" s="147">
        <f>'5C3_UnvView'!$AN$84</f>
        <v>-35554</v>
      </c>
      <c r="AS10" s="144">
        <f>'5C3_UnvView'!$AO$84</f>
        <v>14187190</v>
      </c>
      <c r="AT10" s="145">
        <f>'5C3_UnvView'!$AP$84</f>
        <v>-300898</v>
      </c>
      <c r="AU10" s="144">
        <f>'5C3_UnvView'!$AQ$84</f>
        <v>13886292</v>
      </c>
      <c r="AV10" s="145">
        <f>'5C3_UnvView'!$AR$84</f>
        <v>8646654</v>
      </c>
      <c r="AW10" s="145">
        <f>'5C3_UnvView'!$AS$84</f>
        <v>5239638</v>
      </c>
      <c r="AX10" s="144">
        <f>'5C3_UnvView'!$AT$84</f>
        <v>1309918</v>
      </c>
    </row>
    <row r="11" spans="1:50" ht="15.75" customHeight="1" x14ac:dyDescent="0.2">
      <c r="A11" s="775">
        <v>346001</v>
      </c>
      <c r="B11" s="776">
        <v>346001</v>
      </c>
      <c r="C11" s="879">
        <v>8</v>
      </c>
      <c r="D11" s="777" t="s">
        <v>257</v>
      </c>
      <c r="E11" s="770">
        <f>'5C1F_L.C. Charter'!$C$84</f>
        <v>920</v>
      </c>
      <c r="F11" s="150"/>
      <c r="G11" s="151">
        <f>'5C1F_L.C. Charter'!$E$84</f>
        <v>2952116.5516042705</v>
      </c>
      <c r="H11" s="152">
        <f>'5C1F_L.C. Charter'!$F$84</f>
        <v>919</v>
      </c>
      <c r="I11" s="150"/>
      <c r="J11" s="151">
        <f>'5C1F_L.C. Charter'!$H$84</f>
        <v>422709.72232945799</v>
      </c>
      <c r="K11" s="152">
        <f>'5C1F_L.C. Charter'!$I$84</f>
        <v>23</v>
      </c>
      <c r="L11" s="150"/>
      <c r="M11" s="151">
        <f>'5C1F_L.C. Charter'!$K$84</f>
        <v>2942.044103404864</v>
      </c>
      <c r="N11" s="152">
        <f>'5C1F_L.C. Charter'!$L$84</f>
        <v>112</v>
      </c>
      <c r="O11" s="150"/>
      <c r="P11" s="151">
        <f>'5C1F_L.C. Charter'!$N$84</f>
        <v>352159.83983816934</v>
      </c>
      <c r="Q11" s="152">
        <f>'5C1F_L.C. Charter'!$O$84</f>
        <v>16</v>
      </c>
      <c r="R11" s="150"/>
      <c r="S11" s="151">
        <f>'5C1F_L.C. Charter'!$Q$84</f>
        <v>20026.43768508931</v>
      </c>
      <c r="T11" s="968">
        <f>'5C1F_L.C. Charter'!$R$77</f>
        <v>99160</v>
      </c>
      <c r="U11" s="153">
        <f>'5C1F_L.C. Charter'!$R$84</f>
        <v>3849115</v>
      </c>
      <c r="V11" s="150">
        <f>'5C1F_L.C. Charter'!$S$84</f>
        <v>63835</v>
      </c>
      <c r="W11" s="150">
        <f>'5C1F_L.C. Charter'!$T$84</f>
        <v>-51549</v>
      </c>
      <c r="X11" s="154">
        <f>'5C1F_L.C. Charter'!$U$84</f>
        <v>12286</v>
      </c>
      <c r="Y11" s="153">
        <f>'5C1F_L.C. Charter'!$V$84</f>
        <v>3861401</v>
      </c>
      <c r="Z11" s="151">
        <f>'5C1F_L.C. Charter'!$W$84</f>
        <v>-9654</v>
      </c>
      <c r="AA11" s="153">
        <f>'5C1F_L.C. Charter'!$X$84</f>
        <v>3851747</v>
      </c>
      <c r="AB11" s="150">
        <f>'5C1F_L.C. Charter'!$Y$84</f>
        <v>553</v>
      </c>
      <c r="AC11" s="155">
        <f>('5C1F_L.C. Charter'!$Z$79+'5C1F_L.C. Charter'!$Z$83)</f>
        <v>12154</v>
      </c>
      <c r="AD11" s="153">
        <f>'5C1F_L.C. Charter'!$Z$84</f>
        <v>3864454</v>
      </c>
      <c r="AE11" s="156">
        <f>'5C1F_L.C. Charter'!$AA$84</f>
        <v>2568990</v>
      </c>
      <c r="AF11" s="150">
        <f>'5C1F_L.C. Charter'!$AB$84</f>
        <v>1295464</v>
      </c>
      <c r="AG11" s="157">
        <f>'5C1F_L.C. Charter'!$AC$84</f>
        <v>323867</v>
      </c>
      <c r="AH11" s="155">
        <f>('5C1F_L.C. Charter'!$AD$80+'5C1F_L.C. Charter'!$AD$81+'5C1F_L.C. Charter'!$AD$82)</f>
        <v>0</v>
      </c>
      <c r="AI11" s="157">
        <f>'5C1F_L.C. Charter'!$AD$84</f>
        <v>3864454</v>
      </c>
      <c r="AJ11" s="158"/>
      <c r="AK11" s="159">
        <f>'5C1F_L.C. Charter'!$AF$84</f>
        <v>6658619</v>
      </c>
      <c r="AL11" s="149">
        <f>'5C1F_L.C. Charter'!$AG$84</f>
        <v>21</v>
      </c>
      <c r="AM11" s="158">
        <f>'5C1F_L.C. Charter'!$AH$84</f>
        <v>149557</v>
      </c>
      <c r="AN11" s="149">
        <f>'5C1F_L.C. Charter'!$AI$84</f>
        <v>-24</v>
      </c>
      <c r="AO11" s="160">
        <f>'5C1F_L.C. Charter'!$AJ$84</f>
        <v>-87060</v>
      </c>
      <c r="AP11" s="161">
        <f>'5C1F_L.C. Charter'!$AK$84</f>
        <v>62497</v>
      </c>
      <c r="AQ11" s="159">
        <f>'5C1F_L.C. Charter'!$AL$84</f>
        <v>6721116</v>
      </c>
      <c r="AR11" s="162">
        <f>'5C1F_L.C. Charter'!$AM$84</f>
        <v>-16803</v>
      </c>
      <c r="AS11" s="159">
        <f>'5C1F_L.C. Charter'!$AN$84</f>
        <v>6704313</v>
      </c>
      <c r="AT11" s="160">
        <f>'5C1F_L.C. Charter'!$AO$84</f>
        <v>-2893</v>
      </c>
      <c r="AU11" s="159">
        <f>'5C1F_L.C. Charter'!$AP$84</f>
        <v>6701420</v>
      </c>
      <c r="AV11" s="160">
        <f>'5C1F_L.C. Charter'!$AQ$84</f>
        <v>4295728</v>
      </c>
      <c r="AW11" s="160">
        <f>'5C1F_L.C. Charter'!$AR$84</f>
        <v>2405692</v>
      </c>
      <c r="AX11" s="159">
        <f>'5C1F_L.C. Charter'!$AS$84</f>
        <v>601423</v>
      </c>
    </row>
    <row r="12" spans="1:50" ht="15.75" customHeight="1" x14ac:dyDescent="0.2">
      <c r="A12" s="129">
        <v>347001</v>
      </c>
      <c r="B12" s="257">
        <v>347001</v>
      </c>
      <c r="C12" s="772">
        <v>7</v>
      </c>
      <c r="D12" s="116" t="s">
        <v>258</v>
      </c>
      <c r="E12" s="117">
        <f>'5C1E_LFNO'!$C$84</f>
        <v>852</v>
      </c>
      <c r="F12" s="118"/>
      <c r="G12" s="119">
        <f>'5C1E_LFNO'!$E$84</f>
        <v>2993602.4809321719</v>
      </c>
      <c r="H12" s="120">
        <f>'5C1E_LFNO'!$F$84</f>
        <v>382</v>
      </c>
      <c r="I12" s="118"/>
      <c r="J12" s="119">
        <f>'5C1E_LFNO'!$H$84</f>
        <v>179956.86714253365</v>
      </c>
      <c r="K12" s="120">
        <f>'5C1E_LFNO'!$I$84</f>
        <v>0</v>
      </c>
      <c r="L12" s="118"/>
      <c r="M12" s="119">
        <f>'5C1E_LFNO'!$K$84</f>
        <v>0</v>
      </c>
      <c r="N12" s="120">
        <f>'5C1E_LFNO'!$L$84</f>
        <v>82</v>
      </c>
      <c r="O12" s="118"/>
      <c r="P12" s="119">
        <f>'5C1E_LFNO'!$N$84</f>
        <v>262905.84755577729</v>
      </c>
      <c r="Q12" s="120">
        <f>'5C1E_LFNO'!$O$84</f>
        <v>93</v>
      </c>
      <c r="R12" s="118"/>
      <c r="S12" s="119">
        <f>'5C1E_LFNO'!$Q$84</f>
        <v>118036.94997617044</v>
      </c>
      <c r="T12" s="966">
        <f>'5C1E_LFNO'!$R$77</f>
        <v>152391</v>
      </c>
      <c r="U12" s="121">
        <f>'5C1E_LFNO'!$R$84</f>
        <v>3706894</v>
      </c>
      <c r="V12" s="118">
        <f>'5C1E_LFNO'!$S$84</f>
        <v>455040</v>
      </c>
      <c r="W12" s="118">
        <f>'5C1E_LFNO'!$T$84</f>
        <v>-9255</v>
      </c>
      <c r="X12" s="122">
        <f>'5C1E_LFNO'!$U$84</f>
        <v>445785</v>
      </c>
      <c r="Y12" s="121">
        <f>'5C1E_LFNO'!$V$84</f>
        <v>4152679</v>
      </c>
      <c r="Z12" s="119">
        <f>'5C1E_LFNO'!$W$84</f>
        <v>-10381</v>
      </c>
      <c r="AA12" s="121">
        <f>'5C1E_LFNO'!$X$84</f>
        <v>4142298</v>
      </c>
      <c r="AB12" s="118">
        <f>'5C1E_LFNO'!$Y$84</f>
        <v>0</v>
      </c>
      <c r="AC12" s="133">
        <f>('5C1E_LFNO'!$Z$79+'5C1E_LFNO'!$Z$83)</f>
        <v>760248</v>
      </c>
      <c r="AD12" s="121">
        <f>'5C1E_LFNO'!$Z$84</f>
        <v>4902546</v>
      </c>
      <c r="AE12" s="118">
        <f>'5C1E_LFNO'!$AA$84</f>
        <v>2965846</v>
      </c>
      <c r="AF12" s="118">
        <f>'5C1E_LFNO'!$AB$84</f>
        <v>1936700</v>
      </c>
      <c r="AG12" s="121">
        <f>'5C1E_LFNO'!$AC$84</f>
        <v>484176</v>
      </c>
      <c r="AH12" s="133">
        <f>('5C1E_LFNO'!$AD$80+'5C1E_LFNO'!$AD$81+'5C1E_LFNO'!$AD$82)</f>
        <v>217118</v>
      </c>
      <c r="AI12" s="123">
        <f>'5C1E_LFNO'!$AD$84</f>
        <v>5119664</v>
      </c>
      <c r="AJ12" s="124"/>
      <c r="AK12" s="125">
        <f>'5C1E_LFNO'!$AF$84</f>
        <v>5073855</v>
      </c>
      <c r="AL12" s="117">
        <f>'5C1E_LFNO'!$AG$84</f>
        <v>103</v>
      </c>
      <c r="AM12" s="124">
        <f>'5C1E_LFNO'!$AH$84</f>
        <v>602996</v>
      </c>
      <c r="AN12" s="117">
        <f>'5C1E_LFNO'!$AI$84</f>
        <v>-16</v>
      </c>
      <c r="AO12" s="126">
        <f>'5C1E_LFNO'!$AJ$84</f>
        <v>-48100</v>
      </c>
      <c r="AP12" s="127">
        <f>'5C1E_LFNO'!$AK$84</f>
        <v>554896</v>
      </c>
      <c r="AQ12" s="125">
        <f>'5C1E_LFNO'!$AL$84</f>
        <v>5628751</v>
      </c>
      <c r="AR12" s="128">
        <f>'5C1E_LFNO'!$AM$84</f>
        <v>-14070</v>
      </c>
      <c r="AS12" s="125">
        <f>'5C1E_LFNO'!$AN$84</f>
        <v>5614681</v>
      </c>
      <c r="AT12" s="126">
        <f>'5C1E_LFNO'!$AO$84</f>
        <v>-231826</v>
      </c>
      <c r="AU12" s="125">
        <f>'5C1E_LFNO'!$AP$84</f>
        <v>5382855</v>
      </c>
      <c r="AV12" s="126">
        <f>'5C1E_LFNO'!$AQ$84</f>
        <v>3308392</v>
      </c>
      <c r="AW12" s="126">
        <f>'5C1E_LFNO'!$AR$84</f>
        <v>2074463</v>
      </c>
      <c r="AX12" s="125">
        <f>'5C1E_LFNO'!$AS$84</f>
        <v>518617</v>
      </c>
    </row>
    <row r="13" spans="1:50" ht="15.75" customHeight="1" x14ac:dyDescent="0.2">
      <c r="A13" s="130">
        <v>348001</v>
      </c>
      <c r="B13" s="258">
        <v>348001</v>
      </c>
      <c r="C13" s="258">
        <v>6</v>
      </c>
      <c r="D13" s="134" t="s">
        <v>504</v>
      </c>
      <c r="E13" s="135">
        <f>'5C1D_NOMMA'!$C$84</f>
        <v>870</v>
      </c>
      <c r="F13" s="136"/>
      <c r="G13" s="137">
        <f>'5C1D_NOMMA'!$E$84</f>
        <v>3222899.0116888778</v>
      </c>
      <c r="H13" s="138">
        <f>'5C1D_NOMMA'!$F$84</f>
        <v>664</v>
      </c>
      <c r="I13" s="136"/>
      <c r="J13" s="137">
        <f>'5C1D_NOMMA'!$H$84</f>
        <v>315857.21962458099</v>
      </c>
      <c r="K13" s="138">
        <f>'5C1D_NOMMA'!$I$84</f>
        <v>1154</v>
      </c>
      <c r="L13" s="136"/>
      <c r="M13" s="137">
        <f>'5C1D_NOMMA'!$K$84</f>
        <v>149590.30203308439</v>
      </c>
      <c r="N13" s="138">
        <f>'5C1D_NOMMA'!$L$84</f>
        <v>68</v>
      </c>
      <c r="O13" s="136"/>
      <c r="P13" s="137">
        <f>'5C1D_NOMMA'!$N$84</f>
        <v>218661.7644833627</v>
      </c>
      <c r="Q13" s="138">
        <f>'5C1D_NOMMA'!$O$84</f>
        <v>0</v>
      </c>
      <c r="R13" s="136"/>
      <c r="S13" s="137">
        <f>'5C1D_NOMMA'!$Q$84</f>
        <v>0</v>
      </c>
      <c r="T13" s="967">
        <f>'5C1D_NOMMA'!$R$77</f>
        <v>111251</v>
      </c>
      <c r="U13" s="139">
        <f>'5C1D_NOMMA'!$R$84</f>
        <v>4018260</v>
      </c>
      <c r="V13" s="136">
        <f>'5C1D_NOMMA'!$S$84</f>
        <v>376432</v>
      </c>
      <c r="W13" s="136">
        <f>'5C1D_NOMMA'!$T$84</f>
        <v>45046</v>
      </c>
      <c r="X13" s="140">
        <f>'5C1D_NOMMA'!$U$84</f>
        <v>421478</v>
      </c>
      <c r="Y13" s="139">
        <f>'5C1D_NOMMA'!$V$84</f>
        <v>4439738</v>
      </c>
      <c r="Z13" s="137">
        <f>'5C1D_NOMMA'!$W$84</f>
        <v>-11098</v>
      </c>
      <c r="AA13" s="139">
        <f>'5C1D_NOMMA'!$X$84</f>
        <v>4428640</v>
      </c>
      <c r="AB13" s="136">
        <f>'5C1D_NOMMA'!$Y$84</f>
        <v>1571</v>
      </c>
      <c r="AC13" s="141">
        <f>('5C1D_NOMMA'!$Z$79+'5C1D_NOMMA'!$Z$83)</f>
        <v>51330</v>
      </c>
      <c r="AD13" s="139">
        <f>'5C1D_NOMMA'!$Z$84</f>
        <v>4481541</v>
      </c>
      <c r="AE13" s="136">
        <f>'5C1D_NOMMA'!$AA$84</f>
        <v>2864018</v>
      </c>
      <c r="AF13" s="136">
        <f>'5C1D_NOMMA'!$AB$84</f>
        <v>1617523</v>
      </c>
      <c r="AG13" s="139">
        <f>'5C1D_NOMMA'!$AC$84</f>
        <v>404381</v>
      </c>
      <c r="AH13" s="141">
        <f>('5C1D_NOMMA'!$AD$80+'5C1D_NOMMA'!$AD$81+'5C1D_NOMMA'!$AD$82)</f>
        <v>126914</v>
      </c>
      <c r="AI13" s="142">
        <f>'5C1D_NOMMA'!$AD$84</f>
        <v>4608455</v>
      </c>
      <c r="AJ13" s="143"/>
      <c r="AK13" s="144">
        <f>'5C1D_NOMMA'!$AF$84</f>
        <v>5047385</v>
      </c>
      <c r="AL13" s="135">
        <f>'5C1D_NOMMA'!$AG$84</f>
        <v>69</v>
      </c>
      <c r="AM13" s="143">
        <f>'5C1D_NOMMA'!$AH$84</f>
        <v>324776</v>
      </c>
      <c r="AN13" s="135">
        <f>'5C1D_NOMMA'!$AI$84</f>
        <v>18</v>
      </c>
      <c r="AO13" s="145">
        <f>'5C1D_NOMMA'!$AJ$84</f>
        <v>62915</v>
      </c>
      <c r="AP13" s="146">
        <f>'5C1D_NOMMA'!$AK$84</f>
        <v>387691</v>
      </c>
      <c r="AQ13" s="144">
        <f>'5C1D_NOMMA'!$AL$84</f>
        <v>5435076</v>
      </c>
      <c r="AR13" s="147">
        <f>'5C1D_NOMMA'!$AM$84</f>
        <v>-13587</v>
      </c>
      <c r="AS13" s="144">
        <f>'5C1D_NOMMA'!$AN$84</f>
        <v>5421489</v>
      </c>
      <c r="AT13" s="145">
        <f>'5C1D_NOMMA'!$AO$84</f>
        <v>0</v>
      </c>
      <c r="AU13" s="144">
        <f>'5C1D_NOMMA'!$AP$84</f>
        <v>5421489</v>
      </c>
      <c r="AV13" s="145">
        <f>'5C1D_NOMMA'!$AQ$84</f>
        <v>3551854</v>
      </c>
      <c r="AW13" s="145">
        <f>'5C1D_NOMMA'!$AR$84</f>
        <v>1869635</v>
      </c>
      <c r="AX13" s="144">
        <f>'5C1D_NOMMA'!$AS$84</f>
        <v>467410</v>
      </c>
    </row>
    <row r="14" spans="1:50" ht="15.75" customHeight="1" x14ac:dyDescent="0.2">
      <c r="A14" s="130" t="s">
        <v>695</v>
      </c>
      <c r="B14" s="258" t="s">
        <v>695</v>
      </c>
      <c r="C14" s="258">
        <v>31</v>
      </c>
      <c r="D14" s="134" t="s">
        <v>573</v>
      </c>
      <c r="E14" s="135">
        <f>'5C1AE_Noble Minds'!$C$84</f>
        <v>67</v>
      </c>
      <c r="F14" s="136"/>
      <c r="G14" s="137">
        <f>'5C1AE_Noble Minds'!$E$84</f>
        <v>232374.83292845555</v>
      </c>
      <c r="H14" s="138">
        <f>'5C1AE_Noble Minds'!$F$84</f>
        <v>54</v>
      </c>
      <c r="I14" s="136"/>
      <c r="J14" s="137">
        <f>'5C1AE_Noble Minds'!$H$84</f>
        <v>25336.597005490818</v>
      </c>
      <c r="K14" s="138">
        <f>'5C1AE_Noble Minds'!$I$84</f>
        <v>0</v>
      </c>
      <c r="L14" s="136"/>
      <c r="M14" s="137">
        <f>'5C1AE_Noble Minds'!$K$84</f>
        <v>0</v>
      </c>
      <c r="N14" s="138">
        <f>'5C1AE_Noble Minds'!$L$84</f>
        <v>10</v>
      </c>
      <c r="O14" s="136"/>
      <c r="P14" s="137">
        <f>'5C1AE_Noble Minds'!$N$84</f>
        <v>31767.992498219352</v>
      </c>
      <c r="Q14" s="138">
        <f>'5C1AE_Noble Minds'!$O$84</f>
        <v>0</v>
      </c>
      <c r="R14" s="136"/>
      <c r="S14" s="137">
        <f>'5C1AE_Noble Minds'!$Q$84</f>
        <v>0</v>
      </c>
      <c r="T14" s="967">
        <f>'5C1AE_Noble Minds'!$R$77</f>
        <v>11143</v>
      </c>
      <c r="U14" s="139">
        <f>'5C1AE_Noble Minds'!$R$84</f>
        <v>300622</v>
      </c>
      <c r="V14" s="136">
        <f>'5C1AE_Noble Minds'!$S$84</f>
        <v>128668</v>
      </c>
      <c r="W14" s="136">
        <f>'5C1AE_Noble Minds'!$T$84</f>
        <v>11973</v>
      </c>
      <c r="X14" s="140">
        <f>'5C1AE_Noble Minds'!$U$84</f>
        <v>140641</v>
      </c>
      <c r="Y14" s="139">
        <f>'5C1AE_Noble Minds'!$V$84</f>
        <v>441263</v>
      </c>
      <c r="Z14" s="137">
        <f>'5C1AE_Noble Minds'!$W$84</f>
        <v>-1104</v>
      </c>
      <c r="AA14" s="139">
        <f>'5C1AE_Noble Minds'!$X$84</f>
        <v>440159</v>
      </c>
      <c r="AB14" s="136">
        <f>'5C1AE_Noble Minds'!$Y$84</f>
        <v>0</v>
      </c>
      <c r="AC14" s="141">
        <f>'5C1AE_Noble Minds'!$Z$79+'5C1AE_Noble Minds'!$Z$83</f>
        <v>0</v>
      </c>
      <c r="AD14" s="139">
        <f>'5C1AE_Noble Minds'!$Z$84</f>
        <v>440159</v>
      </c>
      <c r="AE14" s="136">
        <f>'5C1AE_Noble Minds'!$AA$84</f>
        <v>289998</v>
      </c>
      <c r="AF14" s="136">
        <f>'5C1AE_Noble Minds'!$AB$84</f>
        <v>150161</v>
      </c>
      <c r="AG14" s="139">
        <f>'5C1AE_Noble Minds'!$AC$84</f>
        <v>37541</v>
      </c>
      <c r="AH14" s="141">
        <f>'5C1AE_Noble Minds'!$AD$80+'5C1AE_Noble Minds'!$AD$81+'5C1AE_Noble Minds'!$AD$82</f>
        <v>28271</v>
      </c>
      <c r="AI14" s="142">
        <f>'5C1AE_Noble Minds'!$AD$84</f>
        <v>468430</v>
      </c>
      <c r="AJ14" s="143"/>
      <c r="AK14" s="144">
        <f>'5C1AE_Noble Minds'!$AF$84</f>
        <v>428399</v>
      </c>
      <c r="AL14" s="135">
        <f>'5C1AE_Noble Minds'!$AG$84</f>
        <v>36</v>
      </c>
      <c r="AM14" s="143">
        <f>'5C1AE_Noble Minds'!$AH$84</f>
        <v>226474</v>
      </c>
      <c r="AN14" s="135">
        <f>'5C1AE_Noble Minds'!$AI$84</f>
        <v>-6</v>
      </c>
      <c r="AO14" s="145">
        <f>'5C1AE_Noble Minds'!$AJ$84</f>
        <v>-14403</v>
      </c>
      <c r="AP14" s="146">
        <f>'5C1AE_Noble Minds'!$AK$84</f>
        <v>212071</v>
      </c>
      <c r="AQ14" s="144">
        <f>'5C1AE_Noble Minds'!$AL$84</f>
        <v>640470</v>
      </c>
      <c r="AR14" s="147">
        <f>'5C1AE_Noble Minds'!$AM$84</f>
        <v>-1601</v>
      </c>
      <c r="AS14" s="144">
        <f>'5C1AE_Noble Minds'!$AN$84</f>
        <v>638869</v>
      </c>
      <c r="AT14" s="145">
        <f>'5C1AE_Noble Minds'!$AO$84</f>
        <v>-23954</v>
      </c>
      <c r="AU14" s="144">
        <f>'5C1AE_Noble Minds'!$AP$84</f>
        <v>614915</v>
      </c>
      <c r="AV14" s="145">
        <f>'5C1AE_Noble Minds'!$AQ$84</f>
        <v>419828</v>
      </c>
      <c r="AW14" s="145">
        <f>'5C1AE_Noble Minds'!$AR$84</f>
        <v>195087</v>
      </c>
      <c r="AX14" s="144">
        <f>'5C1AE_Noble Minds'!$AS$84</f>
        <v>48773</v>
      </c>
    </row>
    <row r="15" spans="1:50" ht="15.75" customHeight="1" x14ac:dyDescent="0.2">
      <c r="A15" s="130" t="s">
        <v>452</v>
      </c>
      <c r="B15" s="258" t="s">
        <v>283</v>
      </c>
      <c r="C15" s="258">
        <v>12</v>
      </c>
      <c r="D15" s="134" t="s">
        <v>906</v>
      </c>
      <c r="E15" s="135">
        <f>'5C1J_JCFA-East'!$C$84</f>
        <v>264</v>
      </c>
      <c r="F15" s="136"/>
      <c r="G15" s="137">
        <f>'5C1J_JCFA-East'!$E$84</f>
        <v>994965.41410759557</v>
      </c>
      <c r="H15" s="138">
        <f>'5C1J_JCFA-East'!$F$84</f>
        <v>215</v>
      </c>
      <c r="I15" s="136"/>
      <c r="J15" s="137">
        <f>'5C1J_JCFA-East'!$H$84</f>
        <v>102727.70911515401</v>
      </c>
      <c r="K15" s="138">
        <f>'5C1J_JCFA-East'!$I$84</f>
        <v>70</v>
      </c>
      <c r="L15" s="136"/>
      <c r="M15" s="137">
        <f>'5C1J_JCFA-East'!$K$84</f>
        <v>9074.9001788684964</v>
      </c>
      <c r="N15" s="138">
        <f>'5C1J_JCFA-East'!$L$84</f>
        <v>30</v>
      </c>
      <c r="O15" s="136"/>
      <c r="P15" s="137">
        <f>'5C1J_JCFA-East'!$N$84</f>
        <v>97722.422058516502</v>
      </c>
      <c r="Q15" s="138">
        <f>'5C1J_JCFA-East'!$O$84</f>
        <v>0</v>
      </c>
      <c r="R15" s="136"/>
      <c r="S15" s="137">
        <f>'5C1J_JCFA-East'!$Q$84</f>
        <v>0</v>
      </c>
      <c r="T15" s="967">
        <f>'5C1J_JCFA-East'!$R$77</f>
        <v>34680</v>
      </c>
      <c r="U15" s="139">
        <f>'5C1J_JCFA-East'!$R$84</f>
        <v>1239170</v>
      </c>
      <c r="V15" s="136">
        <f>'5C1J_JCFA-East'!$S$84</f>
        <v>-160452</v>
      </c>
      <c r="W15" s="136">
        <f>'5C1J_JCFA-East'!$T$84</f>
        <v>-11371</v>
      </c>
      <c r="X15" s="140">
        <f>'5C1J_JCFA-East'!$U$84</f>
        <v>-171823</v>
      </c>
      <c r="Y15" s="139">
        <f>'5C1J_JCFA-East'!$V$84</f>
        <v>1067347</v>
      </c>
      <c r="Z15" s="137">
        <f>'5C1J_JCFA-East'!$W$84</f>
        <v>-2668</v>
      </c>
      <c r="AA15" s="139">
        <f>'5C1J_JCFA-East'!$X$84</f>
        <v>1064679</v>
      </c>
      <c r="AB15" s="136">
        <f>'5C1J_JCFA-East'!$Y$84</f>
        <v>-8312</v>
      </c>
      <c r="AC15" s="141">
        <f>('5C1J_JCFA-East'!$Z$79+'5C1J_JCFA-East'!$Z$83)</f>
        <v>15576</v>
      </c>
      <c r="AD15" s="139">
        <f>'5C1J_JCFA-East'!$Z$84</f>
        <v>1071943</v>
      </c>
      <c r="AE15" s="136">
        <f>'5C1J_JCFA-East'!$AA$84</f>
        <v>775204</v>
      </c>
      <c r="AF15" s="136">
        <f>'5C1J_JCFA-East'!$AB$84</f>
        <v>296739</v>
      </c>
      <c r="AG15" s="139">
        <f>'5C1J_JCFA-East'!$AC$84</f>
        <v>74185</v>
      </c>
      <c r="AH15" s="141">
        <f>('5C1J_JCFA-East'!$AD$80+'5C1J_JCFA-East'!$AD$81+'5C1J_JCFA-East'!$AD$82)</f>
        <v>26992</v>
      </c>
      <c r="AI15" s="142">
        <f>'5C1J_JCFA-East'!$AD$84</f>
        <v>1098935</v>
      </c>
      <c r="AJ15" s="143"/>
      <c r="AK15" s="144">
        <f>'5C1J_JCFA-East'!$AF$84</f>
        <v>1493305</v>
      </c>
      <c r="AL15" s="135">
        <f>'5C1J_JCFA-East'!$AG$84</f>
        <v>-35</v>
      </c>
      <c r="AM15" s="143">
        <f>'5C1J_JCFA-East'!$AH$84</f>
        <v>-210246</v>
      </c>
      <c r="AN15" s="135">
        <f>'5C1J_JCFA-East'!$AI$84</f>
        <v>-12</v>
      </c>
      <c r="AO15" s="145">
        <f>'5C1J_JCFA-East'!$AJ$84</f>
        <v>-31988</v>
      </c>
      <c r="AP15" s="146">
        <f>'5C1J_JCFA-East'!$AK$84</f>
        <v>-242234</v>
      </c>
      <c r="AQ15" s="144">
        <f>'5C1J_JCFA-East'!$AL$84</f>
        <v>1251071</v>
      </c>
      <c r="AR15" s="147">
        <f>'5C1J_JCFA-East'!$AM$84</f>
        <v>-3128</v>
      </c>
      <c r="AS15" s="144">
        <f>'5C1J_JCFA-East'!$AN$84</f>
        <v>1247943</v>
      </c>
      <c r="AT15" s="145">
        <f>'5C1J_JCFA-East'!$AO$84</f>
        <v>-11025</v>
      </c>
      <c r="AU15" s="144">
        <f>'5C1J_JCFA-East'!$AP$84</f>
        <v>1236918</v>
      </c>
      <c r="AV15" s="145">
        <f>'5C1J_JCFA-East'!$AQ$84</f>
        <v>928966</v>
      </c>
      <c r="AW15" s="145">
        <f>'5C1J_JCFA-East'!$AR$84</f>
        <v>307952</v>
      </c>
      <c r="AX15" s="144">
        <f>'5C1J_JCFA-East'!$AS$84</f>
        <v>76990</v>
      </c>
    </row>
    <row r="16" spans="1:50" ht="15.75" customHeight="1" x14ac:dyDescent="0.2">
      <c r="A16" s="131" t="s">
        <v>453</v>
      </c>
      <c r="B16" s="259" t="s">
        <v>292</v>
      </c>
      <c r="C16" s="776">
        <v>17</v>
      </c>
      <c r="D16" s="148" t="s">
        <v>261</v>
      </c>
      <c r="E16" s="149">
        <f>'5C1Q_Advantage'!$C$84</f>
        <v>602</v>
      </c>
      <c r="F16" s="150"/>
      <c r="G16" s="151">
        <f>'5C1Q_Advantage'!$E$84</f>
        <v>2800451.2855637716</v>
      </c>
      <c r="H16" s="152">
        <f>'5C1Q_Advantage'!$F$84</f>
        <v>540</v>
      </c>
      <c r="I16" s="150"/>
      <c r="J16" s="151">
        <f>'5C1Q_Advantage'!$H$84</f>
        <v>324776.44654818461</v>
      </c>
      <c r="K16" s="152">
        <f>'5C1Q_Advantage'!$I$84</f>
        <v>40</v>
      </c>
      <c r="L16" s="150"/>
      <c r="M16" s="151">
        <f>'5C1Q_Advantage'!$K$84</f>
        <v>6729.2074628701912</v>
      </c>
      <c r="N16" s="152">
        <f>'5C1Q_Advantage'!$L$84</f>
        <v>60</v>
      </c>
      <c r="O16" s="150"/>
      <c r="P16" s="151">
        <f>'5C1Q_Advantage'!$N$84</f>
        <v>256603.07903531517</v>
      </c>
      <c r="Q16" s="152">
        <f>'5C1Q_Advantage'!$O$84</f>
        <v>0</v>
      </c>
      <c r="R16" s="150"/>
      <c r="S16" s="151">
        <f>'5C1Q_Advantage'!$Q$84</f>
        <v>0</v>
      </c>
      <c r="T16" s="968">
        <f>'5C1Q_Advantage'!$R$77</f>
        <v>67651</v>
      </c>
      <c r="U16" s="153">
        <f>'5C1Q_Advantage'!$R$84</f>
        <v>3456210</v>
      </c>
      <c r="V16" s="150">
        <f>'5C1Q_Advantage'!$S$84</f>
        <v>-618536</v>
      </c>
      <c r="W16" s="150">
        <f>'5C1Q_Advantage'!$T$84</f>
        <v>5997</v>
      </c>
      <c r="X16" s="154">
        <f>'5C1Q_Advantage'!$U$84</f>
        <v>-612539</v>
      </c>
      <c r="Y16" s="153">
        <f>'5C1Q_Advantage'!$V$84</f>
        <v>2843671</v>
      </c>
      <c r="Z16" s="151">
        <f>'5C1Q_Advantage'!$W$84</f>
        <v>-7110</v>
      </c>
      <c r="AA16" s="153">
        <f>'5C1Q_Advantage'!$X$84</f>
        <v>2836561</v>
      </c>
      <c r="AB16" s="150">
        <f>'5C1Q_Advantage'!$Y$84</f>
        <v>7641</v>
      </c>
      <c r="AC16" s="155">
        <f>('5C1Q_Advantage'!$Z$79+'5C1Q_Advantage'!$Z$83)</f>
        <v>6254</v>
      </c>
      <c r="AD16" s="153">
        <f>'5C1Q_Advantage'!$Z$84</f>
        <v>2850456</v>
      </c>
      <c r="AE16" s="156">
        <f>'5C1Q_Advantage'!$AA$84</f>
        <v>2097484</v>
      </c>
      <c r="AF16" s="150">
        <f>'5C1Q_Advantage'!$AB$84</f>
        <v>752972</v>
      </c>
      <c r="AG16" s="157">
        <f>'5C1Q_Advantage'!$AC$84</f>
        <v>188245</v>
      </c>
      <c r="AH16" s="155">
        <f>('5C1Q_Advantage'!$AD$80+'5C1Q_Advantage'!$AD$81+'5C1Q_Advantage'!$AD$82)</f>
        <v>0</v>
      </c>
      <c r="AI16" s="157">
        <f>'5C1Q_Advantage'!$AD$84</f>
        <v>2850456</v>
      </c>
      <c r="AJ16" s="158"/>
      <c r="AK16" s="159">
        <f>'5C1Q_Advantage'!$AF$84</f>
        <v>3049280</v>
      </c>
      <c r="AL16" s="149">
        <f>'5C1Q_Advantage'!$AG$84</f>
        <v>-111</v>
      </c>
      <c r="AM16" s="158">
        <f>'5C1Q_Advantage'!$AH$84</f>
        <v>-575525</v>
      </c>
      <c r="AN16" s="149">
        <f>'5C1Q_Advantage'!$AI$84</f>
        <v>-3</v>
      </c>
      <c r="AO16" s="160">
        <f>'5C1Q_Advantage'!$AJ$84</f>
        <v>-6292</v>
      </c>
      <c r="AP16" s="161">
        <f>'5C1Q_Advantage'!$AK$84</f>
        <v>-581817</v>
      </c>
      <c r="AQ16" s="159">
        <f>'5C1Q_Advantage'!$AL$84</f>
        <v>2467463</v>
      </c>
      <c r="AR16" s="162">
        <f>'5C1Q_Advantage'!$AM$84</f>
        <v>-6170</v>
      </c>
      <c r="AS16" s="159">
        <f>'5C1Q_Advantage'!$AN$84</f>
        <v>2461293</v>
      </c>
      <c r="AT16" s="160">
        <f>'5C1Q_Advantage'!$AO$84</f>
        <v>15442</v>
      </c>
      <c r="AU16" s="159">
        <f>'5C1Q_Advantage'!$AP$84</f>
        <v>2476735</v>
      </c>
      <c r="AV16" s="160">
        <f>'5C1Q_Advantage'!$AQ$84</f>
        <v>1820378</v>
      </c>
      <c r="AW16" s="160">
        <f>'5C1Q_Advantage'!$AR$84</f>
        <v>656357</v>
      </c>
      <c r="AX16" s="159">
        <f>'5C1Q_Advantage'!$AS$84</f>
        <v>164089</v>
      </c>
    </row>
    <row r="17" spans="1:50" ht="15.75" customHeight="1" x14ac:dyDescent="0.2">
      <c r="A17" s="129" t="s">
        <v>697</v>
      </c>
      <c r="B17" s="257" t="s">
        <v>697</v>
      </c>
      <c r="C17" s="772">
        <v>32</v>
      </c>
      <c r="D17" s="116" t="s">
        <v>891</v>
      </c>
      <c r="E17" s="117">
        <f>'5C1AF_JCFA-Laf'!$C$84</f>
        <v>64</v>
      </c>
      <c r="F17" s="118"/>
      <c r="G17" s="119">
        <f>'5C1AF_JCFA-Laf'!$E$84</f>
        <v>240324.86682567236</v>
      </c>
      <c r="H17" s="120">
        <f>'5C1AF_JCFA-Laf'!$F$84</f>
        <v>56</v>
      </c>
      <c r="I17" s="118"/>
      <c r="J17" s="119">
        <f>'5C1AF_JCFA-Laf'!$H$84</f>
        <v>29036.566533227964</v>
      </c>
      <c r="K17" s="120">
        <f>'5C1AF_JCFA-Laf'!$I$84</f>
        <v>3</v>
      </c>
      <c r="L17" s="118"/>
      <c r="M17" s="119">
        <f>'5C1AF_JCFA-Laf'!$K$84</f>
        <v>397.59735696867892</v>
      </c>
      <c r="N17" s="120">
        <f>'5C1AF_JCFA-Laf'!$L$84</f>
        <v>14</v>
      </c>
      <c r="O17" s="118"/>
      <c r="P17" s="119">
        <f>'5C1AF_JCFA-Laf'!$N$84</f>
        <v>50995.326559741741</v>
      </c>
      <c r="Q17" s="120">
        <f>'5C1AF_JCFA-Laf'!$O$84</f>
        <v>0</v>
      </c>
      <c r="R17" s="118"/>
      <c r="S17" s="119">
        <f>'5C1AF_JCFA-Laf'!$Q$84</f>
        <v>0</v>
      </c>
      <c r="T17" s="966">
        <f>'5C1AF_JCFA-Laf'!$R$77</f>
        <v>12640</v>
      </c>
      <c r="U17" s="121">
        <f>'5C1AF_JCFA-Laf'!$R$84</f>
        <v>333394</v>
      </c>
      <c r="V17" s="118">
        <f>'5C1AF_JCFA-Laf'!$S$84</f>
        <v>8634</v>
      </c>
      <c r="W17" s="118">
        <f>'5C1AF_JCFA-Laf'!$T$84</f>
        <v>-7946</v>
      </c>
      <c r="X17" s="122">
        <f>'5C1AF_JCFA-Laf'!$U$84</f>
        <v>688</v>
      </c>
      <c r="Y17" s="121">
        <f>'5C1AF_JCFA-Laf'!$V$84</f>
        <v>334082</v>
      </c>
      <c r="Z17" s="119">
        <f>'5C1AF_JCFA-Laf'!$W$84</f>
        <v>-837</v>
      </c>
      <c r="AA17" s="121">
        <f>'5C1AF_JCFA-Laf'!$X$84</f>
        <v>333245</v>
      </c>
      <c r="AB17" s="118">
        <f>'5C1AF_JCFA-Laf'!$Y$84</f>
        <v>0</v>
      </c>
      <c r="AC17" s="133">
        <f>'5C1AF_JCFA-Laf'!$Z$79+'5C1AF_JCFA-Laf'!$Z$83</f>
        <v>3776</v>
      </c>
      <c r="AD17" s="121">
        <f>'5C1AF_JCFA-Laf'!$Z$84</f>
        <v>337021</v>
      </c>
      <c r="AE17" s="118">
        <f>'5C1AF_JCFA-Laf'!$AA$84</f>
        <v>225086</v>
      </c>
      <c r="AF17" s="118">
        <f>'5C1AF_JCFA-Laf'!$AB$84</f>
        <v>111935</v>
      </c>
      <c r="AG17" s="121">
        <f>'5C1AF_JCFA-Laf'!$AC$84</f>
        <v>27984</v>
      </c>
      <c r="AH17" s="133">
        <f>'5C1AF_JCFA-Laf'!$AD$80+'5C1AF_JCFA-Laf'!$AD$81+'5C1AF_JCFA-Laf'!$AD$82</f>
        <v>10000</v>
      </c>
      <c r="AI17" s="123">
        <f>'5C1AF_JCFA-Laf'!$AD$84</f>
        <v>347021</v>
      </c>
      <c r="AJ17" s="124"/>
      <c r="AK17" s="125">
        <f>'5C1AF_JCFA-Laf'!$AF$84</f>
        <v>339944</v>
      </c>
      <c r="AL17" s="117">
        <f>'5C1AF_JCFA-Laf'!$AG$84</f>
        <v>4</v>
      </c>
      <c r="AM17" s="124">
        <f>'5C1AF_JCFA-Laf'!$AH$84</f>
        <v>27864</v>
      </c>
      <c r="AN17" s="117">
        <f>'5C1AF_JCFA-Laf'!$AI$84</f>
        <v>-3</v>
      </c>
      <c r="AO17" s="126">
        <f>'5C1AF_JCFA-Laf'!$AJ$84</f>
        <v>-3642</v>
      </c>
      <c r="AP17" s="127">
        <f>'5C1AF_JCFA-Laf'!$AK$84</f>
        <v>24222</v>
      </c>
      <c r="AQ17" s="125">
        <f>'5C1AF_JCFA-Laf'!$AL$84</f>
        <v>364166</v>
      </c>
      <c r="AR17" s="128">
        <f>'5C1AF_JCFA-Laf'!$AM$84</f>
        <v>-910</v>
      </c>
      <c r="AS17" s="125">
        <f>'5C1AF_JCFA-Laf'!$AN$84</f>
        <v>363256</v>
      </c>
      <c r="AT17" s="126">
        <f>'5C1AF_JCFA-Laf'!$AO$84</f>
        <v>0</v>
      </c>
      <c r="AU17" s="125">
        <f>'5C1AF_JCFA-Laf'!$AP$84</f>
        <v>363256</v>
      </c>
      <c r="AV17" s="126">
        <f>'5C1AF_JCFA-Laf'!$AQ$84</f>
        <v>217946</v>
      </c>
      <c r="AW17" s="126">
        <f>'5C1AF_JCFA-Laf'!$AR$84</f>
        <v>145310</v>
      </c>
      <c r="AX17" s="125">
        <f>'5C1AF_JCFA-Laf'!$AS$84</f>
        <v>36328</v>
      </c>
    </row>
    <row r="18" spans="1:50" ht="15.75" customHeight="1" x14ac:dyDescent="0.2">
      <c r="A18" s="130" t="s">
        <v>454</v>
      </c>
      <c r="B18" s="258" t="s">
        <v>301</v>
      </c>
      <c r="C18" s="258">
        <v>23</v>
      </c>
      <c r="D18" s="134" t="s">
        <v>345</v>
      </c>
      <c r="E18" s="135">
        <f>'5C1W_Willow'!$C$84</f>
        <v>599</v>
      </c>
      <c r="F18" s="136"/>
      <c r="G18" s="137">
        <f>'5C1W_Willow'!$E$84</f>
        <v>2198496.1304049911</v>
      </c>
      <c r="H18" s="138">
        <f>'5C1W_Willow'!$F$84</f>
        <v>556</v>
      </c>
      <c r="I18" s="136"/>
      <c r="J18" s="137">
        <f>'5C1W_Willow'!$H$84</f>
        <v>279997.81007142452</v>
      </c>
      <c r="K18" s="138">
        <f>'5C1W_Willow'!$I$84</f>
        <v>48</v>
      </c>
      <c r="L18" s="136"/>
      <c r="M18" s="137">
        <f>'5C1W_Willow'!$K$84</f>
        <v>6739.744774135781</v>
      </c>
      <c r="N18" s="138">
        <f>'5C1W_Willow'!$L$84</f>
        <v>72</v>
      </c>
      <c r="O18" s="136"/>
      <c r="P18" s="137">
        <f>'5C1W_Willow'!$N$84</f>
        <v>252537.58285841375</v>
      </c>
      <c r="Q18" s="138">
        <f>'5C1W_Willow'!$O$84</f>
        <v>1</v>
      </c>
      <c r="R18" s="136"/>
      <c r="S18" s="137">
        <f>'5C1W_Willow'!$Q$84</f>
        <v>1817.8581749368434</v>
      </c>
      <c r="T18" s="967">
        <f>'5C1W_Willow'!$R$77</f>
        <v>68373</v>
      </c>
      <c r="U18" s="139">
        <f>'5C1W_Willow'!$R$84</f>
        <v>2807962</v>
      </c>
      <c r="V18" s="136">
        <f>'5C1W_Willow'!$S$84</f>
        <v>62651</v>
      </c>
      <c r="W18" s="136">
        <f>'5C1W_Willow'!$T$84</f>
        <v>-41700</v>
      </c>
      <c r="X18" s="140">
        <f>'5C1W_Willow'!$U$84</f>
        <v>20951</v>
      </c>
      <c r="Y18" s="139">
        <f>'5C1W_Willow'!$V$84</f>
        <v>2828913</v>
      </c>
      <c r="Z18" s="137">
        <f>'5C1W_Willow'!$W$84</f>
        <v>-7074</v>
      </c>
      <c r="AA18" s="139">
        <f>'5C1W_Willow'!$X$84</f>
        <v>2821839</v>
      </c>
      <c r="AB18" s="136">
        <f>'5C1W_Willow'!$Y$84</f>
        <v>0</v>
      </c>
      <c r="AC18" s="141">
        <f>('5C1W_Willow'!$Z$79+'5C1W_Willow'!$Z$83)</f>
        <v>5074</v>
      </c>
      <c r="AD18" s="139">
        <f>'5C1W_Willow'!$Z$84</f>
        <v>2826913</v>
      </c>
      <c r="AE18" s="136">
        <f>'5C1W_Willow'!$AA$84</f>
        <v>1871934</v>
      </c>
      <c r="AF18" s="136">
        <f>'5C1W_Willow'!$AB$84</f>
        <v>954979</v>
      </c>
      <c r="AG18" s="139">
        <f>'5C1W_Willow'!$AC$84</f>
        <v>238745</v>
      </c>
      <c r="AH18" s="141">
        <f>('5C1W_Willow'!$AD$80+'5C1W_Willow'!$AD$81+'5C1W_Willow'!$AD$82)</f>
        <v>0</v>
      </c>
      <c r="AI18" s="142">
        <f>'5C1W_Willow'!$AD$84</f>
        <v>2826913</v>
      </c>
      <c r="AJ18" s="143"/>
      <c r="AK18" s="144">
        <f>'5C1W_Willow'!$AF$84</f>
        <v>3298397</v>
      </c>
      <c r="AL18" s="135">
        <f>'5C1W_Willow'!$AG$84</f>
        <v>13</v>
      </c>
      <c r="AM18" s="143">
        <f>'5C1W_Willow'!$AH$84</f>
        <v>81247</v>
      </c>
      <c r="AN18" s="135">
        <f>'5C1W_Willow'!$AI$84</f>
        <v>-17</v>
      </c>
      <c r="AO18" s="145">
        <f>'5C1W_Willow'!$AJ$84</f>
        <v>-40566</v>
      </c>
      <c r="AP18" s="146">
        <f>'5C1W_Willow'!$AK$84</f>
        <v>40681</v>
      </c>
      <c r="AQ18" s="144">
        <f>'5C1W_Willow'!$AL$84</f>
        <v>3339078</v>
      </c>
      <c r="AR18" s="147">
        <f>'5C1W_Willow'!$AM$84</f>
        <v>-8347</v>
      </c>
      <c r="AS18" s="144">
        <f>'5C1W_Willow'!$AN$84</f>
        <v>3330731</v>
      </c>
      <c r="AT18" s="145">
        <f>'5C1W_Willow'!$AO$84</f>
        <v>0</v>
      </c>
      <c r="AU18" s="144">
        <f>'5C1W_Willow'!$AP$84</f>
        <v>3330731</v>
      </c>
      <c r="AV18" s="145">
        <f>'5C1W_Willow'!$AQ$84</f>
        <v>2107058</v>
      </c>
      <c r="AW18" s="145">
        <f>'5C1W_Willow'!$AR$84</f>
        <v>1223673</v>
      </c>
      <c r="AX18" s="144">
        <f>'5C1W_Willow'!$AS$84</f>
        <v>305920</v>
      </c>
    </row>
    <row r="19" spans="1:50" ht="15.75" customHeight="1" x14ac:dyDescent="0.2">
      <c r="A19" s="130" t="s">
        <v>505</v>
      </c>
      <c r="B19" s="258" t="s">
        <v>505</v>
      </c>
      <c r="C19" s="258">
        <v>26</v>
      </c>
      <c r="D19" s="134" t="s">
        <v>506</v>
      </c>
      <c r="E19" s="135">
        <f>'5C1Z_Lincoln Prep'!$C$84</f>
        <v>456</v>
      </c>
      <c r="F19" s="136"/>
      <c r="G19" s="137">
        <f>'5C1Z_Lincoln Prep'!$E$84</f>
        <v>1841983.4586543867</v>
      </c>
      <c r="H19" s="138">
        <f>'5C1Z_Lincoln Prep'!$F$84</f>
        <v>382</v>
      </c>
      <c r="I19" s="136"/>
      <c r="J19" s="137">
        <f>'5C1Z_Lincoln Prep'!$H$84</f>
        <v>210543.09186315438</v>
      </c>
      <c r="K19" s="138">
        <f>'5C1Z_Lincoln Prep'!$I$84</f>
        <v>136.5</v>
      </c>
      <c r="L19" s="136"/>
      <c r="M19" s="137">
        <f>'5C1Z_Lincoln Prep'!$K$84</f>
        <v>20773.615628893014</v>
      </c>
      <c r="N19" s="138">
        <f>'5C1Z_Lincoln Prep'!$L$84</f>
        <v>72</v>
      </c>
      <c r="O19" s="136"/>
      <c r="P19" s="137">
        <f>'5C1Z_Lincoln Prep'!$N$84</f>
        <v>274132.74996922706</v>
      </c>
      <c r="Q19" s="138">
        <f>'5C1Z_Lincoln Prep'!$O$84</f>
        <v>6</v>
      </c>
      <c r="R19" s="136"/>
      <c r="S19" s="137">
        <f>'5C1Z_Lincoln Prep'!$Q$84</f>
        <v>9103.8933906608472</v>
      </c>
      <c r="T19" s="967">
        <f>'5C1Z_Lincoln Prep'!$R$77</f>
        <v>76042</v>
      </c>
      <c r="U19" s="139">
        <f>'5C1Z_Lincoln Prep'!$R$84</f>
        <v>2432579</v>
      </c>
      <c r="V19" s="136">
        <f>'5C1Z_Lincoln Prep'!$S$84</f>
        <v>120053</v>
      </c>
      <c r="W19" s="136">
        <f>'5C1Z_Lincoln Prep'!$T$84</f>
        <v>27044</v>
      </c>
      <c r="X19" s="140">
        <f>'5C1Z_Lincoln Prep'!$U$84</f>
        <v>147097</v>
      </c>
      <c r="Y19" s="139">
        <f>'5C1Z_Lincoln Prep'!$V$84</f>
        <v>2579676</v>
      </c>
      <c r="Z19" s="137">
        <f>'5C1Z_Lincoln Prep'!$W$84</f>
        <v>-6449</v>
      </c>
      <c r="AA19" s="139">
        <f>'5C1Z_Lincoln Prep'!$X$84</f>
        <v>2573227</v>
      </c>
      <c r="AB19" s="136">
        <f>'5C1Z_Lincoln Prep'!$Y$84</f>
        <v>0</v>
      </c>
      <c r="AC19" s="141">
        <f>('5C1Z_Lincoln Prep'!$Z$79+'5C1Z_Lincoln Prep'!$Z$83)</f>
        <v>13452</v>
      </c>
      <c r="AD19" s="139">
        <f>'5C1Z_Lincoln Prep'!$Z$84</f>
        <v>2586679</v>
      </c>
      <c r="AE19" s="136">
        <f>'5C1Z_Lincoln Prep'!$AA$84</f>
        <v>1622994</v>
      </c>
      <c r="AF19" s="136">
        <f>'5C1Z_Lincoln Prep'!$AB$84</f>
        <v>963685</v>
      </c>
      <c r="AG19" s="139">
        <f>'5C1Z_Lincoln Prep'!$AC$84</f>
        <v>240922</v>
      </c>
      <c r="AH19" s="141">
        <f>('5C1Z_Lincoln Prep'!$AD$80+'5C1Z_Lincoln Prep'!$AD$81+'5C1Z_Lincoln Prep'!$AD$82)</f>
        <v>13255</v>
      </c>
      <c r="AI19" s="142">
        <f>'5C1Z_Lincoln Prep'!$AD$84</f>
        <v>2599934</v>
      </c>
      <c r="AJ19" s="143"/>
      <c r="AK19" s="144">
        <f>'5C1Z_Lincoln Prep'!$AF$84</f>
        <v>2797451</v>
      </c>
      <c r="AL19" s="135">
        <f>'5C1Z_Lincoln Prep'!$AG$84</f>
        <v>21</v>
      </c>
      <c r="AM19" s="143">
        <f>'5C1Z_Lincoln Prep'!$AH$84</f>
        <v>159455</v>
      </c>
      <c r="AN19" s="135">
        <f>'5C1Z_Lincoln Prep'!$AI$84</f>
        <v>-2</v>
      </c>
      <c r="AO19" s="145">
        <f>'5C1Z_Lincoln Prep'!$AJ$84</f>
        <v>-21897</v>
      </c>
      <c r="AP19" s="146">
        <f>'5C1Z_Lincoln Prep'!$AK$84</f>
        <v>137558</v>
      </c>
      <c r="AQ19" s="144">
        <f>'5C1Z_Lincoln Prep'!$AL$84</f>
        <v>2935009</v>
      </c>
      <c r="AR19" s="147">
        <f>'5C1Z_Lincoln Prep'!$AM$84</f>
        <v>-7337</v>
      </c>
      <c r="AS19" s="144">
        <f>'5C1Z_Lincoln Prep'!$AN$84</f>
        <v>2927672</v>
      </c>
      <c r="AT19" s="145">
        <f>'5C1Z_Lincoln Prep'!$AO$84</f>
        <v>0</v>
      </c>
      <c r="AU19" s="144">
        <f>'5C1Z_Lincoln Prep'!$AP$84</f>
        <v>2927672</v>
      </c>
      <c r="AV19" s="145">
        <f>'5C1Z_Lincoln Prep'!$AQ$84</f>
        <v>1890900</v>
      </c>
      <c r="AW19" s="145">
        <f>'5C1Z_Lincoln Prep'!$AR$84</f>
        <v>1036772</v>
      </c>
      <c r="AX19" s="144">
        <f>'5C1Z_Lincoln Prep'!$AS$84</f>
        <v>259194</v>
      </c>
    </row>
    <row r="20" spans="1:50" ht="15.75" customHeight="1" x14ac:dyDescent="0.2">
      <c r="A20" s="130" t="s">
        <v>546</v>
      </c>
      <c r="B20" s="258" t="s">
        <v>546</v>
      </c>
      <c r="C20" s="258">
        <v>30</v>
      </c>
      <c r="D20" s="134" t="s">
        <v>572</v>
      </c>
      <c r="E20" s="135">
        <f>'5C1AD_Greater'!$C$84</f>
        <v>79</v>
      </c>
      <c r="F20" s="136"/>
      <c r="G20" s="137">
        <f>'5C1AD_Greater'!$E$84</f>
        <v>238169.82488500638</v>
      </c>
      <c r="H20" s="138">
        <f>'5C1AD_Greater'!$F$84</f>
        <v>67</v>
      </c>
      <c r="I20" s="136"/>
      <c r="J20" s="137">
        <f>'5C1AD_Greater'!$H$84</f>
        <v>23551.622238373711</v>
      </c>
      <c r="K20" s="138">
        <f>'5C1AD_Greater'!$I$84</f>
        <v>0</v>
      </c>
      <c r="L20" s="136"/>
      <c r="M20" s="137">
        <f>'5C1AD_Greater'!$K$84</f>
        <v>0</v>
      </c>
      <c r="N20" s="138">
        <f>'5C1AD_Greater'!$L$84</f>
        <v>19</v>
      </c>
      <c r="O20" s="136"/>
      <c r="P20" s="137">
        <f>'5C1AD_Greater'!$N$84</f>
        <v>46824.210586098139</v>
      </c>
      <c r="Q20" s="138">
        <f>'5C1AD_Greater'!$O$84</f>
        <v>0</v>
      </c>
      <c r="R20" s="136"/>
      <c r="S20" s="137">
        <f>'5C1AD_Greater'!$Q$84</f>
        <v>0</v>
      </c>
      <c r="T20" s="967">
        <f>'5C1AD_Greater'!$R$77</f>
        <v>15222</v>
      </c>
      <c r="U20" s="139">
        <f>'5C1AD_Greater'!$R$84</f>
        <v>323768</v>
      </c>
      <c r="V20" s="136">
        <f>'5C1AD_Greater'!$S$84</f>
        <v>8353</v>
      </c>
      <c r="W20" s="136">
        <f>'5C1AD_Greater'!$T$84</f>
        <v>-15387</v>
      </c>
      <c r="X20" s="140">
        <f>'5C1AD_Greater'!$U$84</f>
        <v>-7034</v>
      </c>
      <c r="Y20" s="139">
        <f>'5C1AD_Greater'!$V$84</f>
        <v>316734</v>
      </c>
      <c r="Z20" s="137">
        <f>'5C1AD_Greater'!$W$84</f>
        <v>-791</v>
      </c>
      <c r="AA20" s="139">
        <f>'5C1AD_Greater'!$X$84</f>
        <v>315943</v>
      </c>
      <c r="AB20" s="136">
        <f>'5C1AD_Greater'!$Y$84</f>
        <v>0</v>
      </c>
      <c r="AC20" s="141">
        <f>'5C1AD_Greater'!$Z$79+'5C1AD_Greater'!$Z$83</f>
        <v>708</v>
      </c>
      <c r="AD20" s="139">
        <f>'5C1AD_Greater'!$Z$84</f>
        <v>316651</v>
      </c>
      <c r="AE20" s="136">
        <f>'5C1AD_Greater'!$AA$84</f>
        <v>215352</v>
      </c>
      <c r="AF20" s="136">
        <f>'5C1AD_Greater'!$AB$84</f>
        <v>101299</v>
      </c>
      <c r="AG20" s="139">
        <f>'5C1AD_Greater'!$AC$84</f>
        <v>25325</v>
      </c>
      <c r="AH20" s="141">
        <f>'5C1AD_Greater'!$AD$80+'5C1AD_Greater'!$AD$81+'5C1AD_Greater'!$AD$82</f>
        <v>0</v>
      </c>
      <c r="AI20" s="142">
        <f>'5C1AD_Greater'!$AD$84</f>
        <v>316651</v>
      </c>
      <c r="AJ20" s="143"/>
      <c r="AK20" s="144">
        <f>'5C1AD_Greater'!$AF$84</f>
        <v>1036078</v>
      </c>
      <c r="AL20" s="135">
        <f>'5C1AD_Greater'!$AG$84</f>
        <v>-3</v>
      </c>
      <c r="AM20" s="143">
        <f>'5C1AD_Greater'!$AH$84</f>
        <v>-101050</v>
      </c>
      <c r="AN20" s="135">
        <f>'5C1AD_Greater'!$AI$84</f>
        <v>-7</v>
      </c>
      <c r="AO20" s="145">
        <f>'5C1AD_Greater'!$AJ$84</f>
        <v>-31643</v>
      </c>
      <c r="AP20" s="146">
        <f>'5C1AD_Greater'!$AK$84</f>
        <v>-132693</v>
      </c>
      <c r="AQ20" s="144">
        <f>'5C1AD_Greater'!$AL$84</f>
        <v>903385</v>
      </c>
      <c r="AR20" s="147">
        <f>'5C1AD_Greater'!$AM$84</f>
        <v>-2258</v>
      </c>
      <c r="AS20" s="144">
        <f>'5C1AD_Greater'!$AN$84</f>
        <v>901127</v>
      </c>
      <c r="AT20" s="145">
        <f>'5C1AD_Greater'!$AO$84</f>
        <v>0</v>
      </c>
      <c r="AU20" s="144">
        <f>'5C1AD_Greater'!$AP$84</f>
        <v>901127</v>
      </c>
      <c r="AV20" s="145">
        <f>'5C1AD_Greater'!$AQ$84</f>
        <v>647662</v>
      </c>
      <c r="AW20" s="145">
        <f>'5C1AD_Greater'!$AR$84</f>
        <v>253465</v>
      </c>
      <c r="AX20" s="144">
        <f>'5C1AD_Greater'!$AS$84</f>
        <v>63366</v>
      </c>
    </row>
    <row r="21" spans="1:50" ht="15.75" customHeight="1" x14ac:dyDescent="0.2">
      <c r="A21" s="131" t="s">
        <v>456</v>
      </c>
      <c r="B21" s="259" t="s">
        <v>293</v>
      </c>
      <c r="C21" s="776">
        <v>18</v>
      </c>
      <c r="D21" s="148" t="s">
        <v>274</v>
      </c>
      <c r="E21" s="149">
        <f>'5C1R_Iberville'!$C$84</f>
        <v>270</v>
      </c>
      <c r="F21" s="150"/>
      <c r="G21" s="151">
        <f>'5C1R_Iberville'!$E$84</f>
        <v>761565.80810925993</v>
      </c>
      <c r="H21" s="152">
        <f>'5C1R_Iberville'!$F$84</f>
        <v>241</v>
      </c>
      <c r="I21" s="150"/>
      <c r="J21" s="151">
        <f>'5C1R_Iberville'!$H$84</f>
        <v>81103.793482298264</v>
      </c>
      <c r="K21" s="152">
        <f>'5C1R_Iberville'!$I$84</f>
        <v>86</v>
      </c>
      <c r="L21" s="150"/>
      <c r="M21" s="151">
        <f>'5C1R_Iberville'!$K$84</f>
        <v>8108.8090895478281</v>
      </c>
      <c r="N21" s="152">
        <f>'5C1R_Iberville'!$L$84</f>
        <v>34</v>
      </c>
      <c r="O21" s="150"/>
      <c r="P21" s="151">
        <f>'5C1R_Iberville'!$N$84</f>
        <v>75917.540642271546</v>
      </c>
      <c r="Q21" s="152">
        <f>'5C1R_Iberville'!$O$84</f>
        <v>0</v>
      </c>
      <c r="R21" s="150"/>
      <c r="S21" s="151">
        <f>'5C1R_Iberville'!$Q$84</f>
        <v>0</v>
      </c>
      <c r="T21" s="968">
        <f>'5C1R_Iberville'!$R$77</f>
        <v>37391</v>
      </c>
      <c r="U21" s="153">
        <f>'5C1R_Iberville'!$R$84</f>
        <v>964086</v>
      </c>
      <c r="V21" s="150">
        <f>'5C1R_Iberville'!$S$84</f>
        <v>617601</v>
      </c>
      <c r="W21" s="150">
        <f>'5C1R_Iberville'!$T$84</f>
        <v>13494</v>
      </c>
      <c r="X21" s="154">
        <f>'5C1R_Iberville'!$U$84</f>
        <v>631095</v>
      </c>
      <c r="Y21" s="153">
        <f>'5C1R_Iberville'!$V$84</f>
        <v>1595181</v>
      </c>
      <c r="Z21" s="151">
        <f>'5C1R_Iberville'!$W$84</f>
        <v>-3987</v>
      </c>
      <c r="AA21" s="153">
        <f>'5C1R_Iberville'!$X$84</f>
        <v>1591194</v>
      </c>
      <c r="AB21" s="150">
        <f>'5C1R_Iberville'!$Y$84</f>
        <v>1283</v>
      </c>
      <c r="AC21" s="155">
        <f>('5C1R_Iberville'!$Z$79+'5C1R_Iberville'!$Z$83)</f>
        <v>2655</v>
      </c>
      <c r="AD21" s="153">
        <f>'5C1R_Iberville'!$Z$84</f>
        <v>1595132</v>
      </c>
      <c r="AE21" s="156">
        <f>'5C1R_Iberville'!$AA$84</f>
        <v>851698</v>
      </c>
      <c r="AF21" s="150">
        <f>'5C1R_Iberville'!$AB$84</f>
        <v>743434</v>
      </c>
      <c r="AG21" s="157">
        <f>'5C1R_Iberville'!$AC$84</f>
        <v>185861</v>
      </c>
      <c r="AH21" s="155">
        <f>('5C1R_Iberville'!$AD$80+'5C1R_Iberville'!$AD$81+'5C1R_Iberville'!$AD$82)</f>
        <v>0</v>
      </c>
      <c r="AI21" s="157">
        <f>'5C1R_Iberville'!$AD$84</f>
        <v>1595132</v>
      </c>
      <c r="AJ21" s="158"/>
      <c r="AK21" s="159">
        <f>'5C1R_Iberville'!$AF$84</f>
        <v>3423639</v>
      </c>
      <c r="AL21" s="149">
        <f>'5C1R_Iberville'!$AG$84</f>
        <v>122</v>
      </c>
      <c r="AM21" s="158">
        <f>'5C1R_Iberville'!$AH$84</f>
        <v>504318</v>
      </c>
      <c r="AN21" s="149">
        <f>'5C1R_Iberville'!$AI$84</f>
        <v>4</v>
      </c>
      <c r="AO21" s="160">
        <f>'5C1R_Iberville'!$AJ$84</f>
        <v>-10310</v>
      </c>
      <c r="AP21" s="161">
        <f>'5C1R_Iberville'!$AK$84</f>
        <v>494008</v>
      </c>
      <c r="AQ21" s="159">
        <f>'5C1R_Iberville'!$AL$84</f>
        <v>3917647</v>
      </c>
      <c r="AR21" s="162">
        <f>'5C1R_Iberville'!$AM$84</f>
        <v>-9794</v>
      </c>
      <c r="AS21" s="159">
        <f>'5C1R_Iberville'!$AN$84</f>
        <v>3907853</v>
      </c>
      <c r="AT21" s="160">
        <f>'5C1R_Iberville'!$AO$84</f>
        <v>6796</v>
      </c>
      <c r="AU21" s="159">
        <f>'5C1R_Iberville'!$AP$84</f>
        <v>3914649</v>
      </c>
      <c r="AV21" s="160">
        <f>'5C1R_Iberville'!$AQ$84</f>
        <v>2275436</v>
      </c>
      <c r="AW21" s="160">
        <f>'5C1R_Iberville'!$AR$84</f>
        <v>1639213</v>
      </c>
      <c r="AX21" s="159">
        <f>'5C1R_Iberville'!$AS$84</f>
        <v>409804</v>
      </c>
    </row>
    <row r="22" spans="1:50" ht="15.75" customHeight="1" x14ac:dyDescent="0.2">
      <c r="A22" s="129" t="s">
        <v>457</v>
      </c>
      <c r="B22" s="257" t="s">
        <v>285</v>
      </c>
      <c r="C22" s="772">
        <v>14</v>
      </c>
      <c r="D22" s="116" t="s">
        <v>252</v>
      </c>
      <c r="E22" s="117">
        <f>'5C1N_Delta'!$C$84</f>
        <v>482</v>
      </c>
      <c r="F22" s="118"/>
      <c r="G22" s="119">
        <f>'5C1N_Delta'!$E$84</f>
        <v>2501781.7138603861</v>
      </c>
      <c r="H22" s="120">
        <f>'5C1N_Delta'!$F$84</f>
        <v>282</v>
      </c>
      <c r="I22" s="118"/>
      <c r="J22" s="119">
        <f>'5C1N_Delta'!$H$84</f>
        <v>198050.84763637191</v>
      </c>
      <c r="K22" s="120">
        <f>'5C1N_Delta'!$I$84</f>
        <v>255</v>
      </c>
      <c r="L22" s="118"/>
      <c r="M22" s="119">
        <f>'5C1N_Delta'!$K$84</f>
        <v>49437.194050812788</v>
      </c>
      <c r="N22" s="120">
        <f>'5C1N_Delta'!$L$84</f>
        <v>46</v>
      </c>
      <c r="O22" s="118"/>
      <c r="P22" s="119">
        <f>'5C1N_Delta'!$N$84</f>
        <v>217793.86107183449</v>
      </c>
      <c r="Q22" s="120">
        <f>'5C1N_Delta'!$O$84</f>
        <v>4</v>
      </c>
      <c r="R22" s="118"/>
      <c r="S22" s="119">
        <f>'5C1N_Delta'!$Q$84</f>
        <v>7428.3059826096915</v>
      </c>
      <c r="T22" s="966">
        <f>'5C1N_Delta'!$R$77</f>
        <v>59451</v>
      </c>
      <c r="U22" s="121">
        <f>'5C1N_Delta'!$R$84</f>
        <v>3033942</v>
      </c>
      <c r="V22" s="118">
        <f>'5C1N_Delta'!$S$84</f>
        <v>-19551</v>
      </c>
      <c r="W22" s="118">
        <f>'5C1N_Delta'!$T$84</f>
        <v>-28955</v>
      </c>
      <c r="X22" s="122">
        <f>'5C1N_Delta'!$U$84</f>
        <v>-48506</v>
      </c>
      <c r="Y22" s="121">
        <f>'5C1N_Delta'!$V$84</f>
        <v>2985436</v>
      </c>
      <c r="Z22" s="119">
        <f>'5C1N_Delta'!$W$84</f>
        <v>-7465</v>
      </c>
      <c r="AA22" s="121">
        <f>'5C1N_Delta'!$X$84</f>
        <v>2977971</v>
      </c>
      <c r="AB22" s="118">
        <f>'5C1N_Delta'!$Y$84</f>
        <v>2130</v>
      </c>
      <c r="AC22" s="133">
        <f>('5C1N_Delta'!$Z$79+'5C1N_Delta'!$Z$83)</f>
        <v>12390</v>
      </c>
      <c r="AD22" s="121">
        <f>'5C1N_Delta'!$Z$84</f>
        <v>2992491</v>
      </c>
      <c r="AE22" s="118">
        <f>'5C1N_Delta'!$AA$84</f>
        <v>2026528</v>
      </c>
      <c r="AF22" s="118">
        <f>'5C1N_Delta'!$AB$84</f>
        <v>965963</v>
      </c>
      <c r="AG22" s="121">
        <f>'5C1N_Delta'!$AC$84</f>
        <v>241492</v>
      </c>
      <c r="AH22" s="133">
        <f>('5C1N_Delta'!$AD$80+'5C1N_Delta'!$AD$81+'5C1N_Delta'!$AD$82)</f>
        <v>10000</v>
      </c>
      <c r="AI22" s="123">
        <f>'5C1N_Delta'!$AD$84</f>
        <v>3002491</v>
      </c>
      <c r="AJ22" s="124"/>
      <c r="AK22" s="125">
        <f>'5C1N_Delta'!$AF$84</f>
        <v>1607281</v>
      </c>
      <c r="AL22" s="117">
        <f>'5C1N_Delta'!$AG$84</f>
        <v>-8</v>
      </c>
      <c r="AM22" s="124">
        <f>'5C1N_Delta'!$AH$84</f>
        <v>-18024</v>
      </c>
      <c r="AN22" s="117">
        <f>'5C1N_Delta'!$AI$84</f>
        <v>-10</v>
      </c>
      <c r="AO22" s="126">
        <f>'5C1N_Delta'!$AJ$84</f>
        <v>-19617</v>
      </c>
      <c r="AP22" s="127">
        <f>'5C1N_Delta'!$AK$84</f>
        <v>-37641</v>
      </c>
      <c r="AQ22" s="125">
        <f>'5C1N_Delta'!$AL$84</f>
        <v>1569640</v>
      </c>
      <c r="AR22" s="128">
        <f>'5C1N_Delta'!$AM$84</f>
        <v>-3924</v>
      </c>
      <c r="AS22" s="125">
        <f>'5C1N_Delta'!$AN$84</f>
        <v>1565716</v>
      </c>
      <c r="AT22" s="126">
        <f>'5C1N_Delta'!$AO$84</f>
        <v>0</v>
      </c>
      <c r="AU22" s="125">
        <f>'5C1N_Delta'!$AP$84</f>
        <v>1565716</v>
      </c>
      <c r="AV22" s="126">
        <f>'5C1N_Delta'!$AQ$84</f>
        <v>1023616</v>
      </c>
      <c r="AW22" s="126">
        <f>'5C1N_Delta'!$AR$84</f>
        <v>542100</v>
      </c>
      <c r="AX22" s="125">
        <f>'5C1N_Delta'!$AS$84</f>
        <v>135526</v>
      </c>
    </row>
    <row r="23" spans="1:50" ht="15.75" customHeight="1" x14ac:dyDescent="0.2">
      <c r="A23" s="130" t="s">
        <v>458</v>
      </c>
      <c r="B23" s="258">
        <v>328002</v>
      </c>
      <c r="C23" s="258">
        <v>19</v>
      </c>
      <c r="D23" s="134" t="s">
        <v>262</v>
      </c>
      <c r="E23" s="135">
        <f>'5C1S_LC Col Prep'!$C$84</f>
        <v>453</v>
      </c>
      <c r="F23" s="136"/>
      <c r="G23" s="137">
        <f>'5C1S_LC Col Prep'!$E$84</f>
        <v>1449838.8018749831</v>
      </c>
      <c r="H23" s="138">
        <f>'5C1S_LC Col Prep'!$F$84</f>
        <v>339</v>
      </c>
      <c r="I23" s="136"/>
      <c r="J23" s="137">
        <f>'5C1S_LC Col Prep'!$H$84</f>
        <v>155580.3877660376</v>
      </c>
      <c r="K23" s="138">
        <f>'5C1S_LC Col Prep'!$I$84</f>
        <v>524</v>
      </c>
      <c r="L23" s="136"/>
      <c r="M23" s="137">
        <f>'5C1S_LC Col Prep'!$K$84</f>
        <v>65586.583418667491</v>
      </c>
      <c r="N23" s="138">
        <f>'5C1S_LC Col Prep'!$L$84</f>
        <v>52</v>
      </c>
      <c r="O23" s="136"/>
      <c r="P23" s="137">
        <f>'5C1S_LC Col Prep'!$N$84</f>
        <v>162714.80619135068</v>
      </c>
      <c r="Q23" s="138">
        <f>'5C1S_LC Col Prep'!$O$84</f>
        <v>0</v>
      </c>
      <c r="R23" s="136"/>
      <c r="S23" s="137">
        <f>'5C1S_LC Col Prep'!$Q$84</f>
        <v>0</v>
      </c>
      <c r="T23" s="967">
        <f>'5C1S_LC Col Prep'!$R$77</f>
        <v>60003</v>
      </c>
      <c r="U23" s="139">
        <f>'5C1S_LC Col Prep'!$R$84</f>
        <v>1893724</v>
      </c>
      <c r="V23" s="136">
        <f>'5C1S_LC Col Prep'!$S$84</f>
        <v>188555</v>
      </c>
      <c r="W23" s="136">
        <f>'5C1S_LC Col Prep'!$T$84</f>
        <v>-24284</v>
      </c>
      <c r="X23" s="140">
        <f>'5C1S_LC Col Prep'!$U$84</f>
        <v>164271</v>
      </c>
      <c r="Y23" s="139">
        <f>'5C1S_LC Col Prep'!$V$84</f>
        <v>2057995</v>
      </c>
      <c r="Z23" s="137">
        <f>'5C1S_LC Col Prep'!$W$84</f>
        <v>-5145</v>
      </c>
      <c r="AA23" s="139">
        <f>'5C1S_LC Col Prep'!$X$84</f>
        <v>2052850</v>
      </c>
      <c r="AB23" s="136">
        <f>'5C1S_LC Col Prep'!$Y$84</f>
        <v>3841</v>
      </c>
      <c r="AC23" s="141">
        <f>('5C1S_LC Col Prep'!$Z$79+'5C1S_LC Col Prep'!$Z$83)</f>
        <v>26727</v>
      </c>
      <c r="AD23" s="139">
        <f>'5C1S_LC Col Prep'!$Z$84</f>
        <v>2083418</v>
      </c>
      <c r="AE23" s="136">
        <f>'5C1S_LC Col Prep'!$AA$84</f>
        <v>1277826</v>
      </c>
      <c r="AF23" s="136">
        <f>'5C1S_LC Col Prep'!$AB$84</f>
        <v>805592</v>
      </c>
      <c r="AG23" s="139">
        <f>'5C1S_LC Col Prep'!$AC$84</f>
        <v>201398</v>
      </c>
      <c r="AH23" s="141">
        <f>('5C1S_LC Col Prep'!$AD$80+'5C1S_LC Col Prep'!$AD$81+'5C1S_LC Col Prep'!$AD$82)</f>
        <v>42898</v>
      </c>
      <c r="AI23" s="142">
        <f>'5C1S_LC Col Prep'!$AD$84</f>
        <v>2126316</v>
      </c>
      <c r="AJ23" s="143"/>
      <c r="AK23" s="144">
        <f>'5C1S_LC Col Prep'!$AF$84</f>
        <v>3286515</v>
      </c>
      <c r="AL23" s="135">
        <f>'5C1S_LC Col Prep'!$AG$84</f>
        <v>51</v>
      </c>
      <c r="AM23" s="143">
        <f>'5C1S_LC Col Prep'!$AH$84</f>
        <v>365830</v>
      </c>
      <c r="AN23" s="135">
        <f>'5C1S_LC Col Prep'!$AI$84</f>
        <v>-10</v>
      </c>
      <c r="AO23" s="145">
        <f>'5C1S_LC Col Prep'!$AJ$84</f>
        <v>-36275</v>
      </c>
      <c r="AP23" s="146">
        <f>'5C1S_LC Col Prep'!$AK$84</f>
        <v>329555</v>
      </c>
      <c r="AQ23" s="144">
        <f>'5C1S_LC Col Prep'!$AL$84</f>
        <v>3616070</v>
      </c>
      <c r="AR23" s="147">
        <f>'5C1S_LC Col Prep'!$AM$84</f>
        <v>-9040</v>
      </c>
      <c r="AS23" s="144">
        <f>'5C1S_LC Col Prep'!$AN$84</f>
        <v>3607030</v>
      </c>
      <c r="AT23" s="145">
        <f>'5C1S_LC Col Prep'!$AO$84</f>
        <v>6714</v>
      </c>
      <c r="AU23" s="144">
        <f>'5C1S_LC Col Prep'!$AP$84</f>
        <v>3613744</v>
      </c>
      <c r="AV23" s="145">
        <f>'5C1S_LC Col Prep'!$AQ$84</f>
        <v>2125544</v>
      </c>
      <c r="AW23" s="145">
        <f>'5C1S_LC Col Prep'!$AR$84</f>
        <v>1488200</v>
      </c>
      <c r="AX23" s="144">
        <f>'5C1S_LC Col Prep'!$AS$84</f>
        <v>372050</v>
      </c>
    </row>
    <row r="24" spans="1:50" ht="15.75" customHeight="1" x14ac:dyDescent="0.2">
      <c r="A24" s="130" t="s">
        <v>459</v>
      </c>
      <c r="B24" s="258" t="s">
        <v>294</v>
      </c>
      <c r="C24" s="258">
        <v>20</v>
      </c>
      <c r="D24" s="134" t="s">
        <v>263</v>
      </c>
      <c r="E24" s="135">
        <f>'5C1T_Northeast'!$C$84</f>
        <v>180</v>
      </c>
      <c r="F24" s="136"/>
      <c r="G24" s="137">
        <f>'5C1T_Northeast'!$E$84</f>
        <v>907589.00735345192</v>
      </c>
      <c r="H24" s="138">
        <f>'5C1T_Northeast'!$F$84</f>
        <v>149</v>
      </c>
      <c r="I24" s="136"/>
      <c r="J24" s="137">
        <f>'5C1T_Northeast'!$H$84</f>
        <v>99993.306370884806</v>
      </c>
      <c r="K24" s="138">
        <f>'5C1T_Northeast'!$I$84</f>
        <v>141</v>
      </c>
      <c r="L24" s="136"/>
      <c r="M24" s="137">
        <f>'5C1T_Northeast'!$K$84</f>
        <v>25631.78417551396</v>
      </c>
      <c r="N24" s="138">
        <f>'5C1T_Northeast'!$L$84</f>
        <v>22</v>
      </c>
      <c r="O24" s="136"/>
      <c r="P24" s="137">
        <f>'5C1T_Northeast'!$N$84</f>
        <v>100120.8507592768</v>
      </c>
      <c r="Q24" s="138">
        <f>'5C1T_Northeast'!$O$84</f>
        <v>0</v>
      </c>
      <c r="R24" s="136"/>
      <c r="S24" s="137">
        <f>'5C1T_Northeast'!$Q$84</f>
        <v>0</v>
      </c>
      <c r="T24" s="967">
        <f>'5C1T_Northeast'!$R$77</f>
        <v>13349</v>
      </c>
      <c r="U24" s="139">
        <f>'5C1T_Northeast'!$R$84</f>
        <v>1146683</v>
      </c>
      <c r="V24" s="136">
        <f>'5C1T_Northeast'!$S$84</f>
        <v>-23073</v>
      </c>
      <c r="W24" s="136">
        <f>'5C1T_Northeast'!$T$84</f>
        <v>20490</v>
      </c>
      <c r="X24" s="140">
        <f>'5C1T_Northeast'!$U$84</f>
        <v>-2583</v>
      </c>
      <c r="Y24" s="139">
        <f>'5C1T_Northeast'!$V$84</f>
        <v>1144100</v>
      </c>
      <c r="Z24" s="137">
        <f>'5C1T_Northeast'!$W$84</f>
        <v>-2860</v>
      </c>
      <c r="AA24" s="139">
        <f>'5C1T_Northeast'!$X$84</f>
        <v>1141240</v>
      </c>
      <c r="AB24" s="136">
        <f>'5C1T_Northeast'!$Y$84</f>
        <v>0</v>
      </c>
      <c r="AC24" s="141">
        <f>('5C1T_Northeast'!$Z$79+'5C1T_Northeast'!$Z$83)</f>
        <v>4956</v>
      </c>
      <c r="AD24" s="139">
        <f>'5C1T_Northeast'!$Z$84</f>
        <v>1146196</v>
      </c>
      <c r="AE24" s="136">
        <f>'5C1T_Northeast'!$AA$84</f>
        <v>765236</v>
      </c>
      <c r="AF24" s="136">
        <f>'5C1T_Northeast'!$AB$84</f>
        <v>380960</v>
      </c>
      <c r="AG24" s="139">
        <f>'5C1T_Northeast'!$AC$84</f>
        <v>95241</v>
      </c>
      <c r="AH24" s="141">
        <f>('5C1T_Northeast'!$AD$80+'5C1T_Northeast'!$AD$81+'5C1T_Northeast'!$AD$82)</f>
        <v>10000</v>
      </c>
      <c r="AI24" s="142">
        <f>'5C1T_Northeast'!$AD$84</f>
        <v>1156196</v>
      </c>
      <c r="AJ24" s="143"/>
      <c r="AK24" s="144">
        <f>'5C1T_Northeast'!$AF$84</f>
        <v>758385</v>
      </c>
      <c r="AL24" s="135">
        <f>'5C1T_Northeast'!$AG$84</f>
        <v>0</v>
      </c>
      <c r="AM24" s="143">
        <f>'5C1T_Northeast'!$AH$84</f>
        <v>3690</v>
      </c>
      <c r="AN24" s="135">
        <f>'5C1T_Northeast'!$AI$84</f>
        <v>4</v>
      </c>
      <c r="AO24" s="145">
        <f>'5C1T_Northeast'!$AJ$84</f>
        <v>8434</v>
      </c>
      <c r="AP24" s="146">
        <f>'5C1T_Northeast'!$AK$84</f>
        <v>12124</v>
      </c>
      <c r="AQ24" s="144">
        <f>'5C1T_Northeast'!$AL$84</f>
        <v>770509</v>
      </c>
      <c r="AR24" s="147">
        <f>'5C1T_Northeast'!$AM$84</f>
        <v>-1927</v>
      </c>
      <c r="AS24" s="144">
        <f>'5C1T_Northeast'!$AN$84</f>
        <v>768582</v>
      </c>
      <c r="AT24" s="145">
        <f>'5C1T_Northeast'!$AO$84</f>
        <v>0</v>
      </c>
      <c r="AU24" s="144">
        <f>'5C1T_Northeast'!$AP$84</f>
        <v>768582</v>
      </c>
      <c r="AV24" s="145">
        <f>'5C1T_Northeast'!$AQ$84</f>
        <v>514766</v>
      </c>
      <c r="AW24" s="145">
        <f>'5C1T_Northeast'!$AR$84</f>
        <v>253816</v>
      </c>
      <c r="AX24" s="144">
        <f>'5C1T_Northeast'!$AS$84</f>
        <v>63455</v>
      </c>
    </row>
    <row r="25" spans="1:50" ht="15.75" customHeight="1" x14ac:dyDescent="0.2">
      <c r="A25" s="130" t="s">
        <v>460</v>
      </c>
      <c r="B25" s="258" t="s">
        <v>295</v>
      </c>
      <c r="C25" s="258">
        <v>21</v>
      </c>
      <c r="D25" s="134" t="s">
        <v>264</v>
      </c>
      <c r="E25" s="135">
        <f>'5C1U_Acadiana Ren'!$C$84</f>
        <v>892</v>
      </c>
      <c r="F25" s="136"/>
      <c r="G25" s="137">
        <f>'5C1U_Acadiana Ren'!$E$84</f>
        <v>3345456.1438638023</v>
      </c>
      <c r="H25" s="138">
        <f>'5C1U_Acadiana Ren'!$F$84</f>
        <v>367</v>
      </c>
      <c r="I25" s="136"/>
      <c r="J25" s="137">
        <f>'5C1U_Acadiana Ren'!$H$84</f>
        <v>191515.10902041494</v>
      </c>
      <c r="K25" s="138">
        <f>'5C1U_Acadiana Ren'!$I$84</f>
        <v>184</v>
      </c>
      <c r="L25" s="136"/>
      <c r="M25" s="137">
        <f>'5C1U_Acadiana Ren'!$K$84</f>
        <v>25710.514294098812</v>
      </c>
      <c r="N25" s="138">
        <f>'5C1U_Acadiana Ren'!$L$84</f>
        <v>53</v>
      </c>
      <c r="O25" s="136"/>
      <c r="P25" s="137">
        <f>'5C1U_Acadiana Ren'!$N$84</f>
        <v>187787.65634943804</v>
      </c>
      <c r="Q25" s="138">
        <f>'5C1U_Acadiana Ren'!$O$84</f>
        <v>41</v>
      </c>
      <c r="R25" s="136"/>
      <c r="S25" s="137">
        <f>'5C1U_Acadiana Ren'!$Q$84</f>
        <v>55728.89912180986</v>
      </c>
      <c r="T25" s="967">
        <f>'5C1U_Acadiana Ren'!$R$77</f>
        <v>90224</v>
      </c>
      <c r="U25" s="139">
        <f>'5C1U_Acadiana Ren'!$R$84</f>
        <v>3896423</v>
      </c>
      <c r="V25" s="136">
        <f>'5C1U_Acadiana Ren'!$S$84</f>
        <v>20863</v>
      </c>
      <c r="W25" s="136">
        <f>'5C1U_Acadiana Ren'!$T$84</f>
        <v>-6714</v>
      </c>
      <c r="X25" s="140">
        <f>'5C1U_Acadiana Ren'!$U$84</f>
        <v>14149</v>
      </c>
      <c r="Y25" s="139">
        <f>'5C1U_Acadiana Ren'!$V$84</f>
        <v>3910572</v>
      </c>
      <c r="Z25" s="137">
        <f>'5C1U_Acadiana Ren'!$W$84</f>
        <v>-9776</v>
      </c>
      <c r="AA25" s="139">
        <f>'5C1U_Acadiana Ren'!$X$84</f>
        <v>3900796</v>
      </c>
      <c r="AB25" s="136">
        <f>'5C1U_Acadiana Ren'!$Y$84</f>
        <v>0</v>
      </c>
      <c r="AC25" s="141">
        <f>('5C1U_Acadiana Ren'!$Z$79+'5C1U_Acadiana Ren'!$Z$83)</f>
        <v>11210</v>
      </c>
      <c r="AD25" s="139">
        <f>'5C1U_Acadiana Ren'!$Z$84</f>
        <v>3912006</v>
      </c>
      <c r="AE25" s="136">
        <f>'5C1U_Acadiana Ren'!$AA$84</f>
        <v>2599496</v>
      </c>
      <c r="AF25" s="136">
        <f>'5C1U_Acadiana Ren'!$AB$84</f>
        <v>1312510</v>
      </c>
      <c r="AG25" s="139">
        <f>'5C1U_Acadiana Ren'!$AC$84</f>
        <v>328129</v>
      </c>
      <c r="AH25" s="141">
        <f>('5C1U_Acadiana Ren'!$AD$80+'5C1U_Acadiana Ren'!$AD$81+'5C1U_Acadiana Ren'!$AD$82)</f>
        <v>0</v>
      </c>
      <c r="AI25" s="142">
        <f>'5C1U_Acadiana Ren'!$AD$84</f>
        <v>3912006</v>
      </c>
      <c r="AJ25" s="143"/>
      <c r="AK25" s="144">
        <f>'5C1U_Acadiana Ren'!$AF$84</f>
        <v>4838691</v>
      </c>
      <c r="AL25" s="135">
        <f>'5C1U_Acadiana Ren'!$AG$84</f>
        <v>4</v>
      </c>
      <c r="AM25" s="143">
        <f>'5C1U_Acadiana Ren'!$AH$84</f>
        <v>6900</v>
      </c>
      <c r="AN25" s="135">
        <f>'5C1U_Acadiana Ren'!$AI$84</f>
        <v>0</v>
      </c>
      <c r="AO25" s="145">
        <f>'5C1U_Acadiana Ren'!$AJ$84</f>
        <v>5010</v>
      </c>
      <c r="AP25" s="146">
        <f>'5C1U_Acadiana Ren'!$AK$84</f>
        <v>11910</v>
      </c>
      <c r="AQ25" s="144">
        <f>'5C1U_Acadiana Ren'!$AL$84</f>
        <v>4850601</v>
      </c>
      <c r="AR25" s="147">
        <f>'5C1U_Acadiana Ren'!$AM$84</f>
        <v>-12126</v>
      </c>
      <c r="AS25" s="144">
        <f>'5C1U_Acadiana Ren'!$AN$84</f>
        <v>4838475</v>
      </c>
      <c r="AT25" s="145">
        <f>'5C1U_Acadiana Ren'!$AO$84</f>
        <v>0</v>
      </c>
      <c r="AU25" s="144">
        <f>'5C1U_Acadiana Ren'!$AP$84</f>
        <v>4838475</v>
      </c>
      <c r="AV25" s="145">
        <f>'5C1U_Acadiana Ren'!$AQ$84</f>
        <v>3096020</v>
      </c>
      <c r="AW25" s="145">
        <f>'5C1U_Acadiana Ren'!$AR$84</f>
        <v>1742455</v>
      </c>
      <c r="AX25" s="144">
        <f>'5C1U_Acadiana Ren'!$AS$84</f>
        <v>435614</v>
      </c>
    </row>
    <row r="26" spans="1:50" ht="15.75" customHeight="1" x14ac:dyDescent="0.2">
      <c r="A26" s="131" t="s">
        <v>461</v>
      </c>
      <c r="B26" s="259" t="s">
        <v>286</v>
      </c>
      <c r="C26" s="776">
        <v>11</v>
      </c>
      <c r="D26" s="148" t="s">
        <v>251</v>
      </c>
      <c r="E26" s="149">
        <f>'5C1I_LA Key'!$C$84</f>
        <v>348</v>
      </c>
      <c r="F26" s="150"/>
      <c r="G26" s="151">
        <f>'5C1I_LA Key'!$E$84</f>
        <v>1280431.9672575977</v>
      </c>
      <c r="H26" s="152">
        <f>'5C1I_LA Key'!$F$84</f>
        <v>226</v>
      </c>
      <c r="I26" s="150"/>
      <c r="J26" s="151">
        <f>'5C1I_LA Key'!$H$84</f>
        <v>104470.64097879833</v>
      </c>
      <c r="K26" s="152">
        <f>'5C1I_LA Key'!$I$84</f>
        <v>81</v>
      </c>
      <c r="L26" s="150"/>
      <c r="M26" s="151">
        <f>'5C1I_LA Key'!$K$84</f>
        <v>10493.265608977063</v>
      </c>
      <c r="N26" s="152">
        <f>'5C1I_LA Key'!$L$84</f>
        <v>211</v>
      </c>
      <c r="O26" s="150"/>
      <c r="P26" s="151">
        <f>'5C1I_LA Key'!$N$84</f>
        <v>670500.39411167486</v>
      </c>
      <c r="Q26" s="152">
        <f>'5C1I_LA Key'!$O$84</f>
        <v>0</v>
      </c>
      <c r="R26" s="150"/>
      <c r="S26" s="151">
        <f>'5C1I_LA Key'!$Q$84</f>
        <v>0</v>
      </c>
      <c r="T26" s="968">
        <f>'5C1I_LA Key'!$R$77</f>
        <v>72749</v>
      </c>
      <c r="U26" s="153">
        <f>'5C1I_LA Key'!$R$84</f>
        <v>2138646</v>
      </c>
      <c r="V26" s="150">
        <f>'5C1I_LA Key'!$S$84</f>
        <v>175960</v>
      </c>
      <c r="W26" s="150">
        <f>'5C1I_LA Key'!$T$84</f>
        <v>57300</v>
      </c>
      <c r="X26" s="154">
        <f>'5C1I_LA Key'!$U$84</f>
        <v>233260</v>
      </c>
      <c r="Y26" s="153">
        <f>'5C1I_LA Key'!$V$84</f>
        <v>2371906</v>
      </c>
      <c r="Z26" s="151">
        <f>'5C1I_LA Key'!$W$84</f>
        <v>-5933</v>
      </c>
      <c r="AA26" s="153">
        <f>'5C1I_LA Key'!$X$84</f>
        <v>2365973</v>
      </c>
      <c r="AB26" s="150">
        <f>'5C1I_LA Key'!$Y$84</f>
        <v>0</v>
      </c>
      <c r="AC26" s="155">
        <f>('5C1I_LA Key'!$Z$79+'5C1I_LA Key'!$Z$83)</f>
        <v>2419</v>
      </c>
      <c r="AD26" s="153">
        <f>'5C1I_LA Key'!$Z$84</f>
        <v>2368392</v>
      </c>
      <c r="AE26" s="156">
        <f>'5C1I_LA Key'!$AA$84</f>
        <v>1524384</v>
      </c>
      <c r="AF26" s="150">
        <f>'5C1I_LA Key'!$AB$84</f>
        <v>844008</v>
      </c>
      <c r="AG26" s="157">
        <f>'5C1I_LA Key'!$AC$84</f>
        <v>211001</v>
      </c>
      <c r="AH26" s="155">
        <f>('5C1I_LA Key'!$AD$80+'5C1I_LA Key'!$AD$81+'5C1I_LA Key'!$AD$82)</f>
        <v>0</v>
      </c>
      <c r="AI26" s="157">
        <f>'5C1I_LA Key'!$AD$84</f>
        <v>2368392</v>
      </c>
      <c r="AJ26" s="158"/>
      <c r="AK26" s="159">
        <f>'5C1I_LA Key'!$AF$84</f>
        <v>2530887</v>
      </c>
      <c r="AL26" s="149">
        <f>'5C1I_LA Key'!$AG$84</f>
        <v>32</v>
      </c>
      <c r="AM26" s="158">
        <f>'5C1I_LA Key'!$AH$84</f>
        <v>201475</v>
      </c>
      <c r="AN26" s="149">
        <f>'5C1I_LA Key'!$AI$84</f>
        <v>10</v>
      </c>
      <c r="AO26" s="160">
        <f>'5C1I_LA Key'!$AJ$84</f>
        <v>37256</v>
      </c>
      <c r="AP26" s="161">
        <f>'5C1I_LA Key'!$AK$84</f>
        <v>238731</v>
      </c>
      <c r="AQ26" s="159">
        <f>'5C1I_LA Key'!$AL$84</f>
        <v>2769618</v>
      </c>
      <c r="AR26" s="162">
        <f>'5C1I_LA Key'!$AM$84</f>
        <v>-6923</v>
      </c>
      <c r="AS26" s="159">
        <f>'5C1I_LA Key'!$AN$84</f>
        <v>2762695</v>
      </c>
      <c r="AT26" s="160">
        <f>'5C1I_LA Key'!$AO$84</f>
        <v>0</v>
      </c>
      <c r="AU26" s="159">
        <f>'5C1I_LA Key'!$AP$84</f>
        <v>2762695</v>
      </c>
      <c r="AV26" s="160">
        <f>'5C1I_LA Key'!$AQ$84</f>
        <v>1840822</v>
      </c>
      <c r="AW26" s="160">
        <f>'5C1I_LA Key'!$AR$84</f>
        <v>921873</v>
      </c>
      <c r="AX26" s="159">
        <f>'5C1I_LA Key'!$AS$84</f>
        <v>230470</v>
      </c>
    </row>
    <row r="27" spans="1:50" ht="15.75" customHeight="1" x14ac:dyDescent="0.2">
      <c r="A27" s="129" t="s">
        <v>462</v>
      </c>
      <c r="B27" s="257" t="s">
        <v>296</v>
      </c>
      <c r="C27" s="772">
        <v>22</v>
      </c>
      <c r="D27" s="116" t="s">
        <v>265</v>
      </c>
      <c r="E27" s="117">
        <f>'5C1V_Laf Ren'!$C$84</f>
        <v>906</v>
      </c>
      <c r="F27" s="118"/>
      <c r="G27" s="119">
        <f>'5C1V_Laf Ren'!$E$84</f>
        <v>3393935.22288353</v>
      </c>
      <c r="H27" s="120">
        <f>'5C1V_Laf Ren'!$F$84</f>
        <v>725</v>
      </c>
      <c r="I27" s="118"/>
      <c r="J27" s="119">
        <f>'5C1V_Laf Ren'!$H$84</f>
        <v>371662.32019879163</v>
      </c>
      <c r="K27" s="120">
        <f>'5C1V_Laf Ren'!$I$84</f>
        <v>299</v>
      </c>
      <c r="L27" s="118"/>
      <c r="M27" s="119">
        <f>'5C1V_Laf Ren'!$K$84</f>
        <v>42319.218368546266</v>
      </c>
      <c r="N27" s="120">
        <f>'5C1V_Laf Ren'!$L$84</f>
        <v>68</v>
      </c>
      <c r="O27" s="118"/>
      <c r="P27" s="119">
        <f>'5C1V_Laf Ren'!$N$84</f>
        <v>239467.66381767023</v>
      </c>
      <c r="Q27" s="120">
        <f>'5C1V_Laf Ren'!$O$84</f>
        <v>15</v>
      </c>
      <c r="R27" s="118"/>
      <c r="S27" s="119">
        <f>'5C1V_Laf Ren'!$Q$84</f>
        <v>23331.481760437713</v>
      </c>
      <c r="T27" s="966">
        <f>'5C1V_Laf Ren'!$R$77</f>
        <v>99468</v>
      </c>
      <c r="U27" s="121">
        <f>'5C1V_Laf Ren'!$R$84</f>
        <v>4170184</v>
      </c>
      <c r="V27" s="118">
        <f>'5C1V_Laf Ren'!$S$84</f>
        <v>323099</v>
      </c>
      <c r="W27" s="118">
        <f>'5C1V_Laf Ren'!$T$84</f>
        <v>-25958</v>
      </c>
      <c r="X27" s="122">
        <f>'5C1V_Laf Ren'!$U$84</f>
        <v>297141</v>
      </c>
      <c r="Y27" s="121">
        <f>'5C1V_Laf Ren'!$V$84</f>
        <v>4467325</v>
      </c>
      <c r="Z27" s="119">
        <f>'5C1V_Laf Ren'!$W$84</f>
        <v>-11168</v>
      </c>
      <c r="AA27" s="121">
        <f>'5C1V_Laf Ren'!$X$84</f>
        <v>4456157</v>
      </c>
      <c r="AB27" s="118">
        <f>'5C1V_Laf Ren'!$Y$84</f>
        <v>2876</v>
      </c>
      <c r="AC27" s="133">
        <f>('5C1V_Laf Ren'!$Z$79+'5C1V_Laf Ren'!$Z$83)</f>
        <v>11564</v>
      </c>
      <c r="AD27" s="121">
        <f>'5C1V_Laf Ren'!$Z$84</f>
        <v>4470597</v>
      </c>
      <c r="AE27" s="118">
        <f>'5C1V_Laf Ren'!$AA$84</f>
        <v>2780582</v>
      </c>
      <c r="AF27" s="118">
        <f>'5C1V_Laf Ren'!$AB$84</f>
        <v>1690015</v>
      </c>
      <c r="AG27" s="121">
        <f>'5C1V_Laf Ren'!$AC$84</f>
        <v>422505</v>
      </c>
      <c r="AH27" s="133">
        <f>('5C1V_Laf Ren'!$AD$80+'5C1V_Laf Ren'!$AD$81+'5C1V_Laf Ren'!$AD$82)</f>
        <v>0</v>
      </c>
      <c r="AI27" s="123">
        <f>'5C1V_Laf Ren'!$AD$84</f>
        <v>4470597</v>
      </c>
      <c r="AJ27" s="124"/>
      <c r="AK27" s="125">
        <f>'5C1V_Laf Ren'!$AF$84</f>
        <v>4786627</v>
      </c>
      <c r="AL27" s="117">
        <f>'5C1V_Laf Ren'!$AG$84</f>
        <v>73</v>
      </c>
      <c r="AM27" s="124">
        <f>'5C1V_Laf Ren'!$AH$84</f>
        <v>455366</v>
      </c>
      <c r="AN27" s="117">
        <f>'5C1V_Laf Ren'!$AI$84</f>
        <v>-11</v>
      </c>
      <c r="AO27" s="126">
        <f>'5C1V_Laf Ren'!$AJ$84</f>
        <v>-33168</v>
      </c>
      <c r="AP27" s="127">
        <f>'5C1V_Laf Ren'!$AK$84</f>
        <v>422198</v>
      </c>
      <c r="AQ27" s="125">
        <f>'5C1V_Laf Ren'!$AL$84</f>
        <v>5208825</v>
      </c>
      <c r="AR27" s="128">
        <f>'5C1V_Laf Ren'!$AM$84</f>
        <v>-13021</v>
      </c>
      <c r="AS27" s="125">
        <f>'5C1V_Laf Ren'!$AN$84</f>
        <v>5195804</v>
      </c>
      <c r="AT27" s="126">
        <f>'5C1V_Laf Ren'!$AO$84</f>
        <v>1241</v>
      </c>
      <c r="AU27" s="125">
        <f>'5C1V_Laf Ren'!$AP$84</f>
        <v>5197045</v>
      </c>
      <c r="AV27" s="126">
        <f>'5C1V_Laf Ren'!$AQ$84</f>
        <v>3063376</v>
      </c>
      <c r="AW27" s="126">
        <f>'5C1V_Laf Ren'!$AR$84</f>
        <v>2133669</v>
      </c>
      <c r="AX27" s="125">
        <f>'5C1V_Laf Ren'!$AS$84</f>
        <v>533418</v>
      </c>
    </row>
    <row r="28" spans="1:50" ht="15.75" customHeight="1" x14ac:dyDescent="0.2">
      <c r="A28" s="130" t="s">
        <v>463</v>
      </c>
      <c r="B28" s="258" t="s">
        <v>291</v>
      </c>
      <c r="C28" s="258">
        <v>15</v>
      </c>
      <c r="D28" s="134" t="s">
        <v>260</v>
      </c>
      <c r="E28" s="135">
        <f>'5C1O_Impact'!$C$84</f>
        <v>337</v>
      </c>
      <c r="F28" s="136"/>
      <c r="G28" s="137">
        <f>'5C1O_Impact'!$E$84</f>
        <v>1506239.7460706201</v>
      </c>
      <c r="H28" s="138">
        <f>'5C1O_Impact'!$F$84</f>
        <v>292</v>
      </c>
      <c r="I28" s="136"/>
      <c r="J28" s="137">
        <f>'5C1O_Impact'!$H$84</f>
        <v>165832.32960507207</v>
      </c>
      <c r="K28" s="138">
        <f>'5C1O_Impact'!$I$84</f>
        <v>37</v>
      </c>
      <c r="L28" s="136"/>
      <c r="M28" s="137">
        <f>'5C1O_Impact'!$K$84</f>
        <v>6236.2418055024082</v>
      </c>
      <c r="N28" s="138">
        <f>'5C1O_Impact'!$L$84</f>
        <v>41</v>
      </c>
      <c r="O28" s="136"/>
      <c r="P28" s="137">
        <f>'5C1O_Impact'!$N$84</f>
        <v>151751.12053727469</v>
      </c>
      <c r="Q28" s="138">
        <f>'5C1O_Impact'!$O$84</f>
        <v>0</v>
      </c>
      <c r="R28" s="136"/>
      <c r="S28" s="137">
        <f>'5C1O_Impact'!$Q$84</f>
        <v>0</v>
      </c>
      <c r="T28" s="967">
        <f>'5C1O_Impact'!$R$77</f>
        <v>50331</v>
      </c>
      <c r="U28" s="139">
        <f>'5C1O_Impact'!$R$84</f>
        <v>1880391</v>
      </c>
      <c r="V28" s="136">
        <f>'5C1O_Impact'!$S$84</f>
        <v>296201</v>
      </c>
      <c r="W28" s="136">
        <f>'5C1O_Impact'!$T$84</f>
        <v>-267</v>
      </c>
      <c r="X28" s="140">
        <f>'5C1O_Impact'!$U$84</f>
        <v>295934</v>
      </c>
      <c r="Y28" s="139">
        <f>'5C1O_Impact'!$V$84</f>
        <v>2176325</v>
      </c>
      <c r="Z28" s="137">
        <f>'5C1O_Impact'!$W$84</f>
        <v>-5441</v>
      </c>
      <c r="AA28" s="139">
        <f>'5C1O_Impact'!$X$84</f>
        <v>2170884</v>
      </c>
      <c r="AB28" s="136">
        <f>'5C1O_Impact'!$Y$84</f>
        <v>3606</v>
      </c>
      <c r="AC28" s="141">
        <f>('5C1O_Impact'!$Z$79+'5C1O_Impact'!$Z$83)</f>
        <v>1593</v>
      </c>
      <c r="AD28" s="139">
        <f>'5C1O_Impact'!$Z$84</f>
        <v>2176083</v>
      </c>
      <c r="AE28" s="136">
        <f>'5C1O_Impact'!$AA$84</f>
        <v>1252848</v>
      </c>
      <c r="AF28" s="136">
        <f>'5C1O_Impact'!$AB$84</f>
        <v>923235</v>
      </c>
      <c r="AG28" s="139">
        <f>'5C1O_Impact'!$AC$84</f>
        <v>230809</v>
      </c>
      <c r="AH28" s="141">
        <f>('5C1O_Impact'!$AD$80+'5C1O_Impact'!$AD$81+'5C1O_Impact'!$AD$82)</f>
        <v>3856</v>
      </c>
      <c r="AI28" s="142">
        <f>'5C1O_Impact'!$AD$84</f>
        <v>2179939</v>
      </c>
      <c r="AJ28" s="143"/>
      <c r="AK28" s="144">
        <f>'5C1O_Impact'!$AF$84</f>
        <v>1834708</v>
      </c>
      <c r="AL28" s="135">
        <f>'5C1O_Impact'!$AG$84</f>
        <v>57</v>
      </c>
      <c r="AM28" s="143">
        <f>'5C1O_Impact'!$AH$84</f>
        <v>250160</v>
      </c>
      <c r="AN28" s="135">
        <f>'5C1O_Impact'!$AI$84</f>
        <v>7</v>
      </c>
      <c r="AO28" s="145">
        <f>'5C1O_Impact'!$AJ$84</f>
        <v>54311</v>
      </c>
      <c r="AP28" s="146">
        <f>'5C1O_Impact'!$AK$84</f>
        <v>304471</v>
      </c>
      <c r="AQ28" s="144">
        <f>'5C1O_Impact'!$AL$84</f>
        <v>2139179</v>
      </c>
      <c r="AR28" s="147">
        <f>'5C1O_Impact'!$AM$84</f>
        <v>-5348</v>
      </c>
      <c r="AS28" s="144">
        <f>'5C1O_Impact'!$AN$84</f>
        <v>2133831</v>
      </c>
      <c r="AT28" s="145">
        <f>'5C1O_Impact'!$AO$84</f>
        <v>7721</v>
      </c>
      <c r="AU28" s="144">
        <f>'5C1O_Impact'!$AP$84</f>
        <v>2141552</v>
      </c>
      <c r="AV28" s="145">
        <f>'5C1O_Impact'!$AQ$84</f>
        <v>1226634</v>
      </c>
      <c r="AW28" s="145">
        <f>'5C1O_Impact'!$AR$84</f>
        <v>914918</v>
      </c>
      <c r="AX28" s="144">
        <f>'5C1O_Impact'!$AS$84</f>
        <v>228729</v>
      </c>
    </row>
    <row r="29" spans="1:50" ht="15.75" customHeight="1" x14ac:dyDescent="0.2">
      <c r="A29" s="130" t="s">
        <v>464</v>
      </c>
      <c r="B29" s="258">
        <v>343002</v>
      </c>
      <c r="C29" s="258">
        <v>44</v>
      </c>
      <c r="D29" s="134" t="s">
        <v>408</v>
      </c>
      <c r="E29" s="135">
        <f>'5C2_LAVCA'!$C$84</f>
        <v>1911</v>
      </c>
      <c r="F29" s="136"/>
      <c r="G29" s="137">
        <f>'5C2_LAVCA'!$E$84</f>
        <v>7503893.4008335685</v>
      </c>
      <c r="H29" s="138">
        <f>'5C2_LAVCA'!$F$84</f>
        <v>1599</v>
      </c>
      <c r="I29" s="136"/>
      <c r="J29" s="137">
        <f>'5C2_LAVCA'!$H$84</f>
        <v>849451.25011197233</v>
      </c>
      <c r="K29" s="138">
        <f>'5C2_LAVCA'!$I$84</f>
        <v>575.5</v>
      </c>
      <c r="L29" s="136"/>
      <c r="M29" s="137">
        <f>'5C2_LAVCA'!$K$84</f>
        <v>82849.085701654985</v>
      </c>
      <c r="N29" s="138">
        <f>'5C2_LAVCA'!$L$84</f>
        <v>255</v>
      </c>
      <c r="O29" s="136"/>
      <c r="P29" s="137">
        <f>'5C2_LAVCA'!$N$84</f>
        <v>939636.85396715207</v>
      </c>
      <c r="Q29" s="138">
        <f>'5C2_LAVCA'!$O$84</f>
        <v>47</v>
      </c>
      <c r="R29" s="136"/>
      <c r="S29" s="137">
        <f>'5C2_LAVCA'!$Q$84</f>
        <v>67835.661565471601</v>
      </c>
      <c r="T29" s="967">
        <f>'5C2_LAVCA'!$R$77</f>
        <v>110645</v>
      </c>
      <c r="U29" s="139">
        <f>'5C2_LAVCA'!$R$84</f>
        <v>9554313</v>
      </c>
      <c r="V29" s="136">
        <f>'5C2_LAVCA'!$T$84</f>
        <v>63350</v>
      </c>
      <c r="W29" s="136">
        <f>'5C2_LAVCA'!$U$84</f>
        <v>14215</v>
      </c>
      <c r="X29" s="140">
        <f>'5C2_LAVCA'!$V$84</f>
        <v>77565</v>
      </c>
      <c r="Y29" s="139">
        <f>'5C2_LAVCA'!$W$84</f>
        <v>9631878</v>
      </c>
      <c r="Z29" s="137">
        <f>'5C2_LAVCA'!$X$84</f>
        <v>-24078</v>
      </c>
      <c r="AA29" s="139">
        <f>'5C2_LAVCA'!$Y$84</f>
        <v>9607800</v>
      </c>
      <c r="AB29" s="136">
        <f>'5C2_LAVCA'!$Z$84</f>
        <v>6791</v>
      </c>
      <c r="AC29" s="141">
        <f>'5C2_LAVCA'!$AA$79+'5C2_LAVCA'!$AA$83</f>
        <v>62599</v>
      </c>
      <c r="AD29" s="139">
        <f>'5C2_LAVCA'!$AA$84</f>
        <v>9677190</v>
      </c>
      <c r="AE29" s="136">
        <f>'5C2_LAVCA'!$AB$84</f>
        <v>6392814</v>
      </c>
      <c r="AF29" s="136">
        <f>'5C2_LAVCA'!$AC$84</f>
        <v>3284376</v>
      </c>
      <c r="AG29" s="139">
        <f>'5C2_LAVCA'!$AD$84</f>
        <v>821105</v>
      </c>
      <c r="AH29" s="141">
        <f>'5C2_LAVCA'!$AE$80+'5C2_LAVCA'!$AE$81+'5C2_LAVCA'!$AE$82</f>
        <v>10000</v>
      </c>
      <c r="AI29" s="142">
        <f>'5C2_LAVCA'!$AE$84</f>
        <v>9687190</v>
      </c>
      <c r="AJ29" s="143"/>
      <c r="AK29" s="144">
        <f>'5C2_LAVCA'!$AG$84</f>
        <v>8697169</v>
      </c>
      <c r="AL29" s="135">
        <f>'5C2_LAVCA'!$AH$84</f>
        <v>9</v>
      </c>
      <c r="AM29" s="143">
        <f>'5C2_LAVCA'!$AI$84</f>
        <v>24898</v>
      </c>
      <c r="AN29" s="135">
        <f>'5C2_LAVCA'!$AJ$84</f>
        <v>0</v>
      </c>
      <c r="AO29" s="145">
        <f>'5C2_LAVCA'!$AK$84</f>
        <v>20405</v>
      </c>
      <c r="AP29" s="146">
        <f>'5C2_LAVCA'!$AL$84</f>
        <v>45303</v>
      </c>
      <c r="AQ29" s="144">
        <f>'5C2_LAVCA'!$AM$84</f>
        <v>8742472</v>
      </c>
      <c r="AR29" s="147">
        <f>'5C2_LAVCA'!$AN$84</f>
        <v>-21854</v>
      </c>
      <c r="AS29" s="144">
        <f>'5C2_LAVCA'!$AO$84</f>
        <v>8720618</v>
      </c>
      <c r="AT29" s="145">
        <f>'5C2_LAVCA'!$AP$84</f>
        <v>7814</v>
      </c>
      <c r="AU29" s="144">
        <f>'5C2_LAVCA'!$AQ$84</f>
        <v>8728432</v>
      </c>
      <c r="AV29" s="145">
        <f>'5C2_LAVCA'!$AR$84</f>
        <v>5736384</v>
      </c>
      <c r="AW29" s="145">
        <f>'5C2_LAVCA'!$AS$84</f>
        <v>2992048</v>
      </c>
      <c r="AX29" s="144">
        <f>'5C2_LAVCA'!$AT$84</f>
        <v>748020</v>
      </c>
    </row>
    <row r="30" spans="1:50" ht="15.75" customHeight="1" x14ac:dyDescent="0.2">
      <c r="A30" s="130" t="s">
        <v>465</v>
      </c>
      <c r="B30" s="258">
        <v>328001</v>
      </c>
      <c r="C30" s="258">
        <v>10</v>
      </c>
      <c r="D30" s="134" t="s">
        <v>254</v>
      </c>
      <c r="E30" s="135">
        <f>'5C1H_Southwest'!$C$84</f>
        <v>661</v>
      </c>
      <c r="F30" s="136"/>
      <c r="G30" s="137">
        <f>'5C1H_Southwest'!$E$84</f>
        <v>2115548.4504180215</v>
      </c>
      <c r="H30" s="138">
        <f>'5C1H_Southwest'!$F$84</f>
        <v>617</v>
      </c>
      <c r="I30" s="136"/>
      <c r="J30" s="137">
        <f>'5C1H_Southwest'!$H$84</f>
        <v>283165.48451812746</v>
      </c>
      <c r="K30" s="138">
        <f>'5C1H_Southwest'!$I$84</f>
        <v>72</v>
      </c>
      <c r="L30" s="136"/>
      <c r="M30" s="137">
        <f>'5C1H_Southwest'!$K$84</f>
        <v>9011.89695829019</v>
      </c>
      <c r="N30" s="138">
        <f>'5C1H_Southwest'!$L$84</f>
        <v>76</v>
      </c>
      <c r="O30" s="136"/>
      <c r="P30" s="137">
        <f>'5C1H_Southwest'!$N$84</f>
        <v>237813.9475104356</v>
      </c>
      <c r="Q30" s="138">
        <f>'5C1H_Southwest'!$O$84</f>
        <v>0</v>
      </c>
      <c r="R30" s="136"/>
      <c r="S30" s="137">
        <f>'5C1H_Southwest'!$Q$84</f>
        <v>0</v>
      </c>
      <c r="T30" s="967">
        <f>'5C1H_Southwest'!$R$77</f>
        <v>79107</v>
      </c>
      <c r="U30" s="139">
        <f>'5C1H_Southwest'!$R$84</f>
        <v>2724647</v>
      </c>
      <c r="V30" s="136">
        <f>'5C1H_Southwest'!$S$84</f>
        <v>122705</v>
      </c>
      <c r="W30" s="136">
        <f>'5C1H_Southwest'!$T$84</f>
        <v>-13029</v>
      </c>
      <c r="X30" s="140">
        <f>'5C1H_Southwest'!$U$84</f>
        <v>109676</v>
      </c>
      <c r="Y30" s="139">
        <f>'5C1H_Southwest'!$V$84</f>
        <v>2834323</v>
      </c>
      <c r="Z30" s="137">
        <f>'5C1H_Southwest'!$W$84</f>
        <v>-7086</v>
      </c>
      <c r="AA30" s="139">
        <f>'5C1H_Southwest'!$X$84</f>
        <v>2827237</v>
      </c>
      <c r="AB30" s="136">
        <f>'5C1H_Southwest'!$Y$84</f>
        <v>0</v>
      </c>
      <c r="AC30" s="141">
        <f>('5C1H_Southwest'!$Z$79+'5C1H_Southwest'!$Z$83)</f>
        <v>9263</v>
      </c>
      <c r="AD30" s="139">
        <f>'5C1H_Southwest'!$Z$84</f>
        <v>2836500</v>
      </c>
      <c r="AE30" s="136">
        <f>'5C1H_Southwest'!$AA$84</f>
        <v>1816786</v>
      </c>
      <c r="AF30" s="136">
        <f>'5C1H_Southwest'!$AB$84</f>
        <v>1019714</v>
      </c>
      <c r="AG30" s="139">
        <f>'5C1H_Southwest'!$AC$84</f>
        <v>254929</v>
      </c>
      <c r="AH30" s="141">
        <f>('5C1H_Southwest'!$AD$80+'5C1H_Southwest'!$AD$81+'5C1H_Southwest'!$AD$82)</f>
        <v>0</v>
      </c>
      <c r="AI30" s="142">
        <f>'5C1H_Southwest'!$AD$84</f>
        <v>2836500</v>
      </c>
      <c r="AJ30" s="143"/>
      <c r="AK30" s="144">
        <f>'5C1H_Southwest'!$AF$84</f>
        <v>4795555</v>
      </c>
      <c r="AL30" s="135">
        <f>'5C1H_Southwest'!$AG$84</f>
        <v>33</v>
      </c>
      <c r="AM30" s="143">
        <f>'5C1H_Southwest'!$AH$84</f>
        <v>233856</v>
      </c>
      <c r="AN30" s="135">
        <f>'5C1H_Southwest'!$AI$84</f>
        <v>-9</v>
      </c>
      <c r="AO30" s="145">
        <f>'5C1H_Southwest'!$AJ$84</f>
        <v>-33453</v>
      </c>
      <c r="AP30" s="146">
        <f>'5C1H_Southwest'!$AK$84</f>
        <v>200403</v>
      </c>
      <c r="AQ30" s="144">
        <f>'5C1H_Southwest'!$AL$84</f>
        <v>4995958</v>
      </c>
      <c r="AR30" s="147">
        <f>'5C1H_Southwest'!$AM$84</f>
        <v>-12489</v>
      </c>
      <c r="AS30" s="144">
        <f>'5C1H_Southwest'!$AN$84</f>
        <v>4983469</v>
      </c>
      <c r="AT30" s="145">
        <f>'5C1H_Southwest'!$AO$84</f>
        <v>0</v>
      </c>
      <c r="AU30" s="144">
        <f>'5C1H_Southwest'!$AP$84</f>
        <v>4983469</v>
      </c>
      <c r="AV30" s="145">
        <f>'5C1H_Southwest'!$AQ$84</f>
        <v>3094976</v>
      </c>
      <c r="AW30" s="145">
        <f>'5C1H_Southwest'!$AR$84</f>
        <v>1888493</v>
      </c>
      <c r="AX30" s="144">
        <f>'5C1H_Southwest'!$AS$84</f>
        <v>472124</v>
      </c>
    </row>
    <row r="31" spans="1:50" ht="15.75" customHeight="1" x14ac:dyDescent="0.2">
      <c r="A31" s="131" t="s">
        <v>466</v>
      </c>
      <c r="B31" s="259">
        <v>349001</v>
      </c>
      <c r="C31" s="776">
        <v>9</v>
      </c>
      <c r="D31" s="148" t="s">
        <v>259</v>
      </c>
      <c r="E31" s="149">
        <f>'5C1G_JS Clark'!$C$84</f>
        <v>224</v>
      </c>
      <c r="F31" s="150"/>
      <c r="G31" s="151">
        <f>'5C1G_JS Clark'!$E$84</f>
        <v>1022246.8229956694</v>
      </c>
      <c r="H31" s="152">
        <f>'5C1G_JS Clark'!$F$84</f>
        <v>224</v>
      </c>
      <c r="I31" s="150"/>
      <c r="J31" s="151">
        <f>'5C1G_JS Clark'!$H$84</f>
        <v>149375.59771589661</v>
      </c>
      <c r="K31" s="152">
        <f>'5C1G_JS Clark'!$I$84</f>
        <v>159</v>
      </c>
      <c r="L31" s="150"/>
      <c r="M31" s="151">
        <f>'5C1G_JS Clark'!$K$84</f>
        <v>28903.944981495813</v>
      </c>
      <c r="N31" s="152">
        <f>'5C1G_JS Clark'!$L$84</f>
        <v>13</v>
      </c>
      <c r="O31" s="150"/>
      <c r="P31" s="151">
        <f>'5C1G_JS Clark'!$N$84</f>
        <v>59312.669947634917</v>
      </c>
      <c r="Q31" s="152">
        <f>'5C1G_JS Clark'!$O$84</f>
        <v>3</v>
      </c>
      <c r="R31" s="150"/>
      <c r="S31" s="151">
        <f>'5C1G_JS Clark'!$Q$84</f>
        <v>5546.4862296855299</v>
      </c>
      <c r="T31" s="968">
        <f>'5C1G_JS Clark'!$R$77</f>
        <v>32976</v>
      </c>
      <c r="U31" s="153">
        <f>'5C1G_JS Clark'!$R$84</f>
        <v>1298361</v>
      </c>
      <c r="V31" s="150">
        <f>'5C1G_JS Clark'!$S$84</f>
        <v>120941</v>
      </c>
      <c r="W31" s="150">
        <f>'5C1G_JS Clark'!$T$84</f>
        <v>-24303</v>
      </c>
      <c r="X31" s="154">
        <f>'5C1G_JS Clark'!$U$84</f>
        <v>96638</v>
      </c>
      <c r="Y31" s="153">
        <f>'5C1G_JS Clark'!$V$84</f>
        <v>1394999</v>
      </c>
      <c r="Z31" s="151">
        <f>'5C1G_JS Clark'!$W$84</f>
        <v>-3487</v>
      </c>
      <c r="AA31" s="153">
        <f>'5C1G_JS Clark'!$X$84</f>
        <v>1391512</v>
      </c>
      <c r="AB31" s="150">
        <f>'5C1G_JS Clark'!$Y$84</f>
        <v>0</v>
      </c>
      <c r="AC31" s="155">
        <f>('5C1G_JS Clark'!$Z$79+'5C1G_JS Clark'!$Z$83)</f>
        <v>10974</v>
      </c>
      <c r="AD31" s="153">
        <f>'5C1G_JS Clark'!$Z$84</f>
        <v>1402486</v>
      </c>
      <c r="AE31" s="156">
        <f>'5C1G_JS Clark'!$AA$84</f>
        <v>870010</v>
      </c>
      <c r="AF31" s="150">
        <f>'5C1G_JS Clark'!$AB$84</f>
        <v>532476</v>
      </c>
      <c r="AG31" s="157">
        <f>'5C1G_JS Clark'!$AC$84</f>
        <v>133119</v>
      </c>
      <c r="AH31" s="155">
        <f>('5C1G_JS Clark'!$AD$80+'5C1G_JS Clark'!$AD$81+'5C1G_JS Clark'!$AD$82)</f>
        <v>35668</v>
      </c>
      <c r="AI31" s="157">
        <f>'5C1G_JS Clark'!$AD$84</f>
        <v>1438154</v>
      </c>
      <c r="AJ31" s="158"/>
      <c r="AK31" s="159">
        <f>'5C1G_JS Clark'!$AF$84</f>
        <v>625861</v>
      </c>
      <c r="AL31" s="149">
        <f>'5C1G_JS Clark'!$AG$84</f>
        <v>25</v>
      </c>
      <c r="AM31" s="158">
        <f>'5C1G_JS Clark'!$AH$84</f>
        <v>70004</v>
      </c>
      <c r="AN31" s="149">
        <f>'5C1G_JS Clark'!$AI$84</f>
        <v>-5</v>
      </c>
      <c r="AO31" s="160">
        <f>'5C1G_JS Clark'!$AJ$84</f>
        <v>-6934</v>
      </c>
      <c r="AP31" s="161">
        <f>'5C1G_JS Clark'!$AK$84</f>
        <v>63070</v>
      </c>
      <c r="AQ31" s="159">
        <f>'5C1G_JS Clark'!$AL$84</f>
        <v>688931</v>
      </c>
      <c r="AR31" s="162">
        <f>'5C1G_JS Clark'!$AM$84</f>
        <v>-1723</v>
      </c>
      <c r="AS31" s="159">
        <f>'5C1G_JS Clark'!$AN$84</f>
        <v>687208</v>
      </c>
      <c r="AT31" s="160">
        <f>'5C1G_JS Clark'!$AO$84</f>
        <v>0</v>
      </c>
      <c r="AU31" s="159">
        <f>'5C1G_JS Clark'!$AP$84</f>
        <v>687208</v>
      </c>
      <c r="AV31" s="160">
        <f>'5C1G_JS Clark'!$AQ$84</f>
        <v>410472</v>
      </c>
      <c r="AW31" s="160">
        <f>'5C1G_JS Clark'!$AR$84</f>
        <v>276736</v>
      </c>
      <c r="AX31" s="159">
        <f>'5C1G_JS Clark'!$AS$84</f>
        <v>69184</v>
      </c>
    </row>
    <row r="32" spans="1:50" ht="15.75" customHeight="1" x14ac:dyDescent="0.2">
      <c r="A32" s="129" t="s">
        <v>474</v>
      </c>
      <c r="B32" s="257" t="s">
        <v>474</v>
      </c>
      <c r="C32" s="772">
        <v>34</v>
      </c>
      <c r="D32" s="116" t="s">
        <v>354</v>
      </c>
      <c r="E32" s="117">
        <f>'5C1AH_BRUP'!$C$84</f>
        <v>306</v>
      </c>
      <c r="F32" s="118"/>
      <c r="G32" s="119">
        <f>'5C1AH_BRUP'!$E$84</f>
        <v>1057643.1567930938</v>
      </c>
      <c r="H32" s="120">
        <f>'5C1AH_BRUP'!$F$84</f>
        <v>302</v>
      </c>
      <c r="I32" s="118"/>
      <c r="J32" s="119">
        <f>'5C1AH_BRUP'!$H$84</f>
        <v>132633.54951931437</v>
      </c>
      <c r="K32" s="120">
        <f>'5C1AH_BRUP'!$I$84</f>
        <v>0</v>
      </c>
      <c r="L32" s="118"/>
      <c r="M32" s="119">
        <f>'5C1AH_BRUP'!$K$84</f>
        <v>0</v>
      </c>
      <c r="N32" s="120">
        <f>'5C1AH_BRUP'!$L$84</f>
        <v>39</v>
      </c>
      <c r="O32" s="118"/>
      <c r="P32" s="119">
        <f>'5C1AH_BRUP'!$N$84</f>
        <v>116022.87725538536</v>
      </c>
      <c r="Q32" s="120">
        <f>'5C1AH_BRUP'!$O$84</f>
        <v>0</v>
      </c>
      <c r="R32" s="118"/>
      <c r="S32" s="119">
        <f>'5C1AH_BRUP'!$Q$84</f>
        <v>0</v>
      </c>
      <c r="T32" s="966">
        <f>'5C1AH_BRUP'!$R$77</f>
        <v>30495</v>
      </c>
      <c r="U32" s="121">
        <f>'5C1AH_BRUP'!$R$84</f>
        <v>1336795</v>
      </c>
      <c r="V32" s="118">
        <f>'5C1AH_BRUP'!$S$84</f>
        <v>326943</v>
      </c>
      <c r="W32" s="118">
        <f>'5C1AH_BRUP'!$T$84</f>
        <v>-56390</v>
      </c>
      <c r="X32" s="122">
        <f>'5C1AH_BRUP'!$U$84</f>
        <v>270553</v>
      </c>
      <c r="Y32" s="121">
        <f>'5C1AH_BRUP'!$V$84</f>
        <v>1607348</v>
      </c>
      <c r="Z32" s="119">
        <f>'5C1AH_BRUP'!$W$84</f>
        <v>-4018</v>
      </c>
      <c r="AA32" s="121">
        <f>'5C1AH_BRUP'!$X$84</f>
        <v>1603330</v>
      </c>
      <c r="AB32" s="118">
        <f>'5C1AH_BRUP'!$Y$84</f>
        <v>1911</v>
      </c>
      <c r="AC32" s="133">
        <f>'5C1AH_BRUP'!$Z$79+'5C1AH_BRUP'!$Z$83</f>
        <v>0</v>
      </c>
      <c r="AD32" s="121">
        <f>'5C1AH_BRUP'!$Z$84</f>
        <v>1605241</v>
      </c>
      <c r="AE32" s="118">
        <f>'5C1AH_BRUP'!$AA$84</f>
        <v>1046183</v>
      </c>
      <c r="AF32" s="118">
        <f>'5C1AH_BRUP'!$AB$84</f>
        <v>559058</v>
      </c>
      <c r="AG32" s="121">
        <f>'5C1AH_BRUP'!$AC$84</f>
        <v>139766</v>
      </c>
      <c r="AH32" s="133">
        <f>'5C1AH_BRUP'!$AD$80+'5C1AH_BRUP'!$AD$81+'5C1AH_BRUP'!$AD$82</f>
        <v>0</v>
      </c>
      <c r="AI32" s="123">
        <f>'5C1AH_BRUP'!$AD$84</f>
        <v>1605241</v>
      </c>
      <c r="AJ32" s="124"/>
      <c r="AK32" s="125">
        <f>'5C1AH_BRUP'!$AF$84</f>
        <v>2299575</v>
      </c>
      <c r="AL32" s="117">
        <f>'5C1AH_BRUP'!$AG$84</f>
        <v>68</v>
      </c>
      <c r="AM32" s="124">
        <f>'5C1AH_BRUP'!$AH$84</f>
        <v>467564</v>
      </c>
      <c r="AN32" s="117">
        <f>'5C1AH_BRUP'!$AI$84</f>
        <v>-24</v>
      </c>
      <c r="AO32" s="126">
        <f>'5C1AH_BRUP'!$AJ$84</f>
        <v>-83969</v>
      </c>
      <c r="AP32" s="127">
        <f>'5C1AH_BRUP'!$AK$84</f>
        <v>383595</v>
      </c>
      <c r="AQ32" s="125">
        <f>'5C1AH_BRUP'!$AL$84</f>
        <v>2683170</v>
      </c>
      <c r="AR32" s="128">
        <f>'5C1AH_BRUP'!$AM$84</f>
        <v>-6708</v>
      </c>
      <c r="AS32" s="125">
        <f>'5C1AH_BRUP'!$AN$84</f>
        <v>2676462</v>
      </c>
      <c r="AT32" s="126">
        <f>'5C1AH_BRUP'!$AO$84</f>
        <v>3860</v>
      </c>
      <c r="AU32" s="125">
        <f>'5C1AH_BRUP'!$AP$84</f>
        <v>2680322</v>
      </c>
      <c r="AV32" s="126">
        <f>'5C1AH_BRUP'!$AQ$84</f>
        <v>1787745</v>
      </c>
      <c r="AW32" s="126">
        <f>'5C1AH_BRUP'!$AR$84</f>
        <v>892577</v>
      </c>
      <c r="AX32" s="125">
        <f>'5C1AH_BRUP'!$AS$84</f>
        <v>223145</v>
      </c>
    </row>
    <row r="33" spans="1:50" ht="15.75" customHeight="1" x14ac:dyDescent="0.2">
      <c r="A33" s="130" t="s">
        <v>371</v>
      </c>
      <c r="B33" s="258" t="s">
        <v>371</v>
      </c>
      <c r="C33" s="258">
        <v>25</v>
      </c>
      <c r="D33" s="134" t="s">
        <v>476</v>
      </c>
      <c r="E33" s="135">
        <f>'5C1Y_GEO'!$C$84</f>
        <v>513</v>
      </c>
      <c r="F33" s="136"/>
      <c r="G33" s="137">
        <f>'5C1Y_GEO'!$E$84</f>
        <v>1840229.3712168862</v>
      </c>
      <c r="H33" s="138">
        <f>'5C1Y_GEO'!$F$84</f>
        <v>451</v>
      </c>
      <c r="I33" s="136"/>
      <c r="J33" s="137">
        <f>'5C1Y_GEO'!$H$84</f>
        <v>206122.16411807798</v>
      </c>
      <c r="K33" s="138">
        <f>'5C1Y_GEO'!$I$84</f>
        <v>49</v>
      </c>
      <c r="L33" s="136"/>
      <c r="M33" s="137">
        <f>'5C1Y_GEO'!$K$84</f>
        <v>5909.3745648348868</v>
      </c>
      <c r="N33" s="138">
        <f>'5C1Y_GEO'!$L$84</f>
        <v>57</v>
      </c>
      <c r="O33" s="136"/>
      <c r="P33" s="137">
        <f>'5C1Y_GEO'!$N$84</f>
        <v>179387.4900223091</v>
      </c>
      <c r="Q33" s="138">
        <f>'5C1Y_GEO'!$O$84</f>
        <v>3</v>
      </c>
      <c r="R33" s="136"/>
      <c r="S33" s="137">
        <f>'5C1Y_GEO'!$Q$84</f>
        <v>4354.747148372182</v>
      </c>
      <c r="T33" s="967">
        <f>'5C1Y_GEO'!$R$77</f>
        <v>96187</v>
      </c>
      <c r="U33" s="139">
        <f>'5C1Y_GEO'!$R$84</f>
        <v>2332192</v>
      </c>
      <c r="V33" s="136">
        <f>'5C1Y_GEO'!$S$84</f>
        <v>665163</v>
      </c>
      <c r="W33" s="136">
        <f>'5C1Y_GEO'!$T$84</f>
        <v>-13497</v>
      </c>
      <c r="X33" s="140">
        <f>'5C1Y_GEO'!$U$84</f>
        <v>651666</v>
      </c>
      <c r="Y33" s="139">
        <f>'5C1Y_GEO'!$V$84</f>
        <v>2983858</v>
      </c>
      <c r="Z33" s="137">
        <f>'5C1Y_GEO'!$W$84</f>
        <v>-7460</v>
      </c>
      <c r="AA33" s="139">
        <f>'5C1Y_GEO'!$X$84</f>
        <v>2976398</v>
      </c>
      <c r="AB33" s="136">
        <f>'5C1Y_GEO'!$Y$84</f>
        <v>0</v>
      </c>
      <c r="AC33" s="141">
        <f>('5C1Y_GEO'!$Z$79+'5C1Y_GEO'!$Z$83)</f>
        <v>0</v>
      </c>
      <c r="AD33" s="139">
        <f>'5C1Y_GEO'!$Z$84</f>
        <v>2976398</v>
      </c>
      <c r="AE33" s="136">
        <f>'5C1Y_GEO'!$AA$84</f>
        <v>1542374</v>
      </c>
      <c r="AF33" s="136">
        <f>'5C1Y_GEO'!$AB$84</f>
        <v>1434024</v>
      </c>
      <c r="AG33" s="139">
        <f>'5C1Y_GEO'!$AC$84</f>
        <v>358507</v>
      </c>
      <c r="AH33" s="141">
        <f>('5C1Y_GEO'!$AD$80+'5C1Y_GEO'!$AD$81+'5C1Y_GEO'!$AD$82)</f>
        <v>0</v>
      </c>
      <c r="AI33" s="142">
        <f>'5C1Y_GEO'!$AD$84</f>
        <v>2976398</v>
      </c>
      <c r="AJ33" s="143"/>
      <c r="AK33" s="144">
        <f>'5C1Y_GEO'!$AF$84</f>
        <v>3722152</v>
      </c>
      <c r="AL33" s="135">
        <f>'5C1Y_GEO'!$AG$84</f>
        <v>164</v>
      </c>
      <c r="AM33" s="143">
        <f>'5C1Y_GEO'!$AH$84</f>
        <v>1254367</v>
      </c>
      <c r="AN33" s="135">
        <f>'5C1Y_GEO'!$AI$84</f>
        <v>-9</v>
      </c>
      <c r="AO33" s="145">
        <f>'5C1Y_GEO'!$AJ$84</f>
        <v>-36356</v>
      </c>
      <c r="AP33" s="146">
        <f>'5C1Y_GEO'!$AK$84</f>
        <v>1218011</v>
      </c>
      <c r="AQ33" s="144">
        <f>'5C1Y_GEO'!$AL$84</f>
        <v>4940163</v>
      </c>
      <c r="AR33" s="147">
        <f>'5C1Y_GEO'!$AM$84</f>
        <v>-12352</v>
      </c>
      <c r="AS33" s="144">
        <f>'5C1Y_GEO'!$AN$84</f>
        <v>4927811</v>
      </c>
      <c r="AT33" s="145">
        <f>'5C1Y_GEO'!$AO$84</f>
        <v>0</v>
      </c>
      <c r="AU33" s="144">
        <f>'5C1Y_GEO'!$AP$84</f>
        <v>4927811</v>
      </c>
      <c r="AV33" s="145">
        <f>'5C1Y_GEO'!$AQ$84</f>
        <v>2522004</v>
      </c>
      <c r="AW33" s="145">
        <f>'5C1Y_GEO'!$AR$84</f>
        <v>2405807</v>
      </c>
      <c r="AX33" s="144">
        <f>'5C1Y_GEO'!$AS$84</f>
        <v>601452</v>
      </c>
    </row>
    <row r="34" spans="1:50" ht="15.75" customHeight="1" x14ac:dyDescent="0.2">
      <c r="A34" s="130" t="s">
        <v>913</v>
      </c>
      <c r="B34" s="258" t="s">
        <v>913</v>
      </c>
      <c r="C34" s="258">
        <v>35</v>
      </c>
      <c r="D34" s="134" t="s">
        <v>910</v>
      </c>
      <c r="E34" s="135">
        <f>'5C1AI_Harmony'!$C$84</f>
        <v>45</v>
      </c>
      <c r="F34" s="136"/>
      <c r="G34" s="137">
        <f>'5C1AI_Harmony'!$E$84</f>
        <v>154769.00575300303</v>
      </c>
      <c r="H34" s="138">
        <f>'5C1AI_Harmony'!$F$84</f>
        <v>27</v>
      </c>
      <c r="I34" s="136"/>
      <c r="J34" s="137">
        <f>'5C1AI_Harmony'!$H$84</f>
        <v>12566.687542090933</v>
      </c>
      <c r="K34" s="138">
        <f>'5C1AI_Harmony'!$I$84</f>
        <v>43</v>
      </c>
      <c r="L34" s="136"/>
      <c r="M34" s="137">
        <f>'5C1AI_Harmony'!$K$84</f>
        <v>5411.9068169817019</v>
      </c>
      <c r="N34" s="138">
        <f>'5C1AI_Harmony'!$L$84</f>
        <v>13</v>
      </c>
      <c r="O34" s="136"/>
      <c r="P34" s="137">
        <f>'5C1AI_Harmony'!$N$84</f>
        <v>41390.009478621054</v>
      </c>
      <c r="Q34" s="138">
        <f>'5C1AI_Harmony'!$O$84</f>
        <v>0</v>
      </c>
      <c r="R34" s="136"/>
      <c r="S34" s="137">
        <f>'5C1AI_Harmony'!$Q$84</f>
        <v>0</v>
      </c>
      <c r="T34" s="967">
        <f>'5C1AI_Harmony'!$R$77</f>
        <v>21220</v>
      </c>
      <c r="U34" s="139">
        <f>'5C1AI_Harmony'!$R$84</f>
        <v>235357</v>
      </c>
      <c r="V34" s="136">
        <f>'5C1AI_Harmony'!$S$84</f>
        <v>250363</v>
      </c>
      <c r="W34" s="136">
        <f>'5C1AI_Harmony'!$T$84</f>
        <v>5571</v>
      </c>
      <c r="X34" s="140">
        <f>'5C1AI_Harmony'!$U$84</f>
        <v>255934</v>
      </c>
      <c r="Y34" s="139">
        <f>'5C1AI_Harmony'!$V$84</f>
        <v>491291</v>
      </c>
      <c r="Z34" s="137">
        <f>'5C1AI_Harmony'!$W$84</f>
        <v>-1228</v>
      </c>
      <c r="AA34" s="139">
        <f>'5C1AI_Harmony'!$X$84</f>
        <v>490063</v>
      </c>
      <c r="AB34" s="136">
        <f>'5C1AI_Harmony'!$Y$84</f>
        <v>0</v>
      </c>
      <c r="AC34" s="141">
        <f>('5C1AI_Harmony'!$Z$79+'5C1AI_Harmony'!$Z$83)</f>
        <v>2655</v>
      </c>
      <c r="AD34" s="139">
        <f>'5C1AI_Harmony'!$Z$84</f>
        <v>492718</v>
      </c>
      <c r="AE34" s="136">
        <f>'5C1AI_Harmony'!$AA$84</f>
        <v>306382</v>
      </c>
      <c r="AF34" s="136">
        <f>'5C1AI_Harmony'!$AB$84</f>
        <v>186336</v>
      </c>
      <c r="AG34" s="139">
        <f>'5C1AI_Harmony'!$AC$84</f>
        <v>46584</v>
      </c>
      <c r="AH34" s="141">
        <f>('5C1AI_Harmony'!$AD$80+'5C1AI_Harmony'!$AD$81+'5C1AI_Harmony'!$AD$82)</f>
        <v>10000</v>
      </c>
      <c r="AI34" s="142">
        <f>'5C1AI_Harmony'!$AD$84</f>
        <v>502718</v>
      </c>
      <c r="AJ34" s="143"/>
      <c r="AK34" s="144">
        <f>'5C1AI_Harmony'!$AF$84</f>
        <v>291910</v>
      </c>
      <c r="AL34" s="135">
        <f>'5C1AI_Harmony'!$AG$84</f>
        <v>57</v>
      </c>
      <c r="AM34" s="143">
        <f>'5C1AI_Harmony'!$AH$84</f>
        <v>376791</v>
      </c>
      <c r="AN34" s="135">
        <f>'5C1AI_Harmony'!$AI$84</f>
        <v>1</v>
      </c>
      <c r="AO34" s="145">
        <f>'5C1AI_Harmony'!$AJ$84</f>
        <v>2657</v>
      </c>
      <c r="AP34" s="146">
        <f>'5C1AI_Harmony'!$AK$84</f>
        <v>379448</v>
      </c>
      <c r="AQ34" s="144">
        <f>'5C1AI_Harmony'!$AL$84</f>
        <v>671358</v>
      </c>
      <c r="AR34" s="147">
        <f>'5C1AI_Harmony'!$AM$84</f>
        <v>-1678</v>
      </c>
      <c r="AS34" s="144">
        <f>'5C1AI_Harmony'!$AN$84</f>
        <v>669680</v>
      </c>
      <c r="AT34" s="145">
        <f>'5C1AI_Harmony'!$AO$84</f>
        <v>0</v>
      </c>
      <c r="AU34" s="144">
        <f>'5C1AI_Harmony'!$AP$84</f>
        <v>669680</v>
      </c>
      <c r="AV34" s="145">
        <f>'5C1AI_Harmony'!$AQ$84</f>
        <v>405348</v>
      </c>
      <c r="AW34" s="145">
        <f>'5C1AI_Harmony'!$AR$84</f>
        <v>264332</v>
      </c>
      <c r="AX34" s="144">
        <f>'5C1AI_Harmony'!$AS$84</f>
        <v>66083</v>
      </c>
    </row>
    <row r="35" spans="1:50" ht="15.75" customHeight="1" x14ac:dyDescent="0.2">
      <c r="A35" s="130" t="s">
        <v>915</v>
      </c>
      <c r="B35" s="258" t="s">
        <v>915</v>
      </c>
      <c r="C35" s="258">
        <v>36</v>
      </c>
      <c r="D35" s="134" t="s">
        <v>909</v>
      </c>
      <c r="E35" s="135">
        <f>'5C1AJ_Athlos'!$C$84</f>
        <v>974</v>
      </c>
      <c r="F35" s="136"/>
      <c r="G35" s="137">
        <f>'5C1AJ_Athlos'!$E$84</f>
        <v>3727048.0519880531</v>
      </c>
      <c r="H35" s="138">
        <f>'5C1AJ_Athlos'!$F$84</f>
        <v>871</v>
      </c>
      <c r="I35" s="136"/>
      <c r="J35" s="137">
        <f>'5C1AJ_Athlos'!$H$84</f>
        <v>418261.10958492337</v>
      </c>
      <c r="K35" s="138">
        <f>'5C1AJ_Athlos'!$I$84</f>
        <v>0</v>
      </c>
      <c r="L35" s="136"/>
      <c r="M35" s="137">
        <f>'5C1AJ_Athlos'!$K$84</f>
        <v>0</v>
      </c>
      <c r="N35" s="138">
        <f>'5C1AJ_Athlos'!$L$84</f>
        <v>101</v>
      </c>
      <c r="O35" s="136"/>
      <c r="P35" s="137">
        <f>'5C1AJ_Athlos'!$N$84</f>
        <v>330310.74231840111</v>
      </c>
      <c r="Q35" s="138">
        <f>'5C1AJ_Athlos'!$O$84</f>
        <v>14</v>
      </c>
      <c r="R35" s="136"/>
      <c r="S35" s="137">
        <f>'5C1AJ_Athlos'!$Q$84</f>
        <v>18292.672722994026</v>
      </c>
      <c r="T35" s="967">
        <f>'5C1AJ_Athlos'!$R$77</f>
        <v>113076</v>
      </c>
      <c r="U35" s="139">
        <f>'5C1AJ_Athlos'!$R$84</f>
        <v>4606988</v>
      </c>
      <c r="V35" s="136">
        <f>'5C1AJ_Athlos'!$S$84</f>
        <v>705204</v>
      </c>
      <c r="W35" s="136">
        <f>'5C1AJ_Athlos'!$T$84</f>
        <v>-22153</v>
      </c>
      <c r="X35" s="140">
        <f>'5C1AJ_Athlos'!$U$84</f>
        <v>683051</v>
      </c>
      <c r="Y35" s="139">
        <f>'5C1AJ_Athlos'!$V$84</f>
        <v>5290039</v>
      </c>
      <c r="Z35" s="137">
        <f>'5C1AJ_Athlos'!$W$84</f>
        <v>-13225</v>
      </c>
      <c r="AA35" s="139">
        <f>'5C1AJ_Athlos'!$X$84</f>
        <v>5276814</v>
      </c>
      <c r="AB35" s="136">
        <f>'5C1AJ_Athlos'!$Y$84</f>
        <v>0</v>
      </c>
      <c r="AC35" s="141">
        <f>('5C1AJ_Athlos'!$Z$79+'5C1AJ_Athlos'!$Z$83)</f>
        <v>0</v>
      </c>
      <c r="AD35" s="139">
        <f>'5C1AJ_Athlos'!$Z$84</f>
        <v>5276814</v>
      </c>
      <c r="AE35" s="136">
        <f>'5C1AJ_Athlos'!$AA$84</f>
        <v>3457439</v>
      </c>
      <c r="AF35" s="136">
        <f>'5C1AJ_Athlos'!$AB$84</f>
        <v>1819375</v>
      </c>
      <c r="AG35" s="139">
        <f>'5C1AJ_Athlos'!$AC$84</f>
        <v>454844</v>
      </c>
      <c r="AH35" s="141">
        <f>('5C1AJ_Athlos'!$AD$80+'5C1AJ_Athlos'!$AD$81+'5C1AJ_Athlos'!$AD$82)</f>
        <v>51145</v>
      </c>
      <c r="AI35" s="142">
        <f>'5C1AJ_Athlos'!$AD$84</f>
        <v>5327959</v>
      </c>
      <c r="AJ35" s="143"/>
      <c r="AK35" s="144">
        <f>'5C1AJ_Athlos'!$AF$84</f>
        <v>5290490</v>
      </c>
      <c r="AL35" s="135">
        <f>'5C1AJ_Athlos'!$AG$84</f>
        <v>157</v>
      </c>
      <c r="AM35" s="143">
        <f>'5C1AJ_Athlos'!$AH$84</f>
        <v>860201</v>
      </c>
      <c r="AN35" s="135">
        <f>'5C1AJ_Athlos'!$AI$84</f>
        <v>-10</v>
      </c>
      <c r="AO35" s="145">
        <f>'5C1AJ_Athlos'!$AJ$84</f>
        <v>-26841</v>
      </c>
      <c r="AP35" s="146">
        <f>'5C1AJ_Athlos'!$AK$84</f>
        <v>833360</v>
      </c>
      <c r="AQ35" s="144">
        <f>'5C1AJ_Athlos'!$AL$84</f>
        <v>6123850</v>
      </c>
      <c r="AR35" s="147">
        <f>'5C1AJ_Athlos'!$AM$84</f>
        <v>-15309</v>
      </c>
      <c r="AS35" s="144">
        <f>'5C1AJ_Athlos'!$AN$84</f>
        <v>6108541</v>
      </c>
      <c r="AT35" s="145">
        <f>'5C1AJ_Athlos'!$AO$84</f>
        <v>0</v>
      </c>
      <c r="AU35" s="144">
        <f>'5C1AJ_Athlos'!$AP$84</f>
        <v>6108541</v>
      </c>
      <c r="AV35" s="145">
        <f>'5C1AJ_Athlos'!$AQ$84</f>
        <v>4085958</v>
      </c>
      <c r="AW35" s="145">
        <f>'5C1AJ_Athlos'!$AR$84</f>
        <v>2022583</v>
      </c>
      <c r="AX35" s="144">
        <f>'5C1AJ_Athlos'!$AS$84</f>
        <v>505647</v>
      </c>
    </row>
    <row r="36" spans="1:50" ht="15.75" customHeight="1" x14ac:dyDescent="0.2">
      <c r="A36" s="131" t="s">
        <v>1377</v>
      </c>
      <c r="B36" s="259" t="s">
        <v>1377</v>
      </c>
      <c r="C36" s="776">
        <v>37</v>
      </c>
      <c r="D36" s="148" t="s">
        <v>1378</v>
      </c>
      <c r="E36" s="149">
        <f>'5C1AK_NxtGen'!$C$84</f>
        <v>0</v>
      </c>
      <c r="F36" s="150"/>
      <c r="G36" s="151">
        <f>'5C1AK_NxtGen'!$E$84</f>
        <v>0</v>
      </c>
      <c r="H36" s="152">
        <f>'5C1AK_NxtGen'!$F$84</f>
        <v>0</v>
      </c>
      <c r="I36" s="150"/>
      <c r="J36" s="151">
        <f>'5C1AK_NxtGen'!$H$84</f>
        <v>0</v>
      </c>
      <c r="K36" s="152">
        <f>'5C1AK_NxtGen'!$I$84</f>
        <v>0</v>
      </c>
      <c r="L36" s="150"/>
      <c r="M36" s="151">
        <f>'5C1AK_NxtGen'!$K$84</f>
        <v>0</v>
      </c>
      <c r="N36" s="152">
        <f>'5C1AK_NxtGen'!$L$84</f>
        <v>0</v>
      </c>
      <c r="O36" s="150"/>
      <c r="P36" s="151">
        <f>'5C1AK_NxtGen'!$N$84</f>
        <v>0</v>
      </c>
      <c r="Q36" s="152">
        <f>'5C1AK_NxtGen'!$O$84</f>
        <v>0</v>
      </c>
      <c r="R36" s="150"/>
      <c r="S36" s="151">
        <f>'5C1AK_NxtGen'!$Q$84</f>
        <v>0</v>
      </c>
      <c r="T36" s="968">
        <f>'5C1AK_NxtGen'!$R$77</f>
        <v>14015</v>
      </c>
      <c r="U36" s="153">
        <f>'5C1AK_NxtGen'!$R$84</f>
        <v>14015</v>
      </c>
      <c r="V36" s="150">
        <f>'5C1AK_NxtGen'!$S$84</f>
        <v>392069</v>
      </c>
      <c r="W36" s="150">
        <f>'5C1AK_NxtGen'!$T$84</f>
        <v>-13454</v>
      </c>
      <c r="X36" s="154">
        <f>'5C1AK_NxtGen'!$U$84</f>
        <v>378615</v>
      </c>
      <c r="Y36" s="153">
        <f>'5C1AK_NxtGen'!$V$84</f>
        <v>392630</v>
      </c>
      <c r="Z36" s="151">
        <f>'5C1AK_NxtGen'!$W$84</f>
        <v>-982</v>
      </c>
      <c r="AA36" s="153">
        <f>'5C1AK_NxtGen'!$X$84</f>
        <v>391648</v>
      </c>
      <c r="AB36" s="150">
        <f>'5C1AK_NxtGen'!$Y$84</f>
        <v>0</v>
      </c>
      <c r="AC36" s="155">
        <f>'5C1AK_NxtGen'!$Z$79+'5C1AK_NxtGen'!$Z$83</f>
        <v>0</v>
      </c>
      <c r="AD36" s="153">
        <f>'5C1AK_NxtGen'!$Z$84</f>
        <v>391648</v>
      </c>
      <c r="AE36" s="156">
        <f>'5C1AK_NxtGen'!$AA$84</f>
        <v>267297</v>
      </c>
      <c r="AF36" s="150">
        <f>'5C1AK_NxtGen'!$AB$84</f>
        <v>124351</v>
      </c>
      <c r="AG36" s="157">
        <f>'5C1AK_NxtGen'!$AC$84</f>
        <v>31088</v>
      </c>
      <c r="AH36" s="155">
        <f>'5C1AK_NxtGen'!$AD$80+'5C1AK_NxtGen'!$AD$81+'5C1AK_NxtGen'!$AD$82</f>
        <v>10000</v>
      </c>
      <c r="AI36" s="157">
        <f>'5C1AK_NxtGen'!$AD$84</f>
        <v>401648</v>
      </c>
      <c r="AJ36" s="158"/>
      <c r="AK36" s="159">
        <f>'5C1AK_NxtGen'!$AF$84</f>
        <v>0</v>
      </c>
      <c r="AL36" s="149">
        <f>'5C1AK_NxtGen'!$AG$84</f>
        <v>96</v>
      </c>
      <c r="AM36" s="158">
        <f>'5C1AK_NxtGen'!$AH$84</f>
        <v>707692</v>
      </c>
      <c r="AN36" s="149">
        <f>'5C1AK_NxtGen'!$AI$84</f>
        <v>-6</v>
      </c>
      <c r="AO36" s="160">
        <f>'5C1AK_NxtGen'!$AJ$84</f>
        <v>-15938</v>
      </c>
      <c r="AP36" s="161">
        <f>'5C1AK_NxtGen'!$AK$84</f>
        <v>691754</v>
      </c>
      <c r="AQ36" s="159">
        <f>'5C1AK_NxtGen'!$AL$84</f>
        <v>691754</v>
      </c>
      <c r="AR36" s="162">
        <f>'5C1AK_NxtGen'!$AM$84</f>
        <v>-1729</v>
      </c>
      <c r="AS36" s="159">
        <f>'5C1AK_NxtGen'!$AN$84</f>
        <v>690025</v>
      </c>
      <c r="AT36" s="160">
        <f>'5C1AK_NxtGen'!$AO$84</f>
        <v>0</v>
      </c>
      <c r="AU36" s="159">
        <f>'5C1AK_NxtGen'!$AP$84</f>
        <v>690025</v>
      </c>
      <c r="AV36" s="160">
        <f>'5C1AK_NxtGen'!$AQ$84</f>
        <v>485144</v>
      </c>
      <c r="AW36" s="160">
        <f>'5C1AK_NxtGen'!$AR$84</f>
        <v>204881</v>
      </c>
      <c r="AX36" s="159">
        <f>'5C1AK_NxtGen'!$AS$84</f>
        <v>51221</v>
      </c>
    </row>
    <row r="37" spans="1:50" ht="15.75" customHeight="1" x14ac:dyDescent="0.2">
      <c r="A37" s="129" t="s">
        <v>1379</v>
      </c>
      <c r="B37" s="257" t="s">
        <v>1379</v>
      </c>
      <c r="C37" s="772">
        <v>38</v>
      </c>
      <c r="D37" s="116" t="s">
        <v>1380</v>
      </c>
      <c r="E37" s="117">
        <f>'5C1AL_Red River'!$C$84</f>
        <v>0</v>
      </c>
      <c r="F37" s="118"/>
      <c r="G37" s="119">
        <f>'5C1AL_Red River'!$E$84</f>
        <v>0</v>
      </c>
      <c r="H37" s="120">
        <f>'5C1AL_Red River'!$F$84</f>
        <v>0</v>
      </c>
      <c r="I37" s="118"/>
      <c r="J37" s="119">
        <f>'5C1AL_Red River'!$H$84</f>
        <v>0</v>
      </c>
      <c r="K37" s="120">
        <f>'5C1AL_Red River'!$I$84</f>
        <v>0</v>
      </c>
      <c r="L37" s="118"/>
      <c r="M37" s="119">
        <f>'5C1AL_Red River'!$K$84</f>
        <v>0</v>
      </c>
      <c r="N37" s="120">
        <f>'5C1AL_Red River'!$L$84</f>
        <v>0</v>
      </c>
      <c r="O37" s="118"/>
      <c r="P37" s="119">
        <f>'5C1AL_Red River'!$N$84</f>
        <v>0</v>
      </c>
      <c r="Q37" s="120">
        <f>'5C1AL_Red River'!$O$84</f>
        <v>0</v>
      </c>
      <c r="R37" s="118"/>
      <c r="S37" s="119">
        <f>'5C1AL_Red River'!$Q$84</f>
        <v>0</v>
      </c>
      <c r="T37" s="966">
        <f>'5C1AL_Red River'!$R$77</f>
        <v>17095</v>
      </c>
      <c r="U37" s="121">
        <f>'5C1AL_Red River'!$R$84</f>
        <v>17095</v>
      </c>
      <c r="V37" s="118">
        <f>'5C1AL_Red River'!$S$84</f>
        <v>1059222</v>
      </c>
      <c r="W37" s="118">
        <f>'5C1AL_Red River'!$T$84</f>
        <v>6609</v>
      </c>
      <c r="X37" s="122">
        <f>'5C1AL_Red River'!$U$84</f>
        <v>1065831</v>
      </c>
      <c r="Y37" s="121">
        <f>'5C1AL_Red River'!$V$84</f>
        <v>1082926</v>
      </c>
      <c r="Z37" s="119">
        <f>'5C1AL_Red River'!$W$84</f>
        <v>-2707</v>
      </c>
      <c r="AA37" s="121">
        <f>'5C1AL_Red River'!$X$84</f>
        <v>1080219</v>
      </c>
      <c r="AB37" s="118">
        <f>'5C1AL_Red River'!$Y$84</f>
        <v>0</v>
      </c>
      <c r="AC37" s="133">
        <f>'5C1AL_Red River'!$Z$79+'5C1AL_Red River'!$Z$83</f>
        <v>0</v>
      </c>
      <c r="AD37" s="121">
        <f>'5C1AL_Red River'!$Z$84</f>
        <v>1080219</v>
      </c>
      <c r="AE37" s="118">
        <f>'5C1AL_Red River'!$AA$84</f>
        <v>733459</v>
      </c>
      <c r="AF37" s="118">
        <f>'5C1AL_Red River'!$AB$84</f>
        <v>346760</v>
      </c>
      <c r="AG37" s="121">
        <f>'5C1AL_Red River'!$AC$84</f>
        <v>86690</v>
      </c>
      <c r="AH37" s="133">
        <f>'5C1AL_Red River'!$AD$80+'5C1AL_Red River'!$AD$81+'5C1AL_Red River'!$AD$82</f>
        <v>0</v>
      </c>
      <c r="AI37" s="123">
        <f>'5C1AL_Red River'!$AD$84</f>
        <v>1080219</v>
      </c>
      <c r="AJ37" s="124"/>
      <c r="AK37" s="125">
        <f>'5C1AL_Red River'!$AF$84</f>
        <v>0</v>
      </c>
      <c r="AL37" s="117">
        <f>'5C1AL_Red River'!$AG$84</f>
        <v>196</v>
      </c>
      <c r="AM37" s="124">
        <f>'5C1AL_Red River'!$AH$84</f>
        <v>441001</v>
      </c>
      <c r="AN37" s="117">
        <f>'5C1AL_Red River'!$AI$84</f>
        <v>2</v>
      </c>
      <c r="AO37" s="126">
        <f>'5C1AL_Red River'!$AJ$84</f>
        <v>257</v>
      </c>
      <c r="AP37" s="127">
        <f>'5C1AL_Red River'!$AK$84</f>
        <v>441258</v>
      </c>
      <c r="AQ37" s="125">
        <f>'5C1AL_Red River'!$AL$84</f>
        <v>441258</v>
      </c>
      <c r="AR37" s="128">
        <f>'5C1AL_Red River'!$AM$84</f>
        <v>-1103</v>
      </c>
      <c r="AS37" s="125">
        <f>'5C1AL_Red River'!$AN$84</f>
        <v>440155</v>
      </c>
      <c r="AT37" s="126">
        <f>'5C1AL_Red River'!$AO$84</f>
        <v>0</v>
      </c>
      <c r="AU37" s="125">
        <f>'5C1AL_Red River'!$AP$84</f>
        <v>440155</v>
      </c>
      <c r="AV37" s="126">
        <f>'5C1AL_Red River'!$AQ$84</f>
        <v>288474</v>
      </c>
      <c r="AW37" s="126">
        <f>'5C1AL_Red River'!$AR$84</f>
        <v>151681</v>
      </c>
      <c r="AX37" s="125">
        <f>'5C1AL_Red River'!$AS$84</f>
        <v>37920</v>
      </c>
    </row>
    <row r="38" spans="1:50" ht="15.75" customHeight="1" x14ac:dyDescent="0.2">
      <c r="A38" s="130" t="s">
        <v>698</v>
      </c>
      <c r="B38" s="258" t="s">
        <v>698</v>
      </c>
      <c r="C38" s="258">
        <v>33</v>
      </c>
      <c r="D38" s="134" t="s">
        <v>575</v>
      </c>
      <c r="E38" s="135">
        <f>'5C1AG_Collegiate'!$C$84</f>
        <v>251</v>
      </c>
      <c r="F38" s="136"/>
      <c r="G38" s="137">
        <f>'5C1AG_Collegiate'!$E$84</f>
        <v>862257.81761317817</v>
      </c>
      <c r="H38" s="138">
        <f>'5C1AG_Collegiate'!$F$84</f>
        <v>224</v>
      </c>
      <c r="I38" s="136"/>
      <c r="J38" s="137">
        <f>'5C1AG_Collegiate'!$H$84</f>
        <v>97736.878481117776</v>
      </c>
      <c r="K38" s="138">
        <f>'5C1AG_Collegiate'!$I$84</f>
        <v>227</v>
      </c>
      <c r="L38" s="136"/>
      <c r="M38" s="137">
        <f>'5C1AG_Collegiate'!$K$84</f>
        <v>27721.037068603317</v>
      </c>
      <c r="N38" s="138">
        <f>'5C1AG_Collegiate'!$L$84</f>
        <v>46</v>
      </c>
      <c r="O38" s="136"/>
      <c r="P38" s="137">
        <f>'5C1AG_Collegiate'!$N$84</f>
        <v>136847.4962499417</v>
      </c>
      <c r="Q38" s="138">
        <f>'5C1AG_Collegiate'!$O$84</f>
        <v>0</v>
      </c>
      <c r="R38" s="136"/>
      <c r="S38" s="137">
        <f>'5C1AG_Collegiate'!$Q$84</f>
        <v>0</v>
      </c>
      <c r="T38" s="967">
        <f>'5C1AG_Collegiate'!$R$77</f>
        <v>55746</v>
      </c>
      <c r="U38" s="139">
        <f>'5C1AG_Collegiate'!$R$84</f>
        <v>1180310</v>
      </c>
      <c r="V38" s="136">
        <f>'5C1AG_Collegiate'!$S$84</f>
        <v>747070</v>
      </c>
      <c r="W38" s="136">
        <f>'5C1AG_Collegiate'!$T$84</f>
        <v>-43456</v>
      </c>
      <c r="X38" s="140">
        <f>'5C1AG_Collegiate'!$U$84</f>
        <v>703614</v>
      </c>
      <c r="Y38" s="139">
        <f>'5C1AG_Collegiate'!$V$84</f>
        <v>1883924</v>
      </c>
      <c r="Z38" s="137">
        <f>'5C1AG_Collegiate'!$W$84</f>
        <v>-4710</v>
      </c>
      <c r="AA38" s="139">
        <f>'5C1AG_Collegiate'!$X$84</f>
        <v>1879214</v>
      </c>
      <c r="AB38" s="136">
        <f>'5C1AG_Collegiate'!$Y$84</f>
        <v>3606</v>
      </c>
      <c r="AC38" s="141">
        <f>'5C1AG_Collegiate'!$Z$79+'5C1AG_Collegiate'!$Z$83</f>
        <v>14809</v>
      </c>
      <c r="AD38" s="139">
        <f>'5C1AG_Collegiate'!$Z$84</f>
        <v>1897629</v>
      </c>
      <c r="AE38" s="136">
        <f>'5C1AG_Collegiate'!$AA$84</f>
        <v>790860</v>
      </c>
      <c r="AF38" s="136">
        <f>'5C1AG_Collegiate'!$AB$84</f>
        <v>1106769</v>
      </c>
      <c r="AG38" s="139">
        <f>'5C1AG_Collegiate'!$AC$84</f>
        <v>276692</v>
      </c>
      <c r="AH38" s="141">
        <f>'5C1AG_Collegiate'!$AD$80+'5C1AG_Collegiate'!$AD$81+'5C1AG_Collegiate'!$AD$82</f>
        <v>147042</v>
      </c>
      <c r="AI38" s="142">
        <f>'5C1AG_Collegiate'!$AD$84</f>
        <v>2044671</v>
      </c>
      <c r="AJ38" s="143"/>
      <c r="AK38" s="144">
        <f>'5C1AG_Collegiate'!$AF$84</f>
        <v>1897309</v>
      </c>
      <c r="AL38" s="135">
        <f>'5C1AG_Collegiate'!$AG$84</f>
        <v>168</v>
      </c>
      <c r="AM38" s="143">
        <f>'5C1AG_Collegiate'!$AH$84</f>
        <v>1200999</v>
      </c>
      <c r="AN38" s="135">
        <f>'5C1AG_Collegiate'!$AI$84</f>
        <v>-20</v>
      </c>
      <c r="AO38" s="145">
        <f>'5C1AG_Collegiate'!$AJ$84</f>
        <v>-67329</v>
      </c>
      <c r="AP38" s="146">
        <f>'5C1AG_Collegiate'!$AK$84</f>
        <v>1133670</v>
      </c>
      <c r="AQ38" s="144">
        <f>'5C1AG_Collegiate'!$AL$84</f>
        <v>3030979</v>
      </c>
      <c r="AR38" s="147">
        <f>'5C1AG_Collegiate'!$AM$84</f>
        <v>-7579</v>
      </c>
      <c r="AS38" s="144">
        <f>'5C1AG_Collegiate'!$AN$84</f>
        <v>3023400</v>
      </c>
      <c r="AT38" s="145">
        <f>'5C1AG_Collegiate'!$AO$84</f>
        <v>7721</v>
      </c>
      <c r="AU38" s="144">
        <f>'5C1AG_Collegiate'!$AP$84</f>
        <v>3031121</v>
      </c>
      <c r="AV38" s="145">
        <f>'5C1AG_Collegiate'!$AQ$84</f>
        <v>1293730</v>
      </c>
      <c r="AW38" s="145">
        <f>'5C1AG_Collegiate'!$AR$84</f>
        <v>1737391</v>
      </c>
      <c r="AX38" s="144">
        <f>'5C1AG_Collegiate'!$AS$84</f>
        <v>434348</v>
      </c>
    </row>
    <row r="39" spans="1:50" ht="15.75" customHeight="1" x14ac:dyDescent="0.2">
      <c r="A39" s="130" t="s">
        <v>699</v>
      </c>
      <c r="B39" s="258" t="s">
        <v>284</v>
      </c>
      <c r="C39" s="258">
        <v>13</v>
      </c>
      <c r="D39" s="134" t="s">
        <v>896</v>
      </c>
      <c r="E39" s="135">
        <f>'5C1M_GEO Mid'!$C$84</f>
        <v>636</v>
      </c>
      <c r="F39" s="136"/>
      <c r="G39" s="137">
        <f>'5C1M_GEO Mid'!$E$84</f>
        <v>2216203.3061745754</v>
      </c>
      <c r="H39" s="138">
        <f>'5C1M_GEO Mid'!$F$84</f>
        <v>567</v>
      </c>
      <c r="I39" s="136"/>
      <c r="J39" s="137">
        <f>'5C1M_GEO Mid'!$H$84</f>
        <v>251094.23731774985</v>
      </c>
      <c r="K39" s="138">
        <f>'5C1M_GEO Mid'!$I$84</f>
        <v>188</v>
      </c>
      <c r="L39" s="136"/>
      <c r="M39" s="137">
        <f>'5C1M_GEO Mid'!$K$84</f>
        <v>22821.173685421476</v>
      </c>
      <c r="N39" s="138">
        <f>'5C1M_GEO Mid'!$L$84</f>
        <v>62</v>
      </c>
      <c r="O39" s="136"/>
      <c r="P39" s="137">
        <f>'5C1M_GEO Mid'!$N$84</f>
        <v>184446.62538035621</v>
      </c>
      <c r="Q39" s="138">
        <f>'5C1M_GEO Mid'!$O$84</f>
        <v>0</v>
      </c>
      <c r="R39" s="136"/>
      <c r="S39" s="137">
        <f>'5C1M_GEO Mid'!$Q$84</f>
        <v>0</v>
      </c>
      <c r="T39" s="967">
        <f>'5C1M_GEO Mid'!$R$77</f>
        <v>95775</v>
      </c>
      <c r="U39" s="139">
        <f>'5C1M_GEO Mid'!$R$84</f>
        <v>2770339</v>
      </c>
      <c r="V39" s="136">
        <f>'5C1M_GEO Mid'!$S$84</f>
        <v>344078</v>
      </c>
      <c r="W39" s="136">
        <f>'5C1M_GEO Mid'!$T$84</f>
        <v>-5764</v>
      </c>
      <c r="X39" s="140">
        <f>'5C1M_GEO Mid'!$U$84</f>
        <v>338314</v>
      </c>
      <c r="Y39" s="139">
        <f>'5C1M_GEO Mid'!$V$84</f>
        <v>3108653</v>
      </c>
      <c r="Z39" s="137">
        <f>'5C1M_GEO Mid'!$W$84</f>
        <v>-7770</v>
      </c>
      <c r="AA39" s="139">
        <f>'5C1M_GEO Mid'!$X$84</f>
        <v>3100883</v>
      </c>
      <c r="AB39" s="136">
        <f>'5C1M_GEO Mid'!$Y$84</f>
        <v>0</v>
      </c>
      <c r="AC39" s="141">
        <f>('5C1M_GEO Mid'!$Z$79+'5C1M_GEO Mid'!$Z$83)</f>
        <v>6372</v>
      </c>
      <c r="AD39" s="139">
        <f>'5C1M_GEO Mid'!$Z$84</f>
        <v>3107255</v>
      </c>
      <c r="AE39" s="136">
        <f>'5C1M_GEO Mid'!$AA$84</f>
        <v>1849216</v>
      </c>
      <c r="AF39" s="136">
        <f>'5C1M_GEO Mid'!$AB$84</f>
        <v>1258039</v>
      </c>
      <c r="AG39" s="139">
        <f>'5C1M_GEO Mid'!$AC$84</f>
        <v>314510</v>
      </c>
      <c r="AH39" s="141">
        <f>('5C1M_GEO Mid'!$AD$80+'5C1M_GEO Mid'!$AD$81+'5C1M_GEO Mid'!$AD$82)</f>
        <v>0</v>
      </c>
      <c r="AI39" s="142">
        <f>'5C1M_GEO Mid'!$AD$84</f>
        <v>3107255</v>
      </c>
      <c r="AJ39" s="143"/>
      <c r="AK39" s="144">
        <f>'5C1M_GEO Mid'!$AF$84</f>
        <v>4746800</v>
      </c>
      <c r="AL39" s="135">
        <f>'5C1M_GEO Mid'!$AG$84</f>
        <v>79</v>
      </c>
      <c r="AM39" s="143">
        <f>'5C1M_GEO Mid'!$AH$84</f>
        <v>570289</v>
      </c>
      <c r="AN39" s="135">
        <f>'5C1M_GEO Mid'!$AI$84</f>
        <v>-8</v>
      </c>
      <c r="AO39" s="145">
        <f>'5C1M_GEO Mid'!$AJ$84</f>
        <v>-24536</v>
      </c>
      <c r="AP39" s="146">
        <f>'5C1M_GEO Mid'!$AK$84</f>
        <v>545753</v>
      </c>
      <c r="AQ39" s="144">
        <f>'5C1M_GEO Mid'!$AL$84</f>
        <v>5292553</v>
      </c>
      <c r="AR39" s="147">
        <f>'5C1M_GEO Mid'!$AM$84</f>
        <v>-13231</v>
      </c>
      <c r="AS39" s="144">
        <f>'5C1M_GEO Mid'!$AN$84</f>
        <v>5279322</v>
      </c>
      <c r="AT39" s="145">
        <f>'5C1M_GEO Mid'!$AO$84</f>
        <v>0</v>
      </c>
      <c r="AU39" s="144">
        <f>'5C1M_GEO Mid'!$AP$84</f>
        <v>5279322</v>
      </c>
      <c r="AV39" s="145">
        <f>'5C1M_GEO Mid'!$AQ$84</f>
        <v>3220916</v>
      </c>
      <c r="AW39" s="145">
        <f>'5C1M_GEO Mid'!$AR$84</f>
        <v>2058406</v>
      </c>
      <c r="AX39" s="144">
        <f>'5C1M_GEO Mid'!$AS$84</f>
        <v>514603</v>
      </c>
    </row>
    <row r="40" spans="1:50" s="30" customFormat="1" ht="15.75" customHeight="1" thickBot="1" x14ac:dyDescent="0.25">
      <c r="A40" s="1408" t="s">
        <v>374</v>
      </c>
      <c r="B40" s="1461"/>
      <c r="C40" s="1461"/>
      <c r="D40" s="1409"/>
      <c r="E40" s="163">
        <f>SUM(E7:E39)</f>
        <v>19170</v>
      </c>
      <c r="F40" s="164"/>
      <c r="G40" s="165">
        <f>SUM(G7:G39)</f>
        <v>73737496.154639393</v>
      </c>
      <c r="H40" s="163">
        <f>SUM(H7:H39)</f>
        <v>14516</v>
      </c>
      <c r="I40" s="164"/>
      <c r="J40" s="165">
        <f>SUM(J7:J39)</f>
        <v>7409377.9957282804</v>
      </c>
      <c r="K40" s="163">
        <f>SUM(K7:K39)</f>
        <v>7467</v>
      </c>
      <c r="L40" s="164"/>
      <c r="M40" s="165">
        <f>SUM(M7:M39)</f>
        <v>1058267.3415421937</v>
      </c>
      <c r="N40" s="163">
        <f>SUM(N7:N39)</f>
        <v>2234</v>
      </c>
      <c r="O40" s="164"/>
      <c r="P40" s="165">
        <f>SUM(P7:P39)</f>
        <v>7749601.3733862601</v>
      </c>
      <c r="Q40" s="163">
        <f>SUM(Q7:Q39)</f>
        <v>378</v>
      </c>
      <c r="R40" s="164"/>
      <c r="S40" s="165">
        <f t="shared" ref="S40:AI40" si="2">SUM(S7:S39)</f>
        <v>532294.57720585517</v>
      </c>
      <c r="T40" s="165">
        <f t="shared" si="2"/>
        <v>2344741</v>
      </c>
      <c r="U40" s="166">
        <f t="shared" si="2"/>
        <v>92831778</v>
      </c>
      <c r="V40" s="164">
        <f t="shared" si="2"/>
        <v>7990879</v>
      </c>
      <c r="W40" s="164">
        <f t="shared" si="2"/>
        <v>-106779</v>
      </c>
      <c r="X40" s="167">
        <f t="shared" si="2"/>
        <v>7884100</v>
      </c>
      <c r="Y40" s="166">
        <f t="shared" si="2"/>
        <v>100715878</v>
      </c>
      <c r="Z40" s="165">
        <f t="shared" si="2"/>
        <v>-251793</v>
      </c>
      <c r="AA40" s="166">
        <f t="shared" si="2"/>
        <v>100464085</v>
      </c>
      <c r="AB40" s="165">
        <f t="shared" si="2"/>
        <v>-217333</v>
      </c>
      <c r="AC40" s="168">
        <f t="shared" si="2"/>
        <v>1250656</v>
      </c>
      <c r="AD40" s="166">
        <f t="shared" si="2"/>
        <v>101497408</v>
      </c>
      <c r="AE40" s="164">
        <f t="shared" si="2"/>
        <v>64253478</v>
      </c>
      <c r="AF40" s="164">
        <f t="shared" si="2"/>
        <v>37243930</v>
      </c>
      <c r="AG40" s="166">
        <f t="shared" si="2"/>
        <v>9311026</v>
      </c>
      <c r="AH40" s="168">
        <f t="shared" si="2"/>
        <v>1002518</v>
      </c>
      <c r="AI40" s="169">
        <f t="shared" si="2"/>
        <v>102499926</v>
      </c>
      <c r="AJ40" s="170"/>
      <c r="AK40" s="171">
        <f t="shared" ref="AK40:AX40" si="3">SUM(AK7:AK39)</f>
        <v>109077021</v>
      </c>
      <c r="AL40" s="163">
        <f t="shared" si="3"/>
        <v>1687</v>
      </c>
      <c r="AM40" s="170">
        <f t="shared" si="3"/>
        <v>9399312</v>
      </c>
      <c r="AN40" s="163">
        <f t="shared" si="3"/>
        <v>-148</v>
      </c>
      <c r="AO40" s="172">
        <f t="shared" si="3"/>
        <v>-464273</v>
      </c>
      <c r="AP40" s="173">
        <f t="shared" si="3"/>
        <v>8935039</v>
      </c>
      <c r="AQ40" s="171">
        <f t="shared" si="3"/>
        <v>118012060</v>
      </c>
      <c r="AR40" s="174">
        <f t="shared" si="3"/>
        <v>-295021</v>
      </c>
      <c r="AS40" s="171">
        <f t="shared" si="3"/>
        <v>117717039</v>
      </c>
      <c r="AT40" s="172">
        <f t="shared" si="3"/>
        <v>-513287</v>
      </c>
      <c r="AU40" s="171">
        <f t="shared" si="3"/>
        <v>117203752</v>
      </c>
      <c r="AV40" s="172">
        <f t="shared" si="3"/>
        <v>73735601</v>
      </c>
      <c r="AW40" s="172">
        <f t="shared" si="3"/>
        <v>43468151</v>
      </c>
      <c r="AX40" s="171">
        <f t="shared" si="3"/>
        <v>10867077</v>
      </c>
    </row>
    <row r="41" spans="1:50" ht="13.5" thickTop="1" x14ac:dyDescent="0.2"/>
    <row r="42" spans="1:50" x14ac:dyDescent="0.2">
      <c r="U42" s="856"/>
    </row>
  </sheetData>
  <sheetProtection formatCells="0" formatColumns="0" formatRows="0" sort="0"/>
  <sortState ref="A19:BH41">
    <sortCondition ref="A19:A41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6">
    <mergeCell ref="A40:D40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N2:P2"/>
    <mergeCell ref="T2:T3"/>
    <mergeCell ref="AW2:AW3"/>
    <mergeCell ref="AX2:AX3"/>
    <mergeCell ref="AA2:AA3"/>
    <mergeCell ref="AB2:AB3"/>
    <mergeCell ref="AD2:AD3"/>
    <mergeCell ref="AQ2:AQ3"/>
    <mergeCell ref="AJ1:AX1"/>
    <mergeCell ref="V1:AI1"/>
    <mergeCell ref="E1:U1"/>
    <mergeCell ref="AU2:AU3"/>
    <mergeCell ref="AV2:AV3"/>
    <mergeCell ref="AE2:AE3"/>
    <mergeCell ref="AH2:AH3"/>
    <mergeCell ref="AT2:AT3"/>
    <mergeCell ref="AF2:AF3"/>
    <mergeCell ref="AG2:AG3"/>
    <mergeCell ref="AS2:AS3"/>
    <mergeCell ref="AI2:AI3"/>
    <mergeCell ref="AJ2:AJ3"/>
    <mergeCell ref="AK2:AK3"/>
    <mergeCell ref="AL2:AP2"/>
    <mergeCell ref="AR2:AR3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&amp;L&amp;"Arial,Bold"&amp;18&amp;K000000FY2019-20 Budget Letter
March 2020</oddHeader>
    <oddFooter>&amp;R&amp;P</oddFooter>
  </headerFooter>
  <colBreaks count="2" manualBreakCount="2">
    <brk id="21" max="39" man="1"/>
    <brk id="35" max="3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95" t="s">
        <v>388</v>
      </c>
      <c r="B1" s="1495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95"/>
      <c r="B2" s="1495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95"/>
      <c r="B3" s="1495"/>
      <c r="C3" s="1412"/>
      <c r="D3" s="534" t="s">
        <v>533</v>
      </c>
      <c r="E3" s="534" t="s">
        <v>320</v>
      </c>
      <c r="F3" s="534" t="s">
        <v>1197</v>
      </c>
      <c r="G3" s="534" t="s">
        <v>392</v>
      </c>
      <c r="H3" s="534" t="s">
        <v>320</v>
      </c>
      <c r="I3" s="534" t="s">
        <v>1198</v>
      </c>
      <c r="J3" s="534" t="s">
        <v>392</v>
      </c>
      <c r="K3" s="534" t="s">
        <v>320</v>
      </c>
      <c r="L3" s="534" t="s">
        <v>1199</v>
      </c>
      <c r="M3" s="534" t="s">
        <v>407</v>
      </c>
      <c r="N3" s="534" t="s">
        <v>320</v>
      </c>
      <c r="O3" s="534" t="s">
        <v>1199</v>
      </c>
      <c r="P3" s="534" t="s">
        <v>407</v>
      </c>
      <c r="Q3" s="53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537" t="s">
        <v>1202</v>
      </c>
      <c r="AH3" s="537" t="s">
        <v>1203</v>
      </c>
      <c r="AI3" s="537" t="s">
        <v>1204</v>
      </c>
      <c r="AJ3" s="655" t="s">
        <v>1206</v>
      </c>
      <c r="AK3" s="537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26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45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12458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13040</v>
      </c>
      <c r="AM9" s="147"/>
      <c r="AN9" s="144"/>
      <c r="AO9" s="145">
        <v>0</v>
      </c>
      <c r="AP9" s="144"/>
      <c r="AQ9" s="145"/>
      <c r="AR9" s="145"/>
      <c r="AS9" s="144">
        <v>4</v>
      </c>
      <c r="AT9" s="781">
        <v>21445</v>
      </c>
      <c r="AU9" s="782">
        <v>42</v>
      </c>
      <c r="AV9" s="344"/>
      <c r="AW9" s="137">
        <v>49</v>
      </c>
      <c r="AX9" s="137">
        <v>33</v>
      </c>
      <c r="AY9" s="137">
        <v>-16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45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6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26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45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45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45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6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26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45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45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45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6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26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2090745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4002490</v>
      </c>
      <c r="AM23" s="147"/>
      <c r="AN23" s="144"/>
      <c r="AO23" s="145">
        <v>0</v>
      </c>
      <c r="AP23" s="144"/>
      <c r="AQ23" s="145"/>
      <c r="AR23" s="145"/>
      <c r="AS23" s="144">
        <v>343561</v>
      </c>
      <c r="AT23" s="781">
        <v>6157979</v>
      </c>
      <c r="AU23" s="782">
        <v>537349</v>
      </c>
      <c r="AV23" s="344"/>
      <c r="AW23" s="137">
        <v>9843</v>
      </c>
      <c r="AX23" s="137">
        <v>10006</v>
      </c>
      <c r="AY23" s="137">
        <v>163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45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45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6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26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45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45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3006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27422</v>
      </c>
      <c r="AM30" s="147"/>
      <c r="AN30" s="144"/>
      <c r="AO30" s="145">
        <v>0</v>
      </c>
      <c r="AP30" s="144"/>
      <c r="AQ30" s="145"/>
      <c r="AR30" s="145"/>
      <c r="AS30" s="144">
        <v>4740</v>
      </c>
      <c r="AT30" s="781">
        <v>33350</v>
      </c>
      <c r="AU30" s="782">
        <v>5739</v>
      </c>
      <c r="AV30" s="344"/>
      <c r="AW30" s="137">
        <v>32</v>
      </c>
      <c r="AX30" s="137">
        <v>69</v>
      </c>
      <c r="AY30" s="137">
        <v>37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6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26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45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45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45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6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26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34138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17141</v>
      </c>
      <c r="AM38" s="147"/>
      <c r="AN38" s="144"/>
      <c r="AO38" s="145">
        <v>0</v>
      </c>
      <c r="AP38" s="144"/>
      <c r="AQ38" s="145"/>
      <c r="AR38" s="145"/>
      <c r="AS38" s="144">
        <v>1593</v>
      </c>
      <c r="AT38" s="781">
        <v>54149</v>
      </c>
      <c r="AU38" s="782">
        <v>5180</v>
      </c>
      <c r="AV38" s="344"/>
      <c r="AW38" s="137">
        <v>40</v>
      </c>
      <c r="AX38" s="137">
        <v>43</v>
      </c>
      <c r="AY38" s="137">
        <v>3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45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45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6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26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45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45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45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6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26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45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45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45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6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26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45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145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45">
        <v>0</v>
      </c>
      <c r="AP54" s="144"/>
      <c r="AQ54" s="145"/>
      <c r="AR54" s="145"/>
      <c r="AS54" s="144">
        <v>0</v>
      </c>
      <c r="AT54" s="781">
        <v>145</v>
      </c>
      <c r="AU54" s="782">
        <v>12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45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6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26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45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5120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2693</v>
      </c>
      <c r="AM59" s="147"/>
      <c r="AN59" s="144"/>
      <c r="AO59" s="145">
        <v>0</v>
      </c>
      <c r="AP59" s="144"/>
      <c r="AQ59" s="145"/>
      <c r="AR59" s="145"/>
      <c r="AS59" s="144">
        <v>223</v>
      </c>
      <c r="AT59" s="781">
        <v>7793</v>
      </c>
      <c r="AU59" s="782">
        <v>648</v>
      </c>
      <c r="AV59" s="344"/>
      <c r="AW59" s="137">
        <v>7</v>
      </c>
      <c r="AX59" s="137">
        <v>7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45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6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26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45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45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45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6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22701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32523</v>
      </c>
      <c r="AM67" s="128"/>
      <c r="AN67" s="125"/>
      <c r="AO67" s="126">
        <v>0</v>
      </c>
      <c r="AP67" s="125"/>
      <c r="AQ67" s="126"/>
      <c r="AR67" s="126"/>
      <c r="AS67" s="125">
        <v>-1855</v>
      </c>
      <c r="AT67" s="779">
        <v>45327</v>
      </c>
      <c r="AU67" s="780">
        <v>-2408</v>
      </c>
      <c r="AV67" s="344"/>
      <c r="AW67" s="119">
        <v>150</v>
      </c>
      <c r="AX67" s="119">
        <v>81</v>
      </c>
      <c r="AY67" s="119">
        <v>-69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45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45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45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6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26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21333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45307</v>
      </c>
      <c r="AM73" s="147"/>
      <c r="AN73" s="144"/>
      <c r="AO73" s="145">
        <v>0</v>
      </c>
      <c r="AP73" s="144"/>
      <c r="AQ73" s="145"/>
      <c r="AR73" s="145"/>
      <c r="AS73" s="144">
        <v>7187</v>
      </c>
      <c r="AT73" s="781">
        <v>84318</v>
      </c>
      <c r="AU73" s="782">
        <v>13422</v>
      </c>
      <c r="AV73" s="344"/>
      <c r="AW73" s="785">
        <v>62</v>
      </c>
      <c r="AX73" s="785">
        <v>113</v>
      </c>
      <c r="AY73" s="785">
        <v>51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116892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45990</v>
      </c>
      <c r="AM74" s="147"/>
      <c r="AN74" s="144"/>
      <c r="AO74" s="145">
        <v>0</v>
      </c>
      <c r="AP74" s="144"/>
      <c r="AQ74" s="145"/>
      <c r="AR74" s="145"/>
      <c r="AS74" s="144">
        <v>2815</v>
      </c>
      <c r="AT74" s="781">
        <v>145044</v>
      </c>
      <c r="AU74" s="782">
        <v>8174</v>
      </c>
      <c r="AV74" s="344"/>
      <c r="AW74" s="785">
        <v>130</v>
      </c>
      <c r="AX74" s="785">
        <v>115</v>
      </c>
      <c r="AY74" s="785">
        <v>-15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19213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8"/>
      <c r="AH75" s="143"/>
      <c r="AI75" s="138"/>
      <c r="AJ75" s="143"/>
      <c r="AK75" s="146"/>
      <c r="AL75" s="144">
        <v>11487</v>
      </c>
      <c r="AM75" s="147"/>
      <c r="AN75" s="144"/>
      <c r="AO75" s="145">
        <v>0</v>
      </c>
      <c r="AP75" s="144"/>
      <c r="AQ75" s="145"/>
      <c r="AR75" s="145"/>
      <c r="AS75" s="144">
        <v>959</v>
      </c>
      <c r="AT75" s="781">
        <v>29901</v>
      </c>
      <c r="AU75" s="782">
        <v>2376</v>
      </c>
      <c r="AV75" s="344"/>
      <c r="AW75" s="786">
        <v>29</v>
      </c>
      <c r="AX75" s="786">
        <v>29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552</v>
      </c>
      <c r="D76" s="1022">
        <v>4255.7718143692655</v>
      </c>
      <c r="E76" s="1023">
        <v>1956628.1800786376</v>
      </c>
      <c r="F76" s="1024">
        <v>398</v>
      </c>
      <c r="G76" s="1025">
        <v>569.60967937788098</v>
      </c>
      <c r="H76" s="1026">
        <v>178628.86185173522</v>
      </c>
      <c r="I76" s="1024">
        <v>694</v>
      </c>
      <c r="J76" s="1025">
        <v>158.62710748085348</v>
      </c>
      <c r="K76" s="1026">
        <v>84714.248108869346</v>
      </c>
      <c r="L76" s="1024">
        <v>35</v>
      </c>
      <c r="M76" s="1025">
        <v>3935.2023104669443</v>
      </c>
      <c r="N76" s="1026">
        <v>105779.87263546005</v>
      </c>
      <c r="O76" s="1024">
        <v>0</v>
      </c>
      <c r="P76" s="1025">
        <v>1525.492171506211</v>
      </c>
      <c r="Q76" s="1026">
        <v>0</v>
      </c>
      <c r="R76" s="1027">
        <v>2325751</v>
      </c>
      <c r="S76" s="1025">
        <v>62625</v>
      </c>
      <c r="T76" s="1025">
        <v>9472</v>
      </c>
      <c r="U76" s="1028">
        <v>72097</v>
      </c>
      <c r="V76" s="1027">
        <v>2397848</v>
      </c>
      <c r="W76" s="1026">
        <v>-5994</v>
      </c>
      <c r="X76" s="1027">
        <v>2391854</v>
      </c>
      <c r="Y76" s="1026">
        <v>0</v>
      </c>
      <c r="Z76" s="1027">
        <v>2391854</v>
      </c>
      <c r="AA76" s="1025">
        <v>1546628</v>
      </c>
      <c r="AB76" s="1025">
        <v>845226</v>
      </c>
      <c r="AC76" s="1027">
        <v>211307</v>
      </c>
      <c r="AD76" s="1029">
        <v>2391854</v>
      </c>
      <c r="AE76" s="1025">
        <v>5423</v>
      </c>
      <c r="AF76" s="1030">
        <v>4062761</v>
      </c>
      <c r="AG76" s="1024">
        <v>18</v>
      </c>
      <c r="AH76" s="1025">
        <v>152767</v>
      </c>
      <c r="AI76" s="1024">
        <v>-1</v>
      </c>
      <c r="AJ76" s="1025">
        <v>-17435</v>
      </c>
      <c r="AK76" s="1028">
        <v>135332</v>
      </c>
      <c r="AL76" s="1030">
        <v>4198093</v>
      </c>
      <c r="AM76" s="1025">
        <v>-10496</v>
      </c>
      <c r="AN76" s="1030">
        <v>4187597</v>
      </c>
      <c r="AO76" s="1025">
        <v>0</v>
      </c>
      <c r="AP76" s="1030">
        <v>4187597</v>
      </c>
      <c r="AQ76" s="1025">
        <v>2750698</v>
      </c>
      <c r="AR76" s="1025">
        <v>1436899</v>
      </c>
      <c r="AS76" s="1030">
        <v>359227</v>
      </c>
      <c r="AT76" s="787">
        <v>6579451</v>
      </c>
      <c r="AU76" s="787">
        <v>570534</v>
      </c>
      <c r="AV76" s="516"/>
      <c r="AW76" s="165">
        <v>10342</v>
      </c>
      <c r="AX76" s="165">
        <v>10496</v>
      </c>
      <c r="AY76" s="165">
        <v>154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57714</v>
      </c>
      <c r="S77" s="975"/>
      <c r="T77" s="975"/>
      <c r="U77" s="975"/>
      <c r="V77" s="976">
        <v>57714</v>
      </c>
      <c r="W77" s="1018">
        <v>-144</v>
      </c>
      <c r="X77" s="976">
        <v>57570</v>
      </c>
      <c r="Y77" s="975"/>
      <c r="Z77" s="976">
        <v>57570</v>
      </c>
      <c r="AA77" s="975">
        <v>37114</v>
      </c>
      <c r="AB77" s="975">
        <v>20456</v>
      </c>
      <c r="AC77" s="976">
        <v>5114</v>
      </c>
      <c r="AD77" s="1020">
        <v>57570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57570</v>
      </c>
      <c r="AU77" s="1179">
        <v>5114</v>
      </c>
      <c r="AV77" s="516"/>
      <c r="AW77" s="788"/>
      <c r="AX77" s="788">
        <v>0</v>
      </c>
      <c r="AY77" s="788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79530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32568</v>
      </c>
      <c r="AA83" s="156">
        <v>21712</v>
      </c>
      <c r="AB83" s="795">
        <v>10856</v>
      </c>
      <c r="AC83" s="157">
        <v>2714</v>
      </c>
      <c r="AD83" s="157">
        <v>32568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32568</v>
      </c>
      <c r="AU83" s="796">
        <v>2714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552</v>
      </c>
      <c r="D84" s="1022">
        <v>4255.7718143692655</v>
      </c>
      <c r="E84" s="1023">
        <v>1956628.1800786376</v>
      </c>
      <c r="F84" s="1024">
        <v>398</v>
      </c>
      <c r="G84" s="1025">
        <v>569.60967937788098</v>
      </c>
      <c r="H84" s="1026">
        <v>178628.86185173522</v>
      </c>
      <c r="I84" s="1024">
        <v>694</v>
      </c>
      <c r="J84" s="1025">
        <v>158.62710748085348</v>
      </c>
      <c r="K84" s="1026">
        <v>84714.248108869346</v>
      </c>
      <c r="L84" s="1024">
        <v>35</v>
      </c>
      <c r="M84" s="1025">
        <v>3935.2023104669443</v>
      </c>
      <c r="N84" s="1026">
        <v>105779.87263546005</v>
      </c>
      <c r="O84" s="1024">
        <v>0</v>
      </c>
      <c r="P84" s="1025">
        <v>1525.492171506211</v>
      </c>
      <c r="Q84" s="1026">
        <v>0</v>
      </c>
      <c r="R84" s="1027">
        <v>2383465</v>
      </c>
      <c r="S84" s="1025">
        <v>62625</v>
      </c>
      <c r="T84" s="1025">
        <v>9472</v>
      </c>
      <c r="U84" s="1028">
        <v>72097</v>
      </c>
      <c r="V84" s="1027">
        <v>2455562</v>
      </c>
      <c r="W84" s="1026">
        <v>-6138</v>
      </c>
      <c r="X84" s="1027">
        <v>2449424</v>
      </c>
      <c r="Y84" s="1026">
        <v>0</v>
      </c>
      <c r="Z84" s="1027">
        <v>2481992</v>
      </c>
      <c r="AA84" s="1025">
        <v>1605454</v>
      </c>
      <c r="AB84" s="1025">
        <v>876538</v>
      </c>
      <c r="AC84" s="1027">
        <v>219135</v>
      </c>
      <c r="AD84" s="1029">
        <v>2561522</v>
      </c>
      <c r="AE84" s="1025">
        <v>5423</v>
      </c>
      <c r="AF84" s="1030">
        <v>4062761</v>
      </c>
      <c r="AG84" s="1024">
        <v>18</v>
      </c>
      <c r="AH84" s="1025">
        <v>152767</v>
      </c>
      <c r="AI84" s="1024">
        <v>-1</v>
      </c>
      <c r="AJ84" s="1025">
        <v>-17435</v>
      </c>
      <c r="AK84" s="1028">
        <v>135332</v>
      </c>
      <c r="AL84" s="1030">
        <v>4198093</v>
      </c>
      <c r="AM84" s="1025">
        <v>-10496</v>
      </c>
      <c r="AN84" s="1030">
        <v>4187597</v>
      </c>
      <c r="AO84" s="1025">
        <v>0</v>
      </c>
      <c r="AP84" s="1030">
        <v>4187597</v>
      </c>
      <c r="AQ84" s="1025">
        <v>2750698</v>
      </c>
      <c r="AR84" s="1025">
        <v>1436899</v>
      </c>
      <c r="AS84" s="1030">
        <v>359227</v>
      </c>
      <c r="AT84" s="787">
        <v>6669589</v>
      </c>
      <c r="AU84" s="787">
        <v>578362</v>
      </c>
      <c r="AV84" s="516">
        <v>0</v>
      </c>
      <c r="AW84" s="165">
        <v>10342</v>
      </c>
      <c r="AX84" s="165">
        <v>10496</v>
      </c>
      <c r="AY84" s="165">
        <v>154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16" t="s">
        <v>1171</v>
      </c>
      <c r="B89" s="16" t="s">
        <v>1171</v>
      </c>
      <c r="C89" s="16" t="s">
        <v>1171</v>
      </c>
      <c r="D89" s="16" t="s">
        <v>1171</v>
      </c>
      <c r="E89" s="16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7">
        <v>343001</v>
      </c>
    </row>
    <row r="92" spans="1:52" x14ac:dyDescent="0.2">
      <c r="B92" s="857" t="s">
        <v>1462</v>
      </c>
    </row>
    <row r="93" spans="1:52" x14ac:dyDescent="0.2">
      <c r="B93" s="857" t="s">
        <v>1137</v>
      </c>
    </row>
    <row r="94" spans="1:52" x14ac:dyDescent="0.2">
      <c r="B94" s="857" t="s">
        <v>1470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A76:B76"/>
    <mergeCell ref="J88:J89"/>
    <mergeCell ref="M88:M89"/>
    <mergeCell ref="P88:P89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AL1:AS1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AB2:AB3"/>
    <mergeCell ref="AC2:AC3"/>
    <mergeCell ref="L1:U1"/>
    <mergeCell ref="O2:Q2"/>
    <mergeCell ref="R2:R3"/>
    <mergeCell ref="V2:V3"/>
    <mergeCell ref="W2:W3"/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396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6478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24556</v>
      </c>
      <c r="AM13" s="147"/>
      <c r="AN13" s="144"/>
      <c r="AO13" s="136">
        <v>0</v>
      </c>
      <c r="AP13" s="144"/>
      <c r="AQ13" s="145"/>
      <c r="AR13" s="145"/>
      <c r="AS13" s="144">
        <v>1970</v>
      </c>
      <c r="AT13" s="781">
        <v>30957</v>
      </c>
      <c r="AU13" s="782">
        <v>2508</v>
      </c>
      <c r="AV13" s="344"/>
      <c r="AW13" s="137">
        <v>62</v>
      </c>
      <c r="AX13" s="137">
        <v>61</v>
      </c>
      <c r="AY13" s="137">
        <v>-1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17267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4079</v>
      </c>
      <c r="AM20" s="147"/>
      <c r="AN20" s="144"/>
      <c r="AO20" s="136">
        <v>0</v>
      </c>
      <c r="AP20" s="144"/>
      <c r="AQ20" s="145"/>
      <c r="AR20" s="145"/>
      <c r="AS20" s="144">
        <v>-309</v>
      </c>
      <c r="AT20" s="781">
        <v>11246</v>
      </c>
      <c r="AU20" s="782">
        <v>-1385</v>
      </c>
      <c r="AV20" s="344"/>
      <c r="AW20" s="137">
        <v>20</v>
      </c>
      <c r="AX20" s="137">
        <v>10</v>
      </c>
      <c r="AY20" s="137">
        <v>-10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246166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336441</v>
      </c>
      <c r="AM37" s="128"/>
      <c r="AN37" s="125"/>
      <c r="AO37" s="118">
        <v>0</v>
      </c>
      <c r="AP37" s="125"/>
      <c r="AQ37" s="126"/>
      <c r="AR37" s="126"/>
      <c r="AS37" s="125">
        <v>29341</v>
      </c>
      <c r="AT37" s="779">
        <v>585784</v>
      </c>
      <c r="AU37" s="780">
        <v>50962</v>
      </c>
      <c r="AV37" s="344"/>
      <c r="AW37" s="119">
        <v>820</v>
      </c>
      <c r="AX37" s="119">
        <v>841</v>
      </c>
      <c r="AY37" s="119">
        <v>21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3226</v>
      </c>
      <c r="AM40" s="147"/>
      <c r="AN40" s="144"/>
      <c r="AO40" s="136">
        <v>0</v>
      </c>
      <c r="AP40" s="144"/>
      <c r="AQ40" s="145"/>
      <c r="AR40" s="145"/>
      <c r="AS40" s="144">
        <v>805</v>
      </c>
      <c r="AT40" s="781">
        <v>9209</v>
      </c>
      <c r="AU40" s="782">
        <v>2303</v>
      </c>
      <c r="AV40" s="344"/>
      <c r="AW40" s="137">
        <v>0</v>
      </c>
      <c r="AX40" s="137">
        <v>8</v>
      </c>
      <c r="AY40" s="137">
        <v>8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68901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55468</v>
      </c>
      <c r="AM43" s="147"/>
      <c r="AN43" s="144"/>
      <c r="AO43" s="136">
        <v>0</v>
      </c>
      <c r="AP43" s="144"/>
      <c r="AQ43" s="145"/>
      <c r="AR43" s="145"/>
      <c r="AS43" s="144">
        <v>5956</v>
      </c>
      <c r="AT43" s="781">
        <v>139054</v>
      </c>
      <c r="AU43" s="782">
        <v>15433</v>
      </c>
      <c r="AV43" s="344"/>
      <c r="AW43" s="137">
        <v>118</v>
      </c>
      <c r="AX43" s="137">
        <v>139</v>
      </c>
      <c r="AY43" s="137">
        <v>21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5242512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3801625</v>
      </c>
      <c r="AM62" s="128"/>
      <c r="AN62" s="125"/>
      <c r="AO62" s="118">
        <v>0</v>
      </c>
      <c r="AP62" s="125"/>
      <c r="AQ62" s="126"/>
      <c r="AR62" s="126"/>
      <c r="AS62" s="125">
        <v>310302</v>
      </c>
      <c r="AT62" s="779">
        <v>9272832</v>
      </c>
      <c r="AU62" s="780">
        <v>808912</v>
      </c>
      <c r="AV62" s="344"/>
      <c r="AW62" s="119">
        <v>9590</v>
      </c>
      <c r="AX62" s="119">
        <v>9504</v>
      </c>
      <c r="AY62" s="119">
        <v>-86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948</v>
      </c>
      <c r="D76" s="1022">
        <v>4255.7718143692655</v>
      </c>
      <c r="E76" s="1023">
        <v>4775739.2130460879</v>
      </c>
      <c r="F76" s="1024">
        <v>547</v>
      </c>
      <c r="G76" s="1025">
        <v>569.60967937788098</v>
      </c>
      <c r="H76" s="1026">
        <v>367742.85124011541</v>
      </c>
      <c r="I76" s="1024">
        <v>367</v>
      </c>
      <c r="J76" s="1025">
        <v>158.62710748085348</v>
      </c>
      <c r="K76" s="1026">
        <v>67389.610632470343</v>
      </c>
      <c r="L76" s="1024">
        <v>75</v>
      </c>
      <c r="M76" s="1025">
        <v>3935.2023104669443</v>
      </c>
      <c r="N76" s="1026">
        <v>339002.26313282689</v>
      </c>
      <c r="O76" s="1024">
        <v>17</v>
      </c>
      <c r="P76" s="1025">
        <v>1525.492171506211</v>
      </c>
      <c r="Q76" s="1026">
        <v>31449.788970107824</v>
      </c>
      <c r="R76" s="1027">
        <v>5581324</v>
      </c>
      <c r="S76" s="1025">
        <v>260791</v>
      </c>
      <c r="T76" s="1025">
        <v>6757</v>
      </c>
      <c r="U76" s="1028">
        <v>267548</v>
      </c>
      <c r="V76" s="1027">
        <v>5848872</v>
      </c>
      <c r="W76" s="1026">
        <v>-14622</v>
      </c>
      <c r="X76" s="1027">
        <v>5834250</v>
      </c>
      <c r="Y76" s="1026">
        <v>0</v>
      </c>
      <c r="Z76" s="1027">
        <v>5834250</v>
      </c>
      <c r="AA76" s="1025">
        <v>3711584</v>
      </c>
      <c r="AB76" s="1025">
        <v>2122666</v>
      </c>
      <c r="AC76" s="1027">
        <v>530668</v>
      </c>
      <c r="AD76" s="1029">
        <v>5834250</v>
      </c>
      <c r="AE76" s="1025">
        <v>5423</v>
      </c>
      <c r="AF76" s="1030">
        <v>4108287</v>
      </c>
      <c r="AG76" s="1024">
        <v>29</v>
      </c>
      <c r="AH76" s="1025">
        <v>124365</v>
      </c>
      <c r="AI76" s="1024">
        <v>-4</v>
      </c>
      <c r="AJ76" s="1025">
        <v>-7257</v>
      </c>
      <c r="AK76" s="1028">
        <v>117108</v>
      </c>
      <c r="AL76" s="1030">
        <v>4225395</v>
      </c>
      <c r="AM76" s="1025">
        <v>-10563</v>
      </c>
      <c r="AN76" s="1030">
        <v>4214832</v>
      </c>
      <c r="AO76" s="1025">
        <v>0</v>
      </c>
      <c r="AP76" s="1030">
        <v>4214832</v>
      </c>
      <c r="AQ76" s="1025">
        <v>2822574</v>
      </c>
      <c r="AR76" s="1025">
        <v>1392258</v>
      </c>
      <c r="AS76" s="1030">
        <v>348065</v>
      </c>
      <c r="AT76" s="787">
        <v>10049082</v>
      </c>
      <c r="AU76" s="787">
        <v>878733</v>
      </c>
      <c r="AV76" s="516"/>
      <c r="AW76" s="165">
        <v>10610</v>
      </c>
      <c r="AX76" s="165">
        <v>10563</v>
      </c>
      <c r="AY76" s="165">
        <v>-47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104643</v>
      </c>
      <c r="S77" s="975"/>
      <c r="T77" s="975"/>
      <c r="U77" s="975"/>
      <c r="V77" s="976">
        <v>104643</v>
      </c>
      <c r="W77" s="1018">
        <v>-262</v>
      </c>
      <c r="X77" s="976">
        <v>104381</v>
      </c>
      <c r="Y77" s="975"/>
      <c r="Z77" s="976">
        <v>104381</v>
      </c>
      <c r="AA77" s="975">
        <v>66018</v>
      </c>
      <c r="AB77" s="975">
        <v>38363</v>
      </c>
      <c r="AC77" s="976">
        <v>9591</v>
      </c>
      <c r="AD77" s="1020">
        <v>104381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104381</v>
      </c>
      <c r="AU77" s="1179">
        <v>9591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55671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23777</v>
      </c>
      <c r="AA83" s="156">
        <v>15850</v>
      </c>
      <c r="AB83" s="795">
        <v>7927</v>
      </c>
      <c r="AC83" s="157">
        <v>1982</v>
      </c>
      <c r="AD83" s="157">
        <v>23777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23777</v>
      </c>
      <c r="AU83" s="796">
        <v>1982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948</v>
      </c>
      <c r="D84" s="1022">
        <v>4255.7718143692655</v>
      </c>
      <c r="E84" s="1023">
        <v>4775739.2130460879</v>
      </c>
      <c r="F84" s="1024">
        <v>547</v>
      </c>
      <c r="G84" s="1025">
        <v>569.60967937788098</v>
      </c>
      <c r="H84" s="1026">
        <v>367742.85124011541</v>
      </c>
      <c r="I84" s="1024">
        <v>367</v>
      </c>
      <c r="J84" s="1025">
        <v>158.62710748085348</v>
      </c>
      <c r="K84" s="1026">
        <v>67389.610632470343</v>
      </c>
      <c r="L84" s="1024">
        <v>75</v>
      </c>
      <c r="M84" s="1025">
        <v>3935.2023104669443</v>
      </c>
      <c r="N84" s="1026">
        <v>339002.26313282689</v>
      </c>
      <c r="O84" s="1024">
        <v>17</v>
      </c>
      <c r="P84" s="1025">
        <v>1525.492171506211</v>
      </c>
      <c r="Q84" s="1026">
        <v>31449.788970107824</v>
      </c>
      <c r="R84" s="1027">
        <v>5685967</v>
      </c>
      <c r="S84" s="1025">
        <v>260791</v>
      </c>
      <c r="T84" s="1025">
        <v>6757</v>
      </c>
      <c r="U84" s="1028">
        <v>267548</v>
      </c>
      <c r="V84" s="1027">
        <v>5953515</v>
      </c>
      <c r="W84" s="1026">
        <v>-14884</v>
      </c>
      <c r="X84" s="1027">
        <v>5938631</v>
      </c>
      <c r="Y84" s="1026">
        <v>0</v>
      </c>
      <c r="Z84" s="1027">
        <v>5962408</v>
      </c>
      <c r="AA84" s="1025">
        <v>3793452</v>
      </c>
      <c r="AB84" s="1025">
        <v>2168956</v>
      </c>
      <c r="AC84" s="1027">
        <v>542241</v>
      </c>
      <c r="AD84" s="1029">
        <v>6018079</v>
      </c>
      <c r="AE84" s="1025">
        <v>5423</v>
      </c>
      <c r="AF84" s="1030">
        <v>4108287</v>
      </c>
      <c r="AG84" s="1024">
        <v>29</v>
      </c>
      <c r="AH84" s="1025">
        <v>124365</v>
      </c>
      <c r="AI84" s="1024">
        <v>-4</v>
      </c>
      <c r="AJ84" s="1025">
        <v>-7257</v>
      </c>
      <c r="AK84" s="1028">
        <v>117108</v>
      </c>
      <c r="AL84" s="1030">
        <v>4225395</v>
      </c>
      <c r="AM84" s="1025">
        <v>-10563</v>
      </c>
      <c r="AN84" s="1030">
        <v>4214832</v>
      </c>
      <c r="AO84" s="1025">
        <v>0</v>
      </c>
      <c r="AP84" s="1030">
        <v>4214832</v>
      </c>
      <c r="AQ84" s="1025">
        <v>2822574</v>
      </c>
      <c r="AR84" s="1025">
        <v>1392258</v>
      </c>
      <c r="AS84" s="1030">
        <v>348065</v>
      </c>
      <c r="AT84" s="787">
        <v>10177240</v>
      </c>
      <c r="AU84" s="787">
        <v>890306</v>
      </c>
      <c r="AV84" s="516"/>
      <c r="AW84" s="165">
        <v>10610</v>
      </c>
      <c r="AX84" s="165">
        <v>10563</v>
      </c>
      <c r="AY84" s="165">
        <v>-47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7">
        <v>341001</v>
      </c>
    </row>
    <row r="92" spans="1:52" x14ac:dyDescent="0.2">
      <c r="B92" s="857" t="s">
        <v>1462</v>
      </c>
    </row>
    <row r="93" spans="1:52" x14ac:dyDescent="0.2">
      <c r="B93" s="857" t="s">
        <v>1138</v>
      </c>
    </row>
    <row r="94" spans="1:52" x14ac:dyDescent="0.2">
      <c r="B94" s="857" t="s">
        <v>1500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46" t="s">
        <v>1114</v>
      </c>
      <c r="B1" s="1447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48"/>
      <c r="B2" s="1449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50"/>
      <c r="B3" s="1451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239899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231115</v>
      </c>
      <c r="AM32" s="128"/>
      <c r="AN32" s="125"/>
      <c r="AO32" s="118">
        <v>0</v>
      </c>
      <c r="AP32" s="125"/>
      <c r="AQ32" s="126"/>
      <c r="AR32" s="126"/>
      <c r="AS32" s="125">
        <v>13384</v>
      </c>
      <c r="AT32" s="779">
        <v>419509</v>
      </c>
      <c r="AU32" s="780">
        <v>24680</v>
      </c>
      <c r="AV32" s="344"/>
      <c r="AW32" s="119">
        <v>733</v>
      </c>
      <c r="AX32" s="119">
        <v>578</v>
      </c>
      <c r="AY32" s="119">
        <v>-155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4281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5006</v>
      </c>
      <c r="AM35" s="147"/>
      <c r="AN35" s="144"/>
      <c r="AO35" s="136">
        <v>0</v>
      </c>
      <c r="AP35" s="144"/>
      <c r="AQ35" s="145"/>
      <c r="AR35" s="145"/>
      <c r="AS35" s="144">
        <v>415</v>
      </c>
      <c r="AT35" s="781">
        <v>9263</v>
      </c>
      <c r="AU35" s="782">
        <v>771</v>
      </c>
      <c r="AV35" s="344"/>
      <c r="AW35" s="137">
        <v>13</v>
      </c>
      <c r="AX35" s="137">
        <v>13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1827021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13"/>
      <c r="AF42" s="125"/>
      <c r="AG42" s="117"/>
      <c r="AH42" s="124"/>
      <c r="AI42" s="117"/>
      <c r="AJ42" s="126"/>
      <c r="AK42" s="127"/>
      <c r="AL42" s="125">
        <v>2266545</v>
      </c>
      <c r="AM42" s="128"/>
      <c r="AN42" s="125"/>
      <c r="AO42" s="118">
        <v>0</v>
      </c>
      <c r="AP42" s="125"/>
      <c r="AQ42" s="126"/>
      <c r="AR42" s="126"/>
      <c r="AS42" s="125">
        <v>158452</v>
      </c>
      <c r="AT42" s="779">
        <v>3870076</v>
      </c>
      <c r="AU42" s="780">
        <v>273211</v>
      </c>
      <c r="AV42" s="344"/>
      <c r="AW42" s="119">
        <v>6433</v>
      </c>
      <c r="AX42" s="119">
        <v>5666</v>
      </c>
      <c r="AY42" s="119">
        <v>-767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19452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20850</v>
      </c>
      <c r="AM50" s="147"/>
      <c r="AN50" s="144"/>
      <c r="AO50" s="136">
        <v>0</v>
      </c>
      <c r="AP50" s="144"/>
      <c r="AQ50" s="145"/>
      <c r="AR50" s="145"/>
      <c r="AS50" s="144">
        <v>2203</v>
      </c>
      <c r="AT50" s="781">
        <v>54099</v>
      </c>
      <c r="AU50" s="782">
        <v>5937</v>
      </c>
      <c r="AV50" s="344"/>
      <c r="AW50" s="137">
        <v>30</v>
      </c>
      <c r="AX50" s="137">
        <v>52</v>
      </c>
      <c r="AY50" s="137">
        <v>22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13626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12192</v>
      </c>
      <c r="AM58" s="147"/>
      <c r="AN58" s="144"/>
      <c r="AO58" s="136">
        <v>0</v>
      </c>
      <c r="AP58" s="144"/>
      <c r="AQ58" s="145"/>
      <c r="AR58" s="145"/>
      <c r="AS58" s="144">
        <v>490</v>
      </c>
      <c r="AT58" s="781">
        <v>21223</v>
      </c>
      <c r="AU58" s="782">
        <v>867</v>
      </c>
      <c r="AV58" s="344"/>
      <c r="AW58" s="137">
        <v>46</v>
      </c>
      <c r="AX58" s="137">
        <v>30</v>
      </c>
      <c r="AY58" s="137">
        <v>-16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508</v>
      </c>
      <c r="D76" s="1022">
        <v>4255.7718143692655</v>
      </c>
      <c r="E76" s="1023">
        <v>1756632.3872650254</v>
      </c>
      <c r="F76" s="1024">
        <v>408</v>
      </c>
      <c r="G76" s="1025">
        <v>569.60967937788098</v>
      </c>
      <c r="H76" s="1026">
        <v>190345.12113329451</v>
      </c>
      <c r="I76" s="1024">
        <v>5</v>
      </c>
      <c r="J76" s="1025">
        <v>158.62710748085348</v>
      </c>
      <c r="K76" s="1026">
        <v>632.74215765193298</v>
      </c>
      <c r="L76" s="1024">
        <v>49</v>
      </c>
      <c r="M76" s="1025">
        <v>3935.2023104669443</v>
      </c>
      <c r="N76" s="1026">
        <v>156669.20186489369</v>
      </c>
      <c r="O76" s="1024">
        <v>0</v>
      </c>
      <c r="P76" s="1025">
        <v>1525.492171506211</v>
      </c>
      <c r="Q76" s="1026">
        <v>0</v>
      </c>
      <c r="R76" s="1027">
        <v>2104279</v>
      </c>
      <c r="S76" s="1025">
        <v>-230479</v>
      </c>
      <c r="T76" s="1025">
        <v>-24375</v>
      </c>
      <c r="U76" s="1028">
        <v>-254854</v>
      </c>
      <c r="V76" s="1027">
        <v>1849425</v>
      </c>
      <c r="W76" s="1026">
        <v>-4624</v>
      </c>
      <c r="X76" s="1027">
        <v>1844801</v>
      </c>
      <c r="Y76" s="1026">
        <v>0</v>
      </c>
      <c r="Z76" s="1027">
        <v>1844801</v>
      </c>
      <c r="AA76" s="1025">
        <v>1322714</v>
      </c>
      <c r="AB76" s="1025">
        <v>522087</v>
      </c>
      <c r="AC76" s="1027">
        <v>130522</v>
      </c>
      <c r="AD76" s="1029">
        <v>1844801</v>
      </c>
      <c r="AE76" s="1025">
        <v>5423</v>
      </c>
      <c r="AF76" s="1030">
        <v>2870363</v>
      </c>
      <c r="AG76" s="1024">
        <v>-52</v>
      </c>
      <c r="AH76" s="1025">
        <v>-298741</v>
      </c>
      <c r="AI76" s="1024">
        <v>-13</v>
      </c>
      <c r="AJ76" s="1025">
        <v>-35914</v>
      </c>
      <c r="AK76" s="1028">
        <v>-334655</v>
      </c>
      <c r="AL76" s="1030">
        <v>2535708</v>
      </c>
      <c r="AM76" s="1025">
        <v>-6339</v>
      </c>
      <c r="AN76" s="1030">
        <v>2529369</v>
      </c>
      <c r="AO76" s="1025">
        <v>0</v>
      </c>
      <c r="AP76" s="1030">
        <v>2529369</v>
      </c>
      <c r="AQ76" s="1025">
        <v>1829598</v>
      </c>
      <c r="AR76" s="1025">
        <v>699771</v>
      </c>
      <c r="AS76" s="1030">
        <v>174944</v>
      </c>
      <c r="AT76" s="787">
        <v>4374170</v>
      </c>
      <c r="AU76" s="787">
        <v>305466</v>
      </c>
      <c r="AV76" s="516"/>
      <c r="AW76" s="165">
        <v>7255</v>
      </c>
      <c r="AX76" s="165">
        <v>6339</v>
      </c>
      <c r="AY76" s="165">
        <v>-916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70926</v>
      </c>
      <c r="S77" s="975"/>
      <c r="T77" s="975"/>
      <c r="U77" s="975"/>
      <c r="V77" s="976">
        <v>70926</v>
      </c>
      <c r="W77" s="1018">
        <v>-177</v>
      </c>
      <c r="X77" s="976">
        <v>70749</v>
      </c>
      <c r="Y77" s="975"/>
      <c r="Z77" s="976">
        <v>70749</v>
      </c>
      <c r="AA77" s="975">
        <v>46956</v>
      </c>
      <c r="AB77" s="975">
        <v>23793</v>
      </c>
      <c r="AC77" s="976">
        <v>5948</v>
      </c>
      <c r="AD77" s="1020">
        <v>70749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70749</v>
      </c>
      <c r="AU77" s="1179">
        <v>5948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45836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29972</v>
      </c>
      <c r="AA83" s="156">
        <v>19982</v>
      </c>
      <c r="AB83" s="795">
        <v>9990</v>
      </c>
      <c r="AC83" s="157">
        <v>2498</v>
      </c>
      <c r="AD83" s="157">
        <v>29972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29972</v>
      </c>
      <c r="AU83" s="796">
        <v>2498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508</v>
      </c>
      <c r="D84" s="1022">
        <v>4255.7718143692655</v>
      </c>
      <c r="E84" s="1023">
        <v>1756632.3872650254</v>
      </c>
      <c r="F84" s="1024">
        <v>408</v>
      </c>
      <c r="G84" s="1025">
        <v>569.60967937788098</v>
      </c>
      <c r="H84" s="1026">
        <v>190345.12113329451</v>
      </c>
      <c r="I84" s="1024">
        <v>5</v>
      </c>
      <c r="J84" s="1025">
        <v>158.62710748085348</v>
      </c>
      <c r="K84" s="1026">
        <v>632.74215765193298</v>
      </c>
      <c r="L84" s="1024">
        <v>49</v>
      </c>
      <c r="M84" s="1025">
        <v>3935.2023104669443</v>
      </c>
      <c r="N84" s="1026">
        <v>156669.20186489369</v>
      </c>
      <c r="O84" s="1024">
        <v>0</v>
      </c>
      <c r="P84" s="1025">
        <v>1525.492171506211</v>
      </c>
      <c r="Q84" s="1026">
        <v>0</v>
      </c>
      <c r="R84" s="1027">
        <v>2175205</v>
      </c>
      <c r="S84" s="1025">
        <v>-230479</v>
      </c>
      <c r="T84" s="1025">
        <v>-24375</v>
      </c>
      <c r="U84" s="1028">
        <v>-254854</v>
      </c>
      <c r="V84" s="1027">
        <v>1920351</v>
      </c>
      <c r="W84" s="1026">
        <v>-4801</v>
      </c>
      <c r="X84" s="1027">
        <v>1915550</v>
      </c>
      <c r="Y84" s="1026">
        <v>0</v>
      </c>
      <c r="Z84" s="1027">
        <v>1945522</v>
      </c>
      <c r="AA84" s="1025">
        <v>1389652</v>
      </c>
      <c r="AB84" s="1025">
        <v>555870</v>
      </c>
      <c r="AC84" s="1027">
        <v>138968</v>
      </c>
      <c r="AD84" s="1029">
        <v>2001358</v>
      </c>
      <c r="AE84" s="1025">
        <v>5423</v>
      </c>
      <c r="AF84" s="1030">
        <v>2870363</v>
      </c>
      <c r="AG84" s="1024">
        <v>-52</v>
      </c>
      <c r="AH84" s="1025">
        <v>-298741</v>
      </c>
      <c r="AI84" s="1024">
        <v>-13</v>
      </c>
      <c r="AJ84" s="1025">
        <v>-35914</v>
      </c>
      <c r="AK84" s="1028">
        <v>-334655</v>
      </c>
      <c r="AL84" s="1030">
        <v>2535708</v>
      </c>
      <c r="AM84" s="1025">
        <v>-6339</v>
      </c>
      <c r="AN84" s="1030">
        <v>2529369</v>
      </c>
      <c r="AO84" s="1025">
        <v>0</v>
      </c>
      <c r="AP84" s="1030">
        <v>2529369</v>
      </c>
      <c r="AQ84" s="1025">
        <v>1829598</v>
      </c>
      <c r="AR84" s="1025">
        <v>699771</v>
      </c>
      <c r="AS84" s="1030">
        <v>174944</v>
      </c>
      <c r="AT84" s="787">
        <v>4474891</v>
      </c>
      <c r="AU84" s="787">
        <v>313912</v>
      </c>
      <c r="AV84" s="516"/>
      <c r="AW84" s="165">
        <v>7255</v>
      </c>
      <c r="AX84" s="165">
        <v>6339</v>
      </c>
      <c r="AY84" s="165">
        <v>-916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  <c r="AQ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  <c r="AQ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  <c r="AQ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>
        <v>344001</v>
      </c>
    </row>
    <row r="92" spans="1:52" x14ac:dyDescent="0.2">
      <c r="B92" s="857" t="s">
        <v>1462</v>
      </c>
    </row>
    <row r="93" spans="1:52" x14ac:dyDescent="0.2">
      <c r="B93" s="857" t="s">
        <v>1139</v>
      </c>
    </row>
    <row r="94" spans="1:52" x14ac:dyDescent="0.2">
      <c r="B94" s="857" t="s">
        <v>1499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1113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2742387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3663314</v>
      </c>
      <c r="AM32" s="128"/>
      <c r="AN32" s="125"/>
      <c r="AO32" s="118">
        <v>0</v>
      </c>
      <c r="AP32" s="125"/>
      <c r="AQ32" s="126"/>
      <c r="AR32" s="126"/>
      <c r="AS32" s="125">
        <v>317423</v>
      </c>
      <c r="AT32" s="779">
        <v>6840218</v>
      </c>
      <c r="AU32" s="780">
        <v>610671</v>
      </c>
      <c r="AV32" s="344"/>
      <c r="AW32" s="119">
        <v>8121</v>
      </c>
      <c r="AX32" s="119">
        <v>9158</v>
      </c>
      <c r="AY32" s="119">
        <v>1037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1073552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1558062</v>
      </c>
      <c r="AM42" s="128"/>
      <c r="AN42" s="125"/>
      <c r="AO42" s="118">
        <v>0</v>
      </c>
      <c r="AP42" s="125"/>
      <c r="AQ42" s="126"/>
      <c r="AR42" s="126"/>
      <c r="AS42" s="125">
        <v>124263</v>
      </c>
      <c r="AT42" s="779">
        <v>2611644</v>
      </c>
      <c r="AU42" s="780">
        <v>213810</v>
      </c>
      <c r="AV42" s="344"/>
      <c r="AW42" s="119">
        <v>4063</v>
      </c>
      <c r="AX42" s="119">
        <v>3895</v>
      </c>
      <c r="AY42" s="119">
        <v>-168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-591</v>
      </c>
      <c r="AT43" s="781">
        <v>0</v>
      </c>
      <c r="AU43" s="782">
        <v>-1367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40250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158964</v>
      </c>
      <c r="AM44" s="147"/>
      <c r="AN44" s="144"/>
      <c r="AO44" s="136">
        <v>0</v>
      </c>
      <c r="AP44" s="144"/>
      <c r="AQ44" s="145"/>
      <c r="AR44" s="145"/>
      <c r="AS44" s="144">
        <v>22143</v>
      </c>
      <c r="AT44" s="781">
        <v>196530</v>
      </c>
      <c r="AU44" s="782">
        <v>27577</v>
      </c>
      <c r="AV44" s="344"/>
      <c r="AW44" s="137">
        <v>434</v>
      </c>
      <c r="AX44" s="137">
        <v>397</v>
      </c>
      <c r="AY44" s="137">
        <v>-37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28335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9477</v>
      </c>
      <c r="AM50" s="147"/>
      <c r="AN50" s="144"/>
      <c r="AO50" s="136">
        <v>0</v>
      </c>
      <c r="AP50" s="144"/>
      <c r="AQ50" s="145"/>
      <c r="AR50" s="145"/>
      <c r="AS50" s="144">
        <v>832</v>
      </c>
      <c r="AT50" s="781">
        <v>24790</v>
      </c>
      <c r="AU50" s="782">
        <v>2499</v>
      </c>
      <c r="AV50" s="344"/>
      <c r="AW50" s="137">
        <v>50</v>
      </c>
      <c r="AX50" s="137">
        <v>24</v>
      </c>
      <c r="AY50" s="137">
        <v>-26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8294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28672</v>
      </c>
      <c r="AM51" s="162"/>
      <c r="AN51" s="159"/>
      <c r="AO51" s="150">
        <v>0</v>
      </c>
      <c r="AP51" s="159"/>
      <c r="AQ51" s="160"/>
      <c r="AR51" s="160"/>
      <c r="AS51" s="159">
        <v>2162</v>
      </c>
      <c r="AT51" s="783">
        <v>34252</v>
      </c>
      <c r="AU51" s="784">
        <v>2610</v>
      </c>
      <c r="AV51" s="344"/>
      <c r="AW51" s="151">
        <v>107</v>
      </c>
      <c r="AX51" s="151">
        <v>72</v>
      </c>
      <c r="AY51" s="151">
        <v>-35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14191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15240</v>
      </c>
      <c r="AM58" s="147"/>
      <c r="AN58" s="144"/>
      <c r="AO58" s="136">
        <v>0</v>
      </c>
      <c r="AP58" s="144"/>
      <c r="AQ58" s="145"/>
      <c r="AR58" s="145"/>
      <c r="AS58" s="144">
        <v>842</v>
      </c>
      <c r="AT58" s="781">
        <v>29242</v>
      </c>
      <c r="AU58" s="782">
        <v>931</v>
      </c>
      <c r="AV58" s="344"/>
      <c r="AW58" s="137">
        <v>31</v>
      </c>
      <c r="AX58" s="137">
        <v>38</v>
      </c>
      <c r="AY58" s="137">
        <v>7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1347</v>
      </c>
      <c r="AM59" s="147"/>
      <c r="AN59" s="144"/>
      <c r="AO59" s="136">
        <v>0</v>
      </c>
      <c r="AP59" s="144"/>
      <c r="AQ59" s="145"/>
      <c r="AR59" s="145"/>
      <c r="AS59" s="144">
        <v>336</v>
      </c>
      <c r="AT59" s="781">
        <v>4051</v>
      </c>
      <c r="AU59" s="782">
        <v>1013</v>
      </c>
      <c r="AV59" s="344"/>
      <c r="AW59" s="137">
        <v>0</v>
      </c>
      <c r="AX59" s="137">
        <v>3</v>
      </c>
      <c r="AY59" s="137">
        <v>3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870</v>
      </c>
      <c r="D76" s="1022">
        <v>4255.7718143692655</v>
      </c>
      <c r="E76" s="1023">
        <v>3222899.0116888778</v>
      </c>
      <c r="F76" s="1024">
        <v>664</v>
      </c>
      <c r="G76" s="1025">
        <v>569.60967937788098</v>
      </c>
      <c r="H76" s="1026">
        <v>315857.21962458099</v>
      </c>
      <c r="I76" s="1024">
        <v>1154</v>
      </c>
      <c r="J76" s="1025">
        <v>158.62710748085348</v>
      </c>
      <c r="K76" s="1026">
        <v>149590.30203308439</v>
      </c>
      <c r="L76" s="1024">
        <v>68</v>
      </c>
      <c r="M76" s="1025">
        <v>3935.2023104669443</v>
      </c>
      <c r="N76" s="1026">
        <v>218661.7644833627</v>
      </c>
      <c r="O76" s="1024">
        <v>0</v>
      </c>
      <c r="P76" s="1025">
        <v>1525.492171506211</v>
      </c>
      <c r="Q76" s="1026">
        <v>0</v>
      </c>
      <c r="R76" s="1027">
        <v>3907009</v>
      </c>
      <c r="S76" s="1025">
        <v>376432</v>
      </c>
      <c r="T76" s="1025">
        <v>45046</v>
      </c>
      <c r="U76" s="1028">
        <v>421478</v>
      </c>
      <c r="V76" s="1027">
        <v>4328487</v>
      </c>
      <c r="W76" s="1026">
        <v>-10820</v>
      </c>
      <c r="X76" s="1027">
        <v>4317667</v>
      </c>
      <c r="Y76" s="1026">
        <v>1571</v>
      </c>
      <c r="Z76" s="1027">
        <v>4319238</v>
      </c>
      <c r="AA76" s="1025">
        <v>2757902</v>
      </c>
      <c r="AB76" s="1025">
        <v>1561336</v>
      </c>
      <c r="AC76" s="1027">
        <v>390334</v>
      </c>
      <c r="AD76" s="1029">
        <v>4319238</v>
      </c>
      <c r="AE76" s="1025">
        <v>5423</v>
      </c>
      <c r="AF76" s="1030">
        <v>5047385</v>
      </c>
      <c r="AG76" s="1024">
        <v>69</v>
      </c>
      <c r="AH76" s="1025">
        <v>324776</v>
      </c>
      <c r="AI76" s="1024">
        <v>18</v>
      </c>
      <c r="AJ76" s="1025">
        <v>62915</v>
      </c>
      <c r="AK76" s="1028">
        <v>387691</v>
      </c>
      <c r="AL76" s="1030">
        <v>5435076</v>
      </c>
      <c r="AM76" s="1025">
        <v>-13587</v>
      </c>
      <c r="AN76" s="1030">
        <v>5421489</v>
      </c>
      <c r="AO76" s="1025">
        <v>0</v>
      </c>
      <c r="AP76" s="1030">
        <v>5421489</v>
      </c>
      <c r="AQ76" s="1025">
        <v>3551854</v>
      </c>
      <c r="AR76" s="1025">
        <v>1869635</v>
      </c>
      <c r="AS76" s="1030">
        <v>467410</v>
      </c>
      <c r="AT76" s="787">
        <v>9740727</v>
      </c>
      <c r="AU76" s="787">
        <v>857744</v>
      </c>
      <c r="AV76" s="516"/>
      <c r="AW76" s="165">
        <v>12806</v>
      </c>
      <c r="AX76" s="165">
        <v>13587</v>
      </c>
      <c r="AY76" s="165">
        <v>781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111251</v>
      </c>
      <c r="S77" s="975"/>
      <c r="T77" s="975"/>
      <c r="U77" s="975"/>
      <c r="V77" s="976">
        <v>111251</v>
      </c>
      <c r="W77" s="1018">
        <v>-278</v>
      </c>
      <c r="X77" s="976">
        <v>110973</v>
      </c>
      <c r="Y77" s="975"/>
      <c r="Z77" s="976">
        <v>110973</v>
      </c>
      <c r="AA77" s="975">
        <v>71896</v>
      </c>
      <c r="AB77" s="975">
        <v>39077</v>
      </c>
      <c r="AC77" s="976">
        <v>9769</v>
      </c>
      <c r="AD77" s="1020">
        <v>110973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110973</v>
      </c>
      <c r="AU77" s="1179">
        <v>9769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20485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106429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51330</v>
      </c>
      <c r="AA83" s="156">
        <v>34220</v>
      </c>
      <c r="AB83" s="795">
        <v>17110</v>
      </c>
      <c r="AC83" s="157">
        <v>4278</v>
      </c>
      <c r="AD83" s="157">
        <v>51330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51330</v>
      </c>
      <c r="AU83" s="796">
        <v>4278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870</v>
      </c>
      <c r="D84" s="1022">
        <v>4255.7718143692655</v>
      </c>
      <c r="E84" s="1023">
        <v>3222899.0116888778</v>
      </c>
      <c r="F84" s="1024">
        <v>664</v>
      </c>
      <c r="G84" s="1025">
        <v>569.60967937788098</v>
      </c>
      <c r="H84" s="1026">
        <v>315857.21962458099</v>
      </c>
      <c r="I84" s="1024">
        <v>1154</v>
      </c>
      <c r="J84" s="1025">
        <v>158.62710748085348</v>
      </c>
      <c r="K84" s="1026">
        <v>149590.30203308439</v>
      </c>
      <c r="L84" s="1024">
        <v>68</v>
      </c>
      <c r="M84" s="1025">
        <v>3935.2023104669443</v>
      </c>
      <c r="N84" s="1026">
        <v>218661.7644833627</v>
      </c>
      <c r="O84" s="1024">
        <v>0</v>
      </c>
      <c r="P84" s="1025">
        <v>1525.492171506211</v>
      </c>
      <c r="Q84" s="1026">
        <v>0</v>
      </c>
      <c r="R84" s="1027">
        <v>4018260</v>
      </c>
      <c r="S84" s="1025">
        <v>376432</v>
      </c>
      <c r="T84" s="1025">
        <v>45046</v>
      </c>
      <c r="U84" s="1028">
        <v>421478</v>
      </c>
      <c r="V84" s="1027">
        <v>4439738</v>
      </c>
      <c r="W84" s="1026">
        <v>-11098</v>
      </c>
      <c r="X84" s="1027">
        <v>4428640</v>
      </c>
      <c r="Y84" s="1026">
        <v>1571</v>
      </c>
      <c r="Z84" s="1027">
        <v>4481541</v>
      </c>
      <c r="AA84" s="1025">
        <v>2864018</v>
      </c>
      <c r="AB84" s="1025">
        <v>1617523</v>
      </c>
      <c r="AC84" s="1027">
        <v>404381</v>
      </c>
      <c r="AD84" s="1029">
        <v>4608455</v>
      </c>
      <c r="AE84" s="1025">
        <v>5423</v>
      </c>
      <c r="AF84" s="1030">
        <v>5047385</v>
      </c>
      <c r="AG84" s="1024">
        <v>69</v>
      </c>
      <c r="AH84" s="1025">
        <v>324776</v>
      </c>
      <c r="AI84" s="1024">
        <v>18</v>
      </c>
      <c r="AJ84" s="1025">
        <v>62915</v>
      </c>
      <c r="AK84" s="1028">
        <v>387691</v>
      </c>
      <c r="AL84" s="1030">
        <v>5435076</v>
      </c>
      <c r="AM84" s="1025">
        <v>-13587</v>
      </c>
      <c r="AN84" s="1030">
        <v>5421489</v>
      </c>
      <c r="AO84" s="1025">
        <v>0</v>
      </c>
      <c r="AP84" s="1030">
        <v>5421489</v>
      </c>
      <c r="AQ84" s="1025">
        <v>3551854</v>
      </c>
      <c r="AR84" s="1025">
        <v>1869635</v>
      </c>
      <c r="AS84" s="1030">
        <v>467410</v>
      </c>
      <c r="AT84" s="787">
        <v>9903030</v>
      </c>
      <c r="AU84" s="787">
        <v>871791</v>
      </c>
      <c r="AV84" s="516"/>
      <c r="AW84" s="165">
        <v>12806</v>
      </c>
      <c r="AX84" s="165">
        <v>13587</v>
      </c>
      <c r="AY84" s="165">
        <v>781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480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>
        <v>348001</v>
      </c>
    </row>
    <row r="92" spans="1:52" x14ac:dyDescent="0.2">
      <c r="B92" s="857" t="s">
        <v>1462</v>
      </c>
    </row>
    <row r="93" spans="1:52" x14ac:dyDescent="0.2">
      <c r="B93" s="857" t="s">
        <v>1140</v>
      </c>
    </row>
    <row r="94" spans="1:52" x14ac:dyDescent="0.2">
      <c r="B94" s="857" t="s">
        <v>1498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8.140625" style="7" customWidth="1"/>
    <col min="3" max="3" width="12.140625" style="7" bestFit="1" customWidth="1"/>
    <col min="4" max="4" width="13.85546875" style="7" customWidth="1"/>
    <col min="5" max="5" width="12.28515625" style="7" customWidth="1"/>
    <col min="6" max="6" width="11.28515625" style="7" customWidth="1"/>
    <col min="7" max="7" width="10.85546875" style="7" customWidth="1"/>
    <col min="8" max="9" width="11.28515625" style="7" customWidth="1"/>
    <col min="10" max="10" width="10.85546875" style="7" customWidth="1"/>
    <col min="11" max="12" width="11.28515625" style="7" customWidth="1"/>
    <col min="13" max="13" width="8.5703125" style="7" customWidth="1"/>
    <col min="14" max="15" width="11.28515625" style="7" customWidth="1"/>
    <col min="16" max="16" width="8.5703125" style="7" customWidth="1"/>
    <col min="17" max="17" width="11.28515625" style="7" customWidth="1"/>
    <col min="18" max="18" width="10.7109375" style="7" bestFit="1" customWidth="1"/>
    <col min="19" max="21" width="13.85546875" style="7" customWidth="1"/>
    <col min="22" max="22" width="11.85546875" style="7" bestFit="1" customWidth="1"/>
    <col min="23" max="23" width="10.85546875" style="7" bestFit="1" customWidth="1"/>
    <col min="24" max="24" width="12.7109375" style="7" customWidth="1"/>
    <col min="25" max="25" width="13.28515625" style="7" bestFit="1" customWidth="1"/>
    <col min="26" max="26" width="17.5703125" style="7" customWidth="1"/>
    <col min="27" max="28" width="11.28515625" style="7" customWidth="1"/>
    <col min="29" max="29" width="10.7109375" style="7" customWidth="1"/>
    <col min="30" max="30" width="16.42578125" style="7" customWidth="1"/>
    <col min="31" max="32" width="15.85546875" style="7" customWidth="1"/>
    <col min="33" max="37" width="15.7109375" style="7" customWidth="1"/>
    <col min="38" max="38" width="15.140625" style="7" customWidth="1"/>
    <col min="39" max="39" width="10.85546875" style="7" customWidth="1"/>
    <col min="40" max="40" width="15" style="7" customWidth="1"/>
    <col min="41" max="41" width="13.42578125" style="7" customWidth="1"/>
    <col min="42" max="42" width="16.28515625" style="7" customWidth="1"/>
    <col min="43" max="44" width="13.85546875" style="7" customWidth="1"/>
    <col min="45" max="45" width="15.5703125" style="7" customWidth="1"/>
    <col min="46" max="47" width="14.42578125" style="7" bestFit="1" customWidth="1"/>
    <col min="48" max="48" width="8.85546875" style="7"/>
    <col min="49" max="50" width="12.28515625" style="7" customWidth="1"/>
    <col min="51" max="51" width="10" style="7" bestFit="1" customWidth="1"/>
    <col min="52" max="16384" width="8.85546875" style="7"/>
  </cols>
  <sheetData>
    <row r="1" spans="1:51" ht="19.899999999999999" customHeight="1" x14ac:dyDescent="0.2">
      <c r="A1" s="1446" t="s">
        <v>1436</v>
      </c>
      <c r="B1" s="1447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1" ht="30" customHeight="1" x14ac:dyDescent="0.2">
      <c r="A2" s="1448"/>
      <c r="B2" s="1449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1" ht="95.25" customHeight="1" x14ac:dyDescent="0.2">
      <c r="A3" s="1450"/>
      <c r="B3" s="1451"/>
      <c r="C3" s="1412"/>
      <c r="D3" s="1170" t="s">
        <v>533</v>
      </c>
      <c r="E3" s="1170" t="s">
        <v>320</v>
      </c>
      <c r="F3" s="1170" t="s">
        <v>1197</v>
      </c>
      <c r="G3" s="1170" t="s">
        <v>392</v>
      </c>
      <c r="H3" s="1170" t="s">
        <v>320</v>
      </c>
      <c r="I3" s="1170" t="s">
        <v>1198</v>
      </c>
      <c r="J3" s="1170" t="s">
        <v>392</v>
      </c>
      <c r="K3" s="1170" t="s">
        <v>320</v>
      </c>
      <c r="L3" s="1170" t="s">
        <v>1199</v>
      </c>
      <c r="M3" s="1170" t="s">
        <v>407</v>
      </c>
      <c r="N3" s="1170" t="s">
        <v>320</v>
      </c>
      <c r="O3" s="1170" t="s">
        <v>1199</v>
      </c>
      <c r="P3" s="1170" t="s">
        <v>407</v>
      </c>
      <c r="Q3" s="1170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1171" t="s">
        <v>440</v>
      </c>
      <c r="AX3" s="1171" t="s">
        <v>441</v>
      </c>
      <c r="AY3" s="1171" t="s">
        <v>375</v>
      </c>
    </row>
    <row r="4" spans="1:51" ht="14.25" customHeight="1" x14ac:dyDescent="0.2">
      <c r="A4" s="1131"/>
      <c r="B4" s="1132"/>
      <c r="C4" s="132">
        <v>1</v>
      </c>
      <c r="D4" s="132">
        <v>2</v>
      </c>
      <c r="E4" s="132">
        <v>3</v>
      </c>
      <c r="F4" s="132">
        <v>4</v>
      </c>
      <c r="G4" s="132">
        <v>5</v>
      </c>
      <c r="H4" s="132">
        <v>6</v>
      </c>
      <c r="I4" s="132">
        <v>7</v>
      </c>
      <c r="J4" s="132">
        <v>8</v>
      </c>
      <c r="K4" s="132">
        <v>9</v>
      </c>
      <c r="L4" s="132">
        <v>10</v>
      </c>
      <c r="M4" s="132">
        <v>11</v>
      </c>
      <c r="N4" s="132">
        <v>12</v>
      </c>
      <c r="O4" s="132">
        <v>13</v>
      </c>
      <c r="P4" s="132">
        <v>14</v>
      </c>
      <c r="Q4" s="132">
        <v>15</v>
      </c>
      <c r="R4" s="132">
        <v>16</v>
      </c>
      <c r="S4" s="132">
        <v>17</v>
      </c>
      <c r="T4" s="132">
        <v>18</v>
      </c>
      <c r="U4" s="132">
        <v>19</v>
      </c>
      <c r="V4" s="132">
        <v>20</v>
      </c>
      <c r="W4" s="132">
        <v>21</v>
      </c>
      <c r="X4" s="132">
        <v>22</v>
      </c>
      <c r="Y4" s="132">
        <v>23</v>
      </c>
      <c r="Z4" s="132">
        <v>24</v>
      </c>
      <c r="AA4" s="132">
        <v>25</v>
      </c>
      <c r="AB4" s="132">
        <v>26</v>
      </c>
      <c r="AC4" s="132">
        <v>27</v>
      </c>
      <c r="AD4" s="132">
        <v>28</v>
      </c>
      <c r="AE4" s="132">
        <v>29</v>
      </c>
      <c r="AF4" s="132">
        <v>30</v>
      </c>
      <c r="AG4" s="132">
        <v>31</v>
      </c>
      <c r="AH4" s="132">
        <v>32</v>
      </c>
      <c r="AI4" s="132">
        <v>33</v>
      </c>
      <c r="AJ4" s="132">
        <v>34</v>
      </c>
      <c r="AK4" s="132">
        <v>35</v>
      </c>
      <c r="AL4" s="132">
        <v>36</v>
      </c>
      <c r="AM4" s="132">
        <v>37</v>
      </c>
      <c r="AN4" s="132">
        <v>38</v>
      </c>
      <c r="AO4" s="132">
        <v>39</v>
      </c>
      <c r="AP4" s="132">
        <v>40</v>
      </c>
      <c r="AQ4" s="132">
        <v>41</v>
      </c>
      <c r="AR4" s="132">
        <v>42</v>
      </c>
      <c r="AS4" s="132">
        <v>43</v>
      </c>
      <c r="AT4" s="132">
        <v>44</v>
      </c>
      <c r="AU4" s="132">
        <v>45</v>
      </c>
      <c r="AV4" s="132">
        <v>46</v>
      </c>
      <c r="AW4" s="132">
        <v>47</v>
      </c>
      <c r="AX4" s="132">
        <v>48</v>
      </c>
      <c r="AY4" s="132">
        <v>49</v>
      </c>
    </row>
    <row r="5" spans="1:51" s="495" customFormat="1" ht="31.5" customHeight="1" x14ac:dyDescent="0.2">
      <c r="A5" s="1133"/>
      <c r="B5" s="11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1" s="495" customFormat="1" ht="31.5" hidden="1" customHeight="1" x14ac:dyDescent="0.2">
      <c r="A6" s="739"/>
      <c r="B6" s="739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1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</row>
    <row r="8" spans="1:51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</row>
    <row r="9" spans="1:51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</row>
    <row r="10" spans="1:51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</row>
    <row r="11" spans="1:51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</row>
    <row r="12" spans="1:51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</row>
    <row r="13" spans="1:51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</row>
    <row r="14" spans="1:51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</row>
    <row r="15" spans="1:51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</row>
    <row r="16" spans="1:51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</row>
    <row r="17" spans="1:51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</row>
    <row r="18" spans="1:51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</row>
    <row r="19" spans="1:51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</row>
    <row r="20" spans="1:51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</row>
    <row r="21" spans="1:51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</row>
    <row r="22" spans="1:51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</row>
    <row r="23" spans="1:51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</row>
    <row r="24" spans="1:51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</row>
    <row r="25" spans="1:51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</row>
    <row r="26" spans="1:51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</row>
    <row r="27" spans="1:51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</row>
    <row r="28" spans="1:51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</row>
    <row r="29" spans="1:51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</row>
    <row r="30" spans="1:51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</row>
    <row r="31" spans="1:51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</row>
    <row r="32" spans="1:51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962012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1248555</v>
      </c>
      <c r="AM32" s="128"/>
      <c r="AN32" s="125"/>
      <c r="AO32" s="118">
        <v>0</v>
      </c>
      <c r="AP32" s="125"/>
      <c r="AQ32" s="126"/>
      <c r="AR32" s="126"/>
      <c r="AS32" s="125">
        <v>122617</v>
      </c>
      <c r="AT32" s="779">
        <v>2332075</v>
      </c>
      <c r="AU32" s="780">
        <v>234343</v>
      </c>
      <c r="AV32" s="344"/>
      <c r="AW32" s="119">
        <v>2838</v>
      </c>
      <c r="AX32" s="119">
        <v>3121</v>
      </c>
      <c r="AY32" s="119">
        <v>283</v>
      </c>
    </row>
    <row r="33" spans="1:51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</row>
    <row r="34" spans="1:51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</row>
    <row r="35" spans="1:51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</row>
    <row r="36" spans="1:51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</row>
    <row r="37" spans="1:51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</row>
    <row r="38" spans="1:51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</row>
    <row r="39" spans="1:51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</row>
    <row r="40" spans="1:51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</row>
    <row r="41" spans="1:51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</row>
    <row r="42" spans="1:51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2485479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13"/>
      <c r="AF42" s="125"/>
      <c r="AG42" s="117"/>
      <c r="AH42" s="124"/>
      <c r="AI42" s="117"/>
      <c r="AJ42" s="126"/>
      <c r="AK42" s="127"/>
      <c r="AL42" s="125">
        <v>4182517</v>
      </c>
      <c r="AM42" s="128"/>
      <c r="AN42" s="125"/>
      <c r="AO42" s="118">
        <v>-231826</v>
      </c>
      <c r="AP42" s="125"/>
      <c r="AQ42" s="126"/>
      <c r="AR42" s="126"/>
      <c r="AS42" s="125">
        <v>381477</v>
      </c>
      <c r="AT42" s="779">
        <v>6743763</v>
      </c>
      <c r="AU42" s="780">
        <v>669149</v>
      </c>
      <c r="AV42" s="344"/>
      <c r="AW42" s="119">
        <v>9657</v>
      </c>
      <c r="AX42" s="119">
        <v>10456</v>
      </c>
      <c r="AY42" s="119">
        <v>799</v>
      </c>
    </row>
    <row r="43" spans="1:51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</row>
    <row r="44" spans="1:51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17527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65778</v>
      </c>
      <c r="AM44" s="147"/>
      <c r="AN44" s="144"/>
      <c r="AO44" s="136">
        <v>0</v>
      </c>
      <c r="AP44" s="144"/>
      <c r="AQ44" s="145"/>
      <c r="AR44" s="145"/>
      <c r="AS44" s="144">
        <v>3776</v>
      </c>
      <c r="AT44" s="781">
        <v>80625</v>
      </c>
      <c r="AU44" s="782">
        <v>4615</v>
      </c>
      <c r="AV44" s="344"/>
      <c r="AW44" s="137">
        <v>190</v>
      </c>
      <c r="AX44" s="137">
        <v>164</v>
      </c>
      <c r="AY44" s="137">
        <v>-26</v>
      </c>
    </row>
    <row r="45" spans="1:51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</row>
    <row r="46" spans="1:51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</row>
    <row r="47" spans="1:51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</row>
    <row r="48" spans="1:51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</row>
    <row r="49" spans="1:51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</row>
    <row r="50" spans="1:51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25920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11373</v>
      </c>
      <c r="AM50" s="147"/>
      <c r="AN50" s="144"/>
      <c r="AO50" s="136">
        <v>0</v>
      </c>
      <c r="AP50" s="144"/>
      <c r="AQ50" s="145"/>
      <c r="AR50" s="145"/>
      <c r="AS50" s="144">
        <v>-494</v>
      </c>
      <c r="AT50" s="781">
        <v>28516</v>
      </c>
      <c r="AU50" s="782">
        <v>-511</v>
      </c>
      <c r="AV50" s="344"/>
      <c r="AW50" s="137">
        <v>50</v>
      </c>
      <c r="AX50" s="137">
        <v>28</v>
      </c>
      <c r="AY50" s="137">
        <v>-22</v>
      </c>
    </row>
    <row r="51" spans="1:51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12358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57344</v>
      </c>
      <c r="AM51" s="162"/>
      <c r="AN51" s="159"/>
      <c r="AO51" s="150">
        <v>0</v>
      </c>
      <c r="AP51" s="159"/>
      <c r="AQ51" s="160"/>
      <c r="AR51" s="160"/>
      <c r="AS51" s="159">
        <v>4798</v>
      </c>
      <c r="AT51" s="783">
        <v>69528</v>
      </c>
      <c r="AU51" s="784">
        <v>5825</v>
      </c>
      <c r="AV51" s="344"/>
      <c r="AW51" s="151">
        <v>143</v>
      </c>
      <c r="AX51" s="151">
        <v>143</v>
      </c>
      <c r="AY51" s="151">
        <v>0</v>
      </c>
    </row>
    <row r="52" spans="1:51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</row>
    <row r="53" spans="1:51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</row>
    <row r="54" spans="1:51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9255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14416</v>
      </c>
      <c r="AM54" s="147"/>
      <c r="AN54" s="144"/>
      <c r="AO54" s="136">
        <v>0</v>
      </c>
      <c r="AP54" s="144"/>
      <c r="AQ54" s="145"/>
      <c r="AR54" s="145"/>
      <c r="AS54" s="144">
        <v>1423</v>
      </c>
      <c r="AT54" s="781">
        <v>23612</v>
      </c>
      <c r="AU54" s="782">
        <v>2193</v>
      </c>
      <c r="AV54" s="344"/>
      <c r="AW54" s="137">
        <v>33</v>
      </c>
      <c r="AX54" s="137">
        <v>36</v>
      </c>
      <c r="AY54" s="137">
        <v>3</v>
      </c>
    </row>
    <row r="55" spans="1:51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</row>
    <row r="56" spans="1:51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</row>
    <row r="57" spans="1:51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</row>
    <row r="58" spans="1:51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41952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48768</v>
      </c>
      <c r="AM58" s="147"/>
      <c r="AN58" s="144"/>
      <c r="AO58" s="136">
        <v>0</v>
      </c>
      <c r="AP58" s="144"/>
      <c r="AQ58" s="145"/>
      <c r="AR58" s="145"/>
      <c r="AS58" s="144">
        <v>5020</v>
      </c>
      <c r="AT58" s="781">
        <v>95024</v>
      </c>
      <c r="AU58" s="782">
        <v>9640</v>
      </c>
      <c r="AV58" s="344"/>
      <c r="AW58" s="137">
        <v>107</v>
      </c>
      <c r="AX58" s="137">
        <v>122</v>
      </c>
      <c r="AY58" s="137">
        <v>15</v>
      </c>
    </row>
    <row r="59" spans="1:51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</row>
    <row r="60" spans="1:51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</row>
    <row r="61" spans="1:51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</row>
    <row r="62" spans="1:51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</row>
    <row r="63" spans="1:51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</row>
    <row r="64" spans="1:51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</row>
    <row r="65" spans="1:51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</row>
    <row r="66" spans="1:51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</row>
    <row r="67" spans="1:51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</row>
    <row r="68" spans="1:51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</row>
    <row r="69" spans="1:51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</row>
    <row r="70" spans="1:51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</row>
    <row r="71" spans="1:51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</row>
    <row r="72" spans="1:51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</row>
    <row r="73" spans="1:51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</row>
    <row r="74" spans="1:51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</row>
    <row r="75" spans="1:51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</row>
    <row r="76" spans="1:51" s="30" customFormat="1" ht="15" customHeight="1" thickBot="1" x14ac:dyDescent="0.25">
      <c r="A76" s="1493" t="s">
        <v>397</v>
      </c>
      <c r="B76" s="1494"/>
      <c r="C76" s="1021">
        <v>852</v>
      </c>
      <c r="D76" s="1022">
        <v>4255.7718143692655</v>
      </c>
      <c r="E76" s="1023">
        <v>2993602.4809321719</v>
      </c>
      <c r="F76" s="1024">
        <v>382</v>
      </c>
      <c r="G76" s="1025">
        <v>569.60967937788098</v>
      </c>
      <c r="H76" s="1026">
        <v>179956.86714253365</v>
      </c>
      <c r="I76" s="1024">
        <v>0</v>
      </c>
      <c r="J76" s="1025">
        <v>158.62710748085348</v>
      </c>
      <c r="K76" s="1026">
        <v>0</v>
      </c>
      <c r="L76" s="1024">
        <v>82</v>
      </c>
      <c r="M76" s="1025">
        <v>3935.2023104669443</v>
      </c>
      <c r="N76" s="1026">
        <v>262905.84755577729</v>
      </c>
      <c r="O76" s="1024">
        <v>93</v>
      </c>
      <c r="P76" s="1025">
        <v>1525.492171506211</v>
      </c>
      <c r="Q76" s="1026">
        <v>118036.94997617044</v>
      </c>
      <c r="R76" s="1027">
        <v>3554503</v>
      </c>
      <c r="S76" s="1025">
        <v>455040</v>
      </c>
      <c r="T76" s="1025">
        <v>-9255</v>
      </c>
      <c r="U76" s="1028">
        <v>445785</v>
      </c>
      <c r="V76" s="1027">
        <v>4000288</v>
      </c>
      <c r="W76" s="1026">
        <v>-10000</v>
      </c>
      <c r="X76" s="1027">
        <v>3990288</v>
      </c>
      <c r="Y76" s="1026">
        <v>0</v>
      </c>
      <c r="Z76" s="1027">
        <v>3990288</v>
      </c>
      <c r="AA76" s="1025">
        <v>2363744</v>
      </c>
      <c r="AB76" s="1025">
        <v>1626544</v>
      </c>
      <c r="AC76" s="1027">
        <v>406637</v>
      </c>
      <c r="AD76" s="1029">
        <v>3990288</v>
      </c>
      <c r="AE76" s="1025">
        <v>5423</v>
      </c>
      <c r="AF76" s="1030">
        <v>5073855</v>
      </c>
      <c r="AG76" s="1024">
        <v>103</v>
      </c>
      <c r="AH76" s="1025">
        <v>602996</v>
      </c>
      <c r="AI76" s="1024">
        <v>-16</v>
      </c>
      <c r="AJ76" s="1025">
        <v>-48100</v>
      </c>
      <c r="AK76" s="1028">
        <v>554896</v>
      </c>
      <c r="AL76" s="1030">
        <v>5628751</v>
      </c>
      <c r="AM76" s="1025">
        <v>-14070</v>
      </c>
      <c r="AN76" s="1030">
        <v>5614681</v>
      </c>
      <c r="AO76" s="1025">
        <v>-231826</v>
      </c>
      <c r="AP76" s="1030">
        <v>5382855</v>
      </c>
      <c r="AQ76" s="1025">
        <v>3308392</v>
      </c>
      <c r="AR76" s="1025">
        <v>2074463</v>
      </c>
      <c r="AS76" s="1030">
        <v>518617</v>
      </c>
      <c r="AT76" s="787">
        <v>9373143</v>
      </c>
      <c r="AU76" s="787">
        <v>925254</v>
      </c>
      <c r="AV76" s="516"/>
      <c r="AW76" s="165">
        <v>13018</v>
      </c>
      <c r="AX76" s="165">
        <v>14070</v>
      </c>
      <c r="AY76" s="165">
        <v>1052</v>
      </c>
    </row>
    <row r="77" spans="1:51" s="30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152391</v>
      </c>
      <c r="S77" s="975"/>
      <c r="T77" s="975"/>
      <c r="U77" s="975"/>
      <c r="V77" s="976">
        <v>152391</v>
      </c>
      <c r="W77" s="1018">
        <v>-381</v>
      </c>
      <c r="X77" s="976">
        <v>152010</v>
      </c>
      <c r="Y77" s="975"/>
      <c r="Z77" s="976">
        <v>152010</v>
      </c>
      <c r="AA77" s="975">
        <v>95270</v>
      </c>
      <c r="AB77" s="975">
        <v>56740</v>
      </c>
      <c r="AC77" s="976">
        <v>14185</v>
      </c>
      <c r="AD77" s="1020">
        <v>152010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152010</v>
      </c>
      <c r="AU77" s="1179">
        <v>14185</v>
      </c>
      <c r="AV77" s="1033"/>
      <c r="AW77" s="1034"/>
      <c r="AX77" s="1034">
        <v>0</v>
      </c>
      <c r="AY77" s="1034">
        <v>0</v>
      </c>
    </row>
    <row r="78" spans="1:51" s="30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</row>
    <row r="79" spans="1:51" s="30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756000</v>
      </c>
      <c r="AA79" s="791">
        <v>504000</v>
      </c>
      <c r="AB79" s="790">
        <v>252000</v>
      </c>
      <c r="AC79" s="142">
        <v>63000</v>
      </c>
      <c r="AD79" s="142">
        <v>756000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756000</v>
      </c>
      <c r="AU79" s="792">
        <v>63000</v>
      </c>
      <c r="AV79" s="516"/>
      <c r="AW79" s="516"/>
      <c r="AX79" s="516"/>
      <c r="AY79" s="516"/>
    </row>
    <row r="80" spans="1:51" s="30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90000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</row>
    <row r="81" spans="1:51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</row>
    <row r="82" spans="1:51" s="30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117118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</row>
    <row r="83" spans="1:51" s="30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4248</v>
      </c>
      <c r="AA83" s="156">
        <v>2832</v>
      </c>
      <c r="AB83" s="795">
        <v>1416</v>
      </c>
      <c r="AC83" s="157">
        <v>354</v>
      </c>
      <c r="AD83" s="157">
        <v>4248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4248</v>
      </c>
      <c r="AU83" s="796">
        <v>354</v>
      </c>
      <c r="AV83" s="516"/>
      <c r="AW83" s="516"/>
      <c r="AX83" s="516"/>
      <c r="AY83" s="516"/>
    </row>
    <row r="84" spans="1:51" s="30" customFormat="1" ht="15" customHeight="1" thickBot="1" x14ac:dyDescent="0.25">
      <c r="A84" s="1493" t="s">
        <v>398</v>
      </c>
      <c r="B84" s="1494"/>
      <c r="C84" s="1021">
        <v>852</v>
      </c>
      <c r="D84" s="1022">
        <v>4255.7718143692655</v>
      </c>
      <c r="E84" s="1023">
        <v>2993602.4809321719</v>
      </c>
      <c r="F84" s="1024">
        <v>382</v>
      </c>
      <c r="G84" s="1025">
        <v>569.60967937788098</v>
      </c>
      <c r="H84" s="1026">
        <v>179956.86714253365</v>
      </c>
      <c r="I84" s="1024">
        <v>0</v>
      </c>
      <c r="J84" s="1025">
        <v>158.62710748085348</v>
      </c>
      <c r="K84" s="1026">
        <v>0</v>
      </c>
      <c r="L84" s="1024">
        <v>82</v>
      </c>
      <c r="M84" s="1025">
        <v>3935.2023104669443</v>
      </c>
      <c r="N84" s="1026">
        <v>262905.84755577729</v>
      </c>
      <c r="O84" s="1024">
        <v>93</v>
      </c>
      <c r="P84" s="1025">
        <v>1525.492171506211</v>
      </c>
      <c r="Q84" s="1026">
        <v>118036.94997617044</v>
      </c>
      <c r="R84" s="1027">
        <v>3706894</v>
      </c>
      <c r="S84" s="1025">
        <v>455040</v>
      </c>
      <c r="T84" s="1025">
        <v>-9255</v>
      </c>
      <c r="U84" s="1028">
        <v>445785</v>
      </c>
      <c r="V84" s="1027">
        <v>4152679</v>
      </c>
      <c r="W84" s="1026">
        <v>-10381</v>
      </c>
      <c r="X84" s="1027">
        <v>4142298</v>
      </c>
      <c r="Y84" s="1026">
        <v>0</v>
      </c>
      <c r="Z84" s="1027">
        <v>4902546</v>
      </c>
      <c r="AA84" s="1025">
        <v>2965846</v>
      </c>
      <c r="AB84" s="1025">
        <v>1936700</v>
      </c>
      <c r="AC84" s="1027">
        <v>484176</v>
      </c>
      <c r="AD84" s="1029">
        <v>5119664</v>
      </c>
      <c r="AE84" s="1025">
        <v>5423</v>
      </c>
      <c r="AF84" s="1030">
        <v>5073855</v>
      </c>
      <c r="AG84" s="1024">
        <v>103</v>
      </c>
      <c r="AH84" s="1025">
        <v>602996</v>
      </c>
      <c r="AI84" s="1024">
        <v>-16</v>
      </c>
      <c r="AJ84" s="1025">
        <v>-48100</v>
      </c>
      <c r="AK84" s="1028">
        <v>554896</v>
      </c>
      <c r="AL84" s="1030">
        <v>5628751</v>
      </c>
      <c r="AM84" s="1025">
        <v>-14070</v>
      </c>
      <c r="AN84" s="1030">
        <v>5614681</v>
      </c>
      <c r="AO84" s="1025">
        <v>-231826</v>
      </c>
      <c r="AP84" s="1030">
        <v>5382855</v>
      </c>
      <c r="AQ84" s="1025">
        <v>3308392</v>
      </c>
      <c r="AR84" s="1025">
        <v>2074463</v>
      </c>
      <c r="AS84" s="1030">
        <v>518617</v>
      </c>
      <c r="AT84" s="787">
        <v>10285401</v>
      </c>
      <c r="AU84" s="787">
        <v>1002793</v>
      </c>
      <c r="AV84" s="516"/>
      <c r="AW84" s="165">
        <v>13018</v>
      </c>
      <c r="AX84" s="165">
        <v>14070</v>
      </c>
      <c r="AY84" s="165">
        <v>1052</v>
      </c>
    </row>
    <row r="85" spans="1:51" s="1016" customFormat="1" ht="8.4499999999999993" customHeight="1" thickTop="1" x14ac:dyDescent="0.2"/>
    <row r="86" spans="1:51" s="1016" customFormat="1" ht="15" customHeight="1" x14ac:dyDescent="0.2">
      <c r="A86" s="1180">
        <v>36</v>
      </c>
      <c r="B86" s="1181" t="s">
        <v>401</v>
      </c>
      <c r="C86" s="1182">
        <v>359</v>
      </c>
      <c r="D86" s="1209"/>
      <c r="E86" s="1209"/>
      <c r="F86" s="1209"/>
      <c r="G86" s="1209"/>
      <c r="H86" s="1209"/>
      <c r="I86" s="1209"/>
      <c r="J86" s="1209"/>
      <c r="K86" s="1209"/>
      <c r="L86" s="1209"/>
      <c r="M86" s="1209"/>
      <c r="N86" s="1209"/>
      <c r="O86" s="1209"/>
      <c r="P86" s="1209"/>
      <c r="Q86" s="1209"/>
      <c r="R86" s="1209"/>
      <c r="S86" s="1209"/>
      <c r="T86" s="1209"/>
      <c r="U86" s="1209"/>
      <c r="V86" s="1209"/>
      <c r="W86" s="1209"/>
      <c r="X86" s="1209"/>
      <c r="Y86" s="1209"/>
      <c r="Z86" s="1209"/>
      <c r="AA86" s="1209"/>
      <c r="AB86" s="1209"/>
      <c r="AC86" s="1209"/>
      <c r="AD86" s="1209"/>
      <c r="AE86" s="1183">
        <v>5702</v>
      </c>
      <c r="AF86" s="875">
        <v>2047018</v>
      </c>
      <c r="AG86" s="1184">
        <v>45</v>
      </c>
      <c r="AH86" s="1185">
        <v>256590</v>
      </c>
      <c r="AI86" s="1184">
        <v>-3</v>
      </c>
      <c r="AJ86" s="1144">
        <v>-8553</v>
      </c>
      <c r="AK86" s="1186">
        <v>248037</v>
      </c>
      <c r="AL86" s="1209"/>
      <c r="AM86" s="1209"/>
      <c r="AN86" s="1209"/>
      <c r="AO86" s="1209"/>
      <c r="AP86" s="1209"/>
      <c r="AQ86" s="1209"/>
      <c r="AR86" s="1209"/>
      <c r="AS86" s="1209"/>
    </row>
    <row r="87" spans="1:51" s="1016" customFormat="1" ht="15" customHeight="1" x14ac:dyDescent="0.2">
      <c r="A87" s="1187">
        <v>36</v>
      </c>
      <c r="B87" s="1188" t="s">
        <v>402</v>
      </c>
      <c r="C87" s="1103">
        <v>259</v>
      </c>
      <c r="D87" s="1209"/>
      <c r="E87" s="1209"/>
      <c r="F87" s="1209"/>
      <c r="G87" s="1209"/>
      <c r="H87" s="1209"/>
      <c r="I87" s="1209"/>
      <c r="J87" s="1209"/>
      <c r="K87" s="1209"/>
      <c r="L87" s="1209"/>
      <c r="M87" s="1209"/>
      <c r="N87" s="1209"/>
      <c r="O87" s="1209"/>
      <c r="P87" s="1209"/>
      <c r="Q87" s="1209"/>
      <c r="R87" s="1209"/>
      <c r="S87" s="1209"/>
      <c r="T87" s="1209"/>
      <c r="U87" s="1209"/>
      <c r="V87" s="1209"/>
      <c r="W87" s="1209"/>
      <c r="X87" s="1209"/>
      <c r="Y87" s="1209"/>
      <c r="Z87" s="1209"/>
      <c r="AA87" s="1209"/>
      <c r="AB87" s="1209"/>
      <c r="AC87" s="1209"/>
      <c r="AD87" s="1209"/>
      <c r="AE87" s="1189">
        <v>6588</v>
      </c>
      <c r="AF87" s="1190">
        <v>1706292</v>
      </c>
      <c r="AG87" s="1135">
        <v>27</v>
      </c>
      <c r="AH87" s="1134">
        <v>177876</v>
      </c>
      <c r="AI87" s="1135">
        <v>1</v>
      </c>
      <c r="AJ87" s="1191">
        <v>3294</v>
      </c>
      <c r="AK87" s="1192">
        <v>181170</v>
      </c>
      <c r="AL87" s="1209"/>
      <c r="AM87" s="1209"/>
      <c r="AN87" s="1209"/>
      <c r="AO87" s="1209"/>
      <c r="AP87" s="1209"/>
      <c r="AQ87" s="1209"/>
      <c r="AR87" s="1209"/>
      <c r="AS87" s="1209"/>
    </row>
    <row r="88" spans="1:51" ht="16.149999999999999" customHeight="1" x14ac:dyDescent="0.2">
      <c r="C88" s="1193">
        <v>618</v>
      </c>
      <c r="H88" s="10"/>
      <c r="I88" s="10"/>
      <c r="J88" s="1441"/>
      <c r="K88" s="1172"/>
      <c r="L88" s="1172"/>
      <c r="M88" s="1441"/>
      <c r="N88" s="1172"/>
      <c r="O88" s="1172"/>
      <c r="P88" s="1441"/>
      <c r="Q88" s="1172"/>
      <c r="AF88" s="875">
        <v>3753310</v>
      </c>
      <c r="AG88" s="1184">
        <v>72</v>
      </c>
      <c r="AH88" s="1185">
        <v>434466</v>
      </c>
      <c r="AI88" s="1184">
        <v>-2</v>
      </c>
      <c r="AJ88" s="1144">
        <v>-5259</v>
      </c>
      <c r="AK88" s="1186">
        <v>429207</v>
      </c>
    </row>
    <row r="89" spans="1:51" x14ac:dyDescent="0.2">
      <c r="A89" s="7" t="s">
        <v>1171</v>
      </c>
      <c r="B89" s="7" t="s">
        <v>1171</v>
      </c>
      <c r="C89" s="1193">
        <v>0</v>
      </c>
      <c r="D89" s="7" t="s">
        <v>1171</v>
      </c>
      <c r="E89" s="7" t="s">
        <v>1171</v>
      </c>
      <c r="H89" s="10"/>
      <c r="I89" s="10"/>
      <c r="J89" s="1441"/>
      <c r="K89" s="1172"/>
      <c r="L89" s="1172"/>
      <c r="M89" s="1441"/>
      <c r="N89" s="1172"/>
      <c r="O89" s="1172"/>
      <c r="P89" s="1441"/>
      <c r="Q89" s="1172"/>
      <c r="AC89" s="7">
        <v>4</v>
      </c>
      <c r="AF89" s="1190">
        <v>0</v>
      </c>
      <c r="AG89" s="1190">
        <v>0</v>
      </c>
      <c r="AH89" s="1190">
        <v>0</v>
      </c>
      <c r="AI89" s="1190">
        <v>0</v>
      </c>
      <c r="AJ89" s="1190">
        <v>0</v>
      </c>
      <c r="AK89" s="1190">
        <v>0</v>
      </c>
      <c r="AS89" s="7">
        <v>4</v>
      </c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860">
        <v>347001</v>
      </c>
    </row>
    <row r="92" spans="1:51" x14ac:dyDescent="0.2">
      <c r="B92" s="859" t="s">
        <v>1462</v>
      </c>
    </row>
    <row r="93" spans="1:51" x14ac:dyDescent="0.2">
      <c r="B93" s="859" t="s">
        <v>1141</v>
      </c>
    </row>
    <row r="94" spans="1:51" x14ac:dyDescent="0.2">
      <c r="B94" s="859" t="s">
        <v>1497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394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3080</v>
      </c>
      <c r="AM8" s="147"/>
      <c r="AN8" s="144"/>
      <c r="AO8" s="136">
        <v>0</v>
      </c>
      <c r="AP8" s="144"/>
      <c r="AQ8" s="145"/>
      <c r="AR8" s="145"/>
      <c r="AS8" s="144">
        <v>768</v>
      </c>
      <c r="AT8" s="781">
        <v>9723</v>
      </c>
      <c r="AU8" s="782">
        <v>2431</v>
      </c>
      <c r="AV8" s="344"/>
      <c r="AW8" s="137">
        <v>0</v>
      </c>
      <c r="AX8" s="137">
        <v>8</v>
      </c>
      <c r="AY8" s="137">
        <v>8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10231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-370</v>
      </c>
      <c r="AT11" s="783">
        <v>0</v>
      </c>
      <c r="AU11" s="784">
        <v>-2071</v>
      </c>
      <c r="AV11" s="344"/>
      <c r="AW11" s="151">
        <v>6</v>
      </c>
      <c r="AX11" s="151">
        <v>0</v>
      </c>
      <c r="AY11" s="151">
        <v>-6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3721726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6703620</v>
      </c>
      <c r="AM16" s="162"/>
      <c r="AN16" s="159"/>
      <c r="AO16" s="150">
        <v>3357</v>
      </c>
      <c r="AP16" s="159"/>
      <c r="AQ16" s="160"/>
      <c r="AR16" s="160"/>
      <c r="AS16" s="159">
        <v>599757</v>
      </c>
      <c r="AT16" s="783">
        <v>10409876</v>
      </c>
      <c r="AU16" s="784">
        <v>910594</v>
      </c>
      <c r="AV16" s="344"/>
      <c r="AW16" s="151">
        <v>16124</v>
      </c>
      <c r="AX16" s="151">
        <v>16759</v>
      </c>
      <c r="AY16" s="151">
        <v>635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17998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14416</v>
      </c>
      <c r="AM33" s="147"/>
      <c r="AN33" s="144"/>
      <c r="AO33" s="136">
        <v>0</v>
      </c>
      <c r="AP33" s="144"/>
      <c r="AQ33" s="145"/>
      <c r="AR33" s="145"/>
      <c r="AS33" s="144">
        <v>1789</v>
      </c>
      <c r="AT33" s="781">
        <v>42953</v>
      </c>
      <c r="AU33" s="782">
        <v>5940</v>
      </c>
      <c r="AV33" s="344"/>
      <c r="AW33" s="137">
        <v>27</v>
      </c>
      <c r="AX33" s="137">
        <v>36</v>
      </c>
      <c r="AY33" s="137">
        <v>9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-6250</v>
      </c>
      <c r="AP51" s="159"/>
      <c r="AQ51" s="160"/>
      <c r="AR51" s="160"/>
      <c r="AS51" s="159">
        <v>-521</v>
      </c>
      <c r="AT51" s="783">
        <v>-7744</v>
      </c>
      <c r="AU51" s="784">
        <v>-645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920</v>
      </c>
      <c r="D76" s="1022">
        <v>4255.7718143692655</v>
      </c>
      <c r="E76" s="1023">
        <v>2952116.5516042705</v>
      </c>
      <c r="F76" s="1024">
        <v>919</v>
      </c>
      <c r="G76" s="1025">
        <v>569.60967937788098</v>
      </c>
      <c r="H76" s="1026">
        <v>422709.72232945799</v>
      </c>
      <c r="I76" s="1024">
        <v>23</v>
      </c>
      <c r="J76" s="1025">
        <v>158.62710748085348</v>
      </c>
      <c r="K76" s="1026">
        <v>2942.044103404864</v>
      </c>
      <c r="L76" s="1024">
        <v>112</v>
      </c>
      <c r="M76" s="1025">
        <v>3935.2023104669443</v>
      </c>
      <c r="N76" s="1026">
        <v>352159.83983816934</v>
      </c>
      <c r="O76" s="1024">
        <v>16</v>
      </c>
      <c r="P76" s="1025">
        <v>1525.492171506211</v>
      </c>
      <c r="Q76" s="1026">
        <v>20026.43768508931</v>
      </c>
      <c r="R76" s="1027">
        <v>3749955</v>
      </c>
      <c r="S76" s="1025">
        <v>63835</v>
      </c>
      <c r="T76" s="1025">
        <v>-51549</v>
      </c>
      <c r="U76" s="1028">
        <v>12286</v>
      </c>
      <c r="V76" s="1027">
        <v>3762241</v>
      </c>
      <c r="W76" s="1026">
        <v>-9406</v>
      </c>
      <c r="X76" s="1027">
        <v>3752835</v>
      </c>
      <c r="Y76" s="1026">
        <v>553</v>
      </c>
      <c r="Z76" s="1027">
        <v>3753388</v>
      </c>
      <c r="AA76" s="1025">
        <v>2494084</v>
      </c>
      <c r="AB76" s="1025">
        <v>1259304</v>
      </c>
      <c r="AC76" s="1027">
        <v>314826</v>
      </c>
      <c r="AD76" s="1029">
        <v>3753388</v>
      </c>
      <c r="AE76" s="1025">
        <v>5423</v>
      </c>
      <c r="AF76" s="1030">
        <v>6658619</v>
      </c>
      <c r="AG76" s="1024">
        <v>21</v>
      </c>
      <c r="AH76" s="1025">
        <v>149557</v>
      </c>
      <c r="AI76" s="1024">
        <v>-24</v>
      </c>
      <c r="AJ76" s="1025">
        <v>-87060</v>
      </c>
      <c r="AK76" s="1028">
        <v>62497</v>
      </c>
      <c r="AL76" s="1030">
        <v>6721116</v>
      </c>
      <c r="AM76" s="1025">
        <v>-16803</v>
      </c>
      <c r="AN76" s="1030">
        <v>6704313</v>
      </c>
      <c r="AO76" s="1025">
        <v>-2893</v>
      </c>
      <c r="AP76" s="1030">
        <v>6701420</v>
      </c>
      <c r="AQ76" s="1025">
        <v>4295728</v>
      </c>
      <c r="AR76" s="1025">
        <v>2405692</v>
      </c>
      <c r="AS76" s="1030">
        <v>601423</v>
      </c>
      <c r="AT76" s="787">
        <v>10454808</v>
      </c>
      <c r="AU76" s="787">
        <v>916249</v>
      </c>
      <c r="AV76" s="516"/>
      <c r="AW76" s="165">
        <v>16157</v>
      </c>
      <c r="AX76" s="165">
        <v>16803</v>
      </c>
      <c r="AY76" s="165">
        <v>646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99160</v>
      </c>
      <c r="S77" s="975"/>
      <c r="T77" s="975"/>
      <c r="U77" s="975"/>
      <c r="V77" s="976">
        <v>99160</v>
      </c>
      <c r="W77" s="1018">
        <v>-248</v>
      </c>
      <c r="X77" s="976">
        <v>98912</v>
      </c>
      <c r="Y77" s="975"/>
      <c r="Z77" s="976">
        <v>98912</v>
      </c>
      <c r="AA77" s="975">
        <v>66802</v>
      </c>
      <c r="AB77" s="975">
        <v>32110</v>
      </c>
      <c r="AC77" s="976">
        <v>8028</v>
      </c>
      <c r="AD77" s="1020">
        <v>98912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98912</v>
      </c>
      <c r="AU77" s="1179">
        <v>8028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12154</v>
      </c>
      <c r="AA83" s="156">
        <v>8104</v>
      </c>
      <c r="AB83" s="795">
        <v>4050</v>
      </c>
      <c r="AC83" s="157">
        <v>1013</v>
      </c>
      <c r="AD83" s="157">
        <v>12154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12154</v>
      </c>
      <c r="AU83" s="796">
        <v>1013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920</v>
      </c>
      <c r="D84" s="1022">
        <v>4255.7718143692655</v>
      </c>
      <c r="E84" s="1023">
        <v>2952116.5516042705</v>
      </c>
      <c r="F84" s="1024">
        <v>919</v>
      </c>
      <c r="G84" s="1025">
        <v>569.60967937788098</v>
      </c>
      <c r="H84" s="1026">
        <v>422709.72232945799</v>
      </c>
      <c r="I84" s="1024">
        <v>23</v>
      </c>
      <c r="J84" s="1025">
        <v>158.62710748085348</v>
      </c>
      <c r="K84" s="1026">
        <v>2942.044103404864</v>
      </c>
      <c r="L84" s="1024">
        <v>112</v>
      </c>
      <c r="M84" s="1025">
        <v>3935.2023104669443</v>
      </c>
      <c r="N84" s="1026">
        <v>352159.83983816934</v>
      </c>
      <c r="O84" s="1024">
        <v>16</v>
      </c>
      <c r="P84" s="1025">
        <v>1525.492171506211</v>
      </c>
      <c r="Q84" s="1026">
        <v>20026.43768508931</v>
      </c>
      <c r="R84" s="1027">
        <v>3849115</v>
      </c>
      <c r="S84" s="1025">
        <v>63835</v>
      </c>
      <c r="T84" s="1025">
        <v>-51549</v>
      </c>
      <c r="U84" s="1028">
        <v>12286</v>
      </c>
      <c r="V84" s="1027">
        <v>3861401</v>
      </c>
      <c r="W84" s="1026">
        <v>-9654</v>
      </c>
      <c r="X84" s="1027">
        <v>3851747</v>
      </c>
      <c r="Y84" s="1026">
        <v>553</v>
      </c>
      <c r="Z84" s="1027">
        <v>3864454</v>
      </c>
      <c r="AA84" s="1025">
        <v>2568990</v>
      </c>
      <c r="AB84" s="1025">
        <v>1295464</v>
      </c>
      <c r="AC84" s="1027">
        <v>323867</v>
      </c>
      <c r="AD84" s="1029">
        <v>3864454</v>
      </c>
      <c r="AE84" s="1025">
        <v>5423</v>
      </c>
      <c r="AF84" s="1030">
        <v>6658619</v>
      </c>
      <c r="AG84" s="1024">
        <v>21</v>
      </c>
      <c r="AH84" s="1025">
        <v>149557</v>
      </c>
      <c r="AI84" s="1024">
        <v>-24</v>
      </c>
      <c r="AJ84" s="1025">
        <v>-87060</v>
      </c>
      <c r="AK84" s="1028">
        <v>62497</v>
      </c>
      <c r="AL84" s="1030">
        <v>6721116</v>
      </c>
      <c r="AM84" s="1025">
        <v>-16803</v>
      </c>
      <c r="AN84" s="1030">
        <v>6704313</v>
      </c>
      <c r="AO84" s="1025">
        <v>-2893</v>
      </c>
      <c r="AP84" s="1030">
        <v>6701420</v>
      </c>
      <c r="AQ84" s="1025">
        <v>4295728</v>
      </c>
      <c r="AR84" s="1025">
        <v>2405692</v>
      </c>
      <c r="AS84" s="1030">
        <v>601423</v>
      </c>
      <c r="AT84" s="787">
        <v>10565874</v>
      </c>
      <c r="AU84" s="787">
        <v>925290</v>
      </c>
      <c r="AV84" s="516"/>
      <c r="AW84" s="165">
        <v>16157</v>
      </c>
      <c r="AX84" s="165">
        <v>16803</v>
      </c>
      <c r="AY84" s="165">
        <v>646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2">
        <v>346001</v>
      </c>
    </row>
    <row r="92" spans="1:52" x14ac:dyDescent="0.2">
      <c r="B92" s="857" t="s">
        <v>1462</v>
      </c>
    </row>
    <row r="93" spans="1:52" x14ac:dyDescent="0.2">
      <c r="B93" s="857" t="s">
        <v>1142</v>
      </c>
    </row>
    <row r="94" spans="1:52" x14ac:dyDescent="0.2">
      <c r="B94" s="857" t="s">
        <v>1496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1115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5381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-436</v>
      </c>
      <c r="AT7" s="779">
        <v>0</v>
      </c>
      <c r="AU7" s="780">
        <v>-1331</v>
      </c>
      <c r="AV7" s="344"/>
      <c r="AW7" s="119">
        <v>7</v>
      </c>
      <c r="AX7" s="119">
        <v>0</v>
      </c>
      <c r="AY7" s="119">
        <v>-7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17728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6707</v>
      </c>
      <c r="AM26" s="162"/>
      <c r="AN26" s="159"/>
      <c r="AO26" s="150">
        <v>0</v>
      </c>
      <c r="AP26" s="159"/>
      <c r="AQ26" s="160"/>
      <c r="AR26" s="160"/>
      <c r="AS26" s="159">
        <v>822</v>
      </c>
      <c r="AT26" s="783">
        <v>27127</v>
      </c>
      <c r="AU26" s="784">
        <v>2984</v>
      </c>
      <c r="AV26" s="344"/>
      <c r="AW26" s="151">
        <v>13</v>
      </c>
      <c r="AX26" s="151">
        <v>17</v>
      </c>
      <c r="AY26" s="151">
        <v>4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1242276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682224</v>
      </c>
      <c r="AM55" s="147"/>
      <c r="AN55" s="144"/>
      <c r="AO55" s="136">
        <v>0</v>
      </c>
      <c r="AP55" s="144"/>
      <c r="AQ55" s="145"/>
      <c r="AR55" s="145"/>
      <c r="AS55" s="144">
        <v>68798</v>
      </c>
      <c r="AT55" s="781">
        <v>2018699</v>
      </c>
      <c r="AU55" s="782">
        <v>196815</v>
      </c>
      <c r="AV55" s="344"/>
      <c r="AW55" s="137">
        <v>1524</v>
      </c>
      <c r="AX55" s="137">
        <v>1706</v>
      </c>
      <c r="AY55" s="137">
        <v>182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224</v>
      </c>
      <c r="D76" s="1022">
        <v>4255.7718143692655</v>
      </c>
      <c r="E76" s="1023">
        <v>1022246.8229956694</v>
      </c>
      <c r="F76" s="1024">
        <v>224</v>
      </c>
      <c r="G76" s="1025">
        <v>569.60967937788098</v>
      </c>
      <c r="H76" s="1026">
        <v>149375.59771589661</v>
      </c>
      <c r="I76" s="1024">
        <v>159</v>
      </c>
      <c r="J76" s="1025">
        <v>158.62710748085348</v>
      </c>
      <c r="K76" s="1026">
        <v>28903.944981495813</v>
      </c>
      <c r="L76" s="1024">
        <v>13</v>
      </c>
      <c r="M76" s="1025">
        <v>3935.2023104669443</v>
      </c>
      <c r="N76" s="1026">
        <v>59312.669947634917</v>
      </c>
      <c r="O76" s="1024">
        <v>3</v>
      </c>
      <c r="P76" s="1025">
        <v>1525.492171506211</v>
      </c>
      <c r="Q76" s="1026">
        <v>5546.4862296855299</v>
      </c>
      <c r="R76" s="1027">
        <v>1265385</v>
      </c>
      <c r="S76" s="1025">
        <v>120941</v>
      </c>
      <c r="T76" s="1025">
        <v>-24303</v>
      </c>
      <c r="U76" s="1028">
        <v>96638</v>
      </c>
      <c r="V76" s="1027">
        <v>1362023</v>
      </c>
      <c r="W76" s="1026">
        <v>-3405</v>
      </c>
      <c r="X76" s="1027">
        <v>1358618</v>
      </c>
      <c r="Y76" s="1026">
        <v>0</v>
      </c>
      <c r="Z76" s="1027">
        <v>1358618</v>
      </c>
      <c r="AA76" s="1025">
        <v>841480</v>
      </c>
      <c r="AB76" s="1025">
        <v>517138</v>
      </c>
      <c r="AC76" s="1027">
        <v>129284</v>
      </c>
      <c r="AD76" s="1029">
        <v>1358618</v>
      </c>
      <c r="AE76" s="1025">
        <v>5423</v>
      </c>
      <c r="AF76" s="1030">
        <v>625861</v>
      </c>
      <c r="AG76" s="1024">
        <v>25</v>
      </c>
      <c r="AH76" s="1025">
        <v>70004</v>
      </c>
      <c r="AI76" s="1024">
        <v>-5</v>
      </c>
      <c r="AJ76" s="1025">
        <v>-6934</v>
      </c>
      <c r="AK76" s="1028">
        <v>63070</v>
      </c>
      <c r="AL76" s="1030">
        <v>688931</v>
      </c>
      <c r="AM76" s="1025">
        <v>-1723</v>
      </c>
      <c r="AN76" s="1030">
        <v>687208</v>
      </c>
      <c r="AO76" s="1025">
        <v>0</v>
      </c>
      <c r="AP76" s="1030">
        <v>687208</v>
      </c>
      <c r="AQ76" s="1025">
        <v>410472</v>
      </c>
      <c r="AR76" s="1025">
        <v>276736</v>
      </c>
      <c r="AS76" s="1030">
        <v>69184</v>
      </c>
      <c r="AT76" s="787">
        <v>2045826</v>
      </c>
      <c r="AU76" s="787">
        <v>198468</v>
      </c>
      <c r="AV76" s="516"/>
      <c r="AW76" s="165">
        <v>1544</v>
      </c>
      <c r="AX76" s="165">
        <v>1723</v>
      </c>
      <c r="AY76" s="165">
        <v>179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32976</v>
      </c>
      <c r="S77" s="975"/>
      <c r="T77" s="975"/>
      <c r="U77" s="975"/>
      <c r="V77" s="976">
        <v>32976</v>
      </c>
      <c r="W77" s="1018">
        <v>-82</v>
      </c>
      <c r="X77" s="976">
        <v>32894</v>
      </c>
      <c r="Y77" s="975"/>
      <c r="Z77" s="976">
        <v>32894</v>
      </c>
      <c r="AA77" s="975">
        <v>21212</v>
      </c>
      <c r="AB77" s="975">
        <v>11682</v>
      </c>
      <c r="AC77" s="976">
        <v>2921</v>
      </c>
      <c r="AD77" s="1020">
        <v>32894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32894</v>
      </c>
      <c r="AU77" s="1179">
        <v>2921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35668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10974</v>
      </c>
      <c r="AA83" s="156">
        <v>7318</v>
      </c>
      <c r="AB83" s="795">
        <v>3656</v>
      </c>
      <c r="AC83" s="157">
        <v>914</v>
      </c>
      <c r="AD83" s="157">
        <v>10974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10974</v>
      </c>
      <c r="AU83" s="796">
        <v>914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224</v>
      </c>
      <c r="D84" s="1022">
        <v>4255.7718143692655</v>
      </c>
      <c r="E84" s="1023">
        <v>1022246.8229956694</v>
      </c>
      <c r="F84" s="1024">
        <v>224</v>
      </c>
      <c r="G84" s="1025">
        <v>569.60967937788098</v>
      </c>
      <c r="H84" s="1026">
        <v>149375.59771589661</v>
      </c>
      <c r="I84" s="1024">
        <v>159</v>
      </c>
      <c r="J84" s="1025">
        <v>158.62710748085348</v>
      </c>
      <c r="K84" s="1026">
        <v>28903.944981495813</v>
      </c>
      <c r="L84" s="1024">
        <v>13</v>
      </c>
      <c r="M84" s="1025">
        <v>3935.2023104669443</v>
      </c>
      <c r="N84" s="1026">
        <v>59312.669947634917</v>
      </c>
      <c r="O84" s="1024">
        <v>3</v>
      </c>
      <c r="P84" s="1025">
        <v>1525.492171506211</v>
      </c>
      <c r="Q84" s="1026">
        <v>5546.4862296855299</v>
      </c>
      <c r="R84" s="1027">
        <v>1298361</v>
      </c>
      <c r="S84" s="1025">
        <v>120941</v>
      </c>
      <c r="T84" s="1025">
        <v>-24303</v>
      </c>
      <c r="U84" s="1028">
        <v>96638</v>
      </c>
      <c r="V84" s="1027">
        <v>1394999</v>
      </c>
      <c r="W84" s="1026">
        <v>-3487</v>
      </c>
      <c r="X84" s="1027">
        <v>1391512</v>
      </c>
      <c r="Y84" s="1026">
        <v>0</v>
      </c>
      <c r="Z84" s="1027">
        <v>1402486</v>
      </c>
      <c r="AA84" s="1025">
        <v>870010</v>
      </c>
      <c r="AB84" s="1025">
        <v>532476</v>
      </c>
      <c r="AC84" s="1027">
        <v>133119</v>
      </c>
      <c r="AD84" s="1029">
        <v>1438154</v>
      </c>
      <c r="AE84" s="1025">
        <v>5423</v>
      </c>
      <c r="AF84" s="1030">
        <v>625861</v>
      </c>
      <c r="AG84" s="1024">
        <v>25</v>
      </c>
      <c r="AH84" s="1025">
        <v>70004</v>
      </c>
      <c r="AI84" s="1024">
        <v>-5</v>
      </c>
      <c r="AJ84" s="1025">
        <v>-6934</v>
      </c>
      <c r="AK84" s="1028">
        <v>63070</v>
      </c>
      <c r="AL84" s="1030">
        <v>688931</v>
      </c>
      <c r="AM84" s="1025">
        <v>-1723</v>
      </c>
      <c r="AN84" s="1030">
        <v>687208</v>
      </c>
      <c r="AO84" s="1025">
        <v>0</v>
      </c>
      <c r="AP84" s="1030">
        <v>687208</v>
      </c>
      <c r="AQ84" s="1025">
        <v>410472</v>
      </c>
      <c r="AR84" s="1025">
        <v>276736</v>
      </c>
      <c r="AS84" s="1030">
        <v>69184</v>
      </c>
      <c r="AT84" s="787">
        <v>2089694</v>
      </c>
      <c r="AU84" s="787">
        <v>202303</v>
      </c>
      <c r="AV84" s="516"/>
      <c r="AW84" s="165">
        <v>1544</v>
      </c>
      <c r="AX84" s="165">
        <v>1723</v>
      </c>
      <c r="AY84" s="165">
        <v>179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2" t="s">
        <v>466</v>
      </c>
    </row>
    <row r="92" spans="1:52" x14ac:dyDescent="0.2">
      <c r="B92" s="857" t="s">
        <v>1462</v>
      </c>
    </row>
    <row r="93" spans="1:52" x14ac:dyDescent="0.2">
      <c r="B93" s="857" t="s">
        <v>1143</v>
      </c>
    </row>
    <row r="94" spans="1:52" x14ac:dyDescent="0.2">
      <c r="B94" s="857" t="s">
        <v>1495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Y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5" customWidth="1"/>
    <col min="2" max="2" width="19.5703125" style="5" customWidth="1"/>
    <col min="3" max="3" width="14.85546875" style="5" customWidth="1"/>
    <col min="4" max="38" width="14" style="5" customWidth="1"/>
    <col min="39" max="40" width="15.85546875" style="5" customWidth="1"/>
    <col min="41" max="41" width="14.85546875" style="5" bestFit="1" customWidth="1"/>
    <col min="42" max="42" width="13.5703125" style="5" customWidth="1"/>
    <col min="43" max="48" width="14.140625" style="5" customWidth="1"/>
    <col min="49" max="70" width="14.42578125" style="5" customWidth="1"/>
    <col min="71" max="77" width="16.140625" style="5" customWidth="1"/>
    <col min="78" max="16384" width="8.85546875" style="5"/>
  </cols>
  <sheetData>
    <row r="1" spans="1:77" ht="23.25" customHeight="1" x14ac:dyDescent="0.2">
      <c r="A1" s="1300" t="s">
        <v>79</v>
      </c>
      <c r="B1" s="1300"/>
      <c r="C1" s="1303" t="s">
        <v>489</v>
      </c>
      <c r="D1" s="1308" t="s">
        <v>449</v>
      </c>
      <c r="E1" s="1308"/>
      <c r="F1" s="1308"/>
      <c r="G1" s="1308"/>
      <c r="H1" s="1308"/>
      <c r="I1" s="1309"/>
      <c r="J1" s="1301" t="s">
        <v>449</v>
      </c>
      <c r="K1" s="1301"/>
      <c r="L1" s="1301"/>
      <c r="M1" s="1301"/>
      <c r="N1" s="1301"/>
      <c r="O1" s="1301"/>
      <c r="P1" s="1301"/>
      <c r="Q1" s="1301"/>
      <c r="R1" s="1301" t="s">
        <v>449</v>
      </c>
      <c r="S1" s="1301"/>
      <c r="T1" s="1301"/>
      <c r="U1" s="1301"/>
      <c r="V1" s="1301"/>
      <c r="W1" s="1301"/>
      <c r="X1" s="1301"/>
      <c r="Y1" s="1301"/>
      <c r="Z1" s="1301" t="s">
        <v>449</v>
      </c>
      <c r="AA1" s="1301"/>
      <c r="AB1" s="1301"/>
      <c r="AC1" s="1301"/>
      <c r="AD1" s="1301"/>
      <c r="AE1" s="1301"/>
      <c r="AF1" s="1301"/>
      <c r="AG1" s="1301"/>
      <c r="AH1" s="1308" t="s">
        <v>449</v>
      </c>
      <c r="AI1" s="1308"/>
      <c r="AJ1" s="1308"/>
      <c r="AK1" s="1308"/>
      <c r="AL1" s="1308"/>
      <c r="AM1" s="1309"/>
      <c r="AN1" s="1299" t="s">
        <v>448</v>
      </c>
      <c r="AO1" s="1311" t="s">
        <v>1461</v>
      </c>
      <c r="AP1" s="1304" t="s">
        <v>1460</v>
      </c>
      <c r="AQ1" s="1305"/>
      <c r="AR1" s="1305"/>
      <c r="AS1" s="1305"/>
      <c r="AT1" s="1305"/>
      <c r="AU1" s="1305"/>
      <c r="AV1" s="1306"/>
      <c r="AW1" s="1304" t="s">
        <v>1460</v>
      </c>
      <c r="AX1" s="1305"/>
      <c r="AY1" s="1305"/>
      <c r="AZ1" s="1305"/>
      <c r="BA1" s="1305"/>
      <c r="BB1" s="1305"/>
      <c r="BC1" s="1306"/>
      <c r="BD1" s="1310" t="s">
        <v>1460</v>
      </c>
      <c r="BE1" s="1310"/>
      <c r="BF1" s="1310"/>
      <c r="BG1" s="1310"/>
      <c r="BH1" s="1310"/>
      <c r="BI1" s="1310"/>
      <c r="BJ1" s="1310"/>
      <c r="BK1" s="1310" t="s">
        <v>1460</v>
      </c>
      <c r="BL1" s="1310"/>
      <c r="BM1" s="1310"/>
      <c r="BN1" s="1310"/>
      <c r="BO1" s="1310"/>
      <c r="BP1" s="1310"/>
      <c r="BQ1" s="1310"/>
      <c r="BR1" s="1310"/>
      <c r="BS1" s="1310" t="s">
        <v>1460</v>
      </c>
      <c r="BT1" s="1310"/>
      <c r="BU1" s="1310"/>
      <c r="BV1" s="1310"/>
      <c r="BW1" s="1310"/>
      <c r="BX1" s="1307" t="s">
        <v>1459</v>
      </c>
      <c r="BY1" s="1302" t="s">
        <v>1458</v>
      </c>
    </row>
    <row r="2" spans="1:77" ht="93.75" customHeight="1" x14ac:dyDescent="0.2">
      <c r="A2" s="1300"/>
      <c r="B2" s="1300"/>
      <c r="C2" s="1303"/>
      <c r="D2" s="595" t="s">
        <v>446</v>
      </c>
      <c r="E2" s="595" t="s">
        <v>1323</v>
      </c>
      <c r="F2" s="596" t="s">
        <v>1222</v>
      </c>
      <c r="G2" s="596" t="s">
        <v>1223</v>
      </c>
      <c r="H2" s="596" t="s">
        <v>1224</v>
      </c>
      <c r="I2" s="596" t="s">
        <v>1225</v>
      </c>
      <c r="J2" s="596" t="s">
        <v>1226</v>
      </c>
      <c r="K2" s="596" t="s">
        <v>1227</v>
      </c>
      <c r="L2" s="596" t="s">
        <v>1228</v>
      </c>
      <c r="M2" s="596" t="s">
        <v>1229</v>
      </c>
      <c r="N2" s="596" t="s">
        <v>1230</v>
      </c>
      <c r="O2" s="596" t="s">
        <v>1231</v>
      </c>
      <c r="P2" s="596" t="s">
        <v>1232</v>
      </c>
      <c r="Q2" s="596" t="s">
        <v>1233</v>
      </c>
      <c r="R2" s="596" t="s">
        <v>1234</v>
      </c>
      <c r="S2" s="596" t="s">
        <v>1235</v>
      </c>
      <c r="T2" s="596" t="s">
        <v>1236</v>
      </c>
      <c r="U2" s="596" t="s">
        <v>1237</v>
      </c>
      <c r="V2" s="596" t="s">
        <v>1238</v>
      </c>
      <c r="W2" s="596" t="s">
        <v>1239</v>
      </c>
      <c r="X2" s="596" t="s">
        <v>1240</v>
      </c>
      <c r="Y2" s="596" t="s">
        <v>1241</v>
      </c>
      <c r="Z2" s="595" t="s">
        <v>1242</v>
      </c>
      <c r="AA2" s="595" t="s">
        <v>1243</v>
      </c>
      <c r="AB2" s="595" t="s">
        <v>1244</v>
      </c>
      <c r="AC2" s="595" t="s">
        <v>1245</v>
      </c>
      <c r="AD2" s="595" t="s">
        <v>1246</v>
      </c>
      <c r="AE2" s="595" t="s">
        <v>1247</v>
      </c>
      <c r="AF2" s="595" t="s">
        <v>1248</v>
      </c>
      <c r="AG2" s="595" t="s">
        <v>1249</v>
      </c>
      <c r="AH2" s="595" t="s">
        <v>1250</v>
      </c>
      <c r="AI2" s="1128" t="s">
        <v>1386</v>
      </c>
      <c r="AJ2" s="1128" t="s">
        <v>1387</v>
      </c>
      <c r="AK2" s="596" t="s">
        <v>1251</v>
      </c>
      <c r="AL2" s="596" t="s">
        <v>1252</v>
      </c>
      <c r="AM2" s="595" t="s">
        <v>365</v>
      </c>
      <c r="AN2" s="1299"/>
      <c r="AO2" s="1311"/>
      <c r="AP2" s="596" t="s">
        <v>1438</v>
      </c>
      <c r="AQ2" s="825" t="s">
        <v>1222</v>
      </c>
      <c r="AR2" s="825" t="s">
        <v>1223</v>
      </c>
      <c r="AS2" s="825" t="s">
        <v>1224</v>
      </c>
      <c r="AT2" s="825" t="s">
        <v>1225</v>
      </c>
      <c r="AU2" s="825" t="s">
        <v>1226</v>
      </c>
      <c r="AV2" s="825" t="s">
        <v>1227</v>
      </c>
      <c r="AW2" s="825" t="s">
        <v>1228</v>
      </c>
      <c r="AX2" s="825" t="s">
        <v>1229</v>
      </c>
      <c r="AY2" s="825" t="s">
        <v>1230</v>
      </c>
      <c r="AZ2" s="825" t="s">
        <v>1231</v>
      </c>
      <c r="BA2" s="825" t="s">
        <v>1232</v>
      </c>
      <c r="BB2" s="825" t="s">
        <v>1233</v>
      </c>
      <c r="BC2" s="825" t="s">
        <v>1234</v>
      </c>
      <c r="BD2" s="825" t="s">
        <v>1235</v>
      </c>
      <c r="BE2" s="825" t="s">
        <v>1236</v>
      </c>
      <c r="BF2" s="825" t="s">
        <v>1237</v>
      </c>
      <c r="BG2" s="825" t="s">
        <v>1238</v>
      </c>
      <c r="BH2" s="825" t="s">
        <v>1239</v>
      </c>
      <c r="BI2" s="825" t="s">
        <v>1240</v>
      </c>
      <c r="BJ2" s="825" t="s">
        <v>1241</v>
      </c>
      <c r="BK2" s="826" t="s">
        <v>1242</v>
      </c>
      <c r="BL2" s="595" t="s">
        <v>1243</v>
      </c>
      <c r="BM2" s="595" t="s">
        <v>1244</v>
      </c>
      <c r="BN2" s="595" t="s">
        <v>1245</v>
      </c>
      <c r="BO2" s="595" t="s">
        <v>1246</v>
      </c>
      <c r="BP2" s="595" t="s">
        <v>1247</v>
      </c>
      <c r="BQ2" s="595" t="s">
        <v>1248</v>
      </c>
      <c r="BR2" s="595" t="s">
        <v>1249</v>
      </c>
      <c r="BS2" s="595" t="s">
        <v>1250</v>
      </c>
      <c r="BT2" s="1128" t="s">
        <v>1386</v>
      </c>
      <c r="BU2" s="1128" t="s">
        <v>1387</v>
      </c>
      <c r="BV2" s="825" t="s">
        <v>1251</v>
      </c>
      <c r="BW2" s="825" t="s">
        <v>1252</v>
      </c>
      <c r="BX2" s="1307"/>
      <c r="BY2" s="1302"/>
    </row>
    <row r="3" spans="1:77" hidden="1" x14ac:dyDescent="0.2">
      <c r="A3" s="527"/>
      <c r="B3" s="527"/>
      <c r="C3" s="532"/>
      <c r="D3" s="539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539"/>
      <c r="AA3" s="539"/>
      <c r="AB3" s="539"/>
      <c r="AC3" s="539"/>
      <c r="AD3" s="539"/>
      <c r="AE3" s="539"/>
      <c r="AF3" s="539"/>
      <c r="AG3" s="595"/>
      <c r="AH3" s="595"/>
      <c r="AI3" s="1128"/>
      <c r="AJ3" s="1128"/>
      <c r="AK3" s="252"/>
      <c r="AL3" s="252"/>
      <c r="AM3" s="539"/>
      <c r="AN3" s="529"/>
      <c r="AO3" s="533"/>
      <c r="AP3" s="533"/>
      <c r="AQ3" s="533"/>
      <c r="AR3" s="533"/>
      <c r="AS3" s="533"/>
      <c r="AT3" s="533"/>
      <c r="AU3" s="533"/>
      <c r="AV3" s="533"/>
      <c r="AW3" s="533"/>
      <c r="AX3" s="533"/>
      <c r="AY3" s="533"/>
      <c r="AZ3" s="533"/>
      <c r="BA3" s="533"/>
      <c r="BB3" s="533"/>
      <c r="BC3" s="533"/>
      <c r="BD3" s="533"/>
      <c r="BE3" s="533"/>
      <c r="BF3" s="533"/>
      <c r="BG3" s="533"/>
      <c r="BH3" s="533"/>
      <c r="BI3" s="533"/>
      <c r="BJ3" s="533"/>
      <c r="BK3" s="531"/>
      <c r="BL3" s="539"/>
      <c r="BM3" s="539"/>
      <c r="BN3" s="539"/>
      <c r="BO3" s="539"/>
      <c r="BP3" s="539"/>
      <c r="BQ3" s="539"/>
      <c r="BR3" s="595"/>
      <c r="BS3" s="595"/>
      <c r="BT3" s="1128"/>
      <c r="BU3" s="1128"/>
      <c r="BV3" s="533"/>
      <c r="BW3" s="533"/>
      <c r="BX3" s="533"/>
      <c r="BY3" s="530"/>
    </row>
    <row r="4" spans="1:77" s="13" customFormat="1" ht="13.5" customHeight="1" x14ac:dyDescent="0.2">
      <c r="A4" s="377"/>
      <c r="B4" s="323"/>
      <c r="C4" s="1062">
        <v>1</v>
      </c>
      <c r="D4" s="1062">
        <f>C4+1</f>
        <v>2</v>
      </c>
      <c r="E4" s="1062">
        <f>D4+1</f>
        <v>3</v>
      </c>
      <c r="F4" s="1062">
        <f>E4+1</f>
        <v>4</v>
      </c>
      <c r="G4" s="1062">
        <f>F4+1</f>
        <v>5</v>
      </c>
      <c r="H4" s="1062">
        <f t="shared" ref="H4:BL4" si="0">G4+1</f>
        <v>6</v>
      </c>
      <c r="I4" s="1062">
        <f t="shared" si="0"/>
        <v>7</v>
      </c>
      <c r="J4" s="1062">
        <f t="shared" si="0"/>
        <v>8</v>
      </c>
      <c r="K4" s="1062">
        <f t="shared" si="0"/>
        <v>9</v>
      </c>
      <c r="L4" s="1062">
        <f t="shared" si="0"/>
        <v>10</v>
      </c>
      <c r="M4" s="1062">
        <f t="shared" si="0"/>
        <v>11</v>
      </c>
      <c r="N4" s="1062">
        <f t="shared" si="0"/>
        <v>12</v>
      </c>
      <c r="O4" s="1062">
        <f t="shared" si="0"/>
        <v>13</v>
      </c>
      <c r="P4" s="1062">
        <f t="shared" si="0"/>
        <v>14</v>
      </c>
      <c r="Q4" s="1062">
        <f t="shared" si="0"/>
        <v>15</v>
      </c>
      <c r="R4" s="1062">
        <f t="shared" si="0"/>
        <v>16</v>
      </c>
      <c r="S4" s="1062">
        <f t="shared" si="0"/>
        <v>17</v>
      </c>
      <c r="T4" s="1062">
        <f t="shared" si="0"/>
        <v>18</v>
      </c>
      <c r="U4" s="1062">
        <f t="shared" si="0"/>
        <v>19</v>
      </c>
      <c r="V4" s="1062">
        <f t="shared" si="0"/>
        <v>20</v>
      </c>
      <c r="W4" s="1062">
        <f t="shared" si="0"/>
        <v>21</v>
      </c>
      <c r="X4" s="1062">
        <f t="shared" si="0"/>
        <v>22</v>
      </c>
      <c r="Y4" s="1062">
        <f t="shared" si="0"/>
        <v>23</v>
      </c>
      <c r="Z4" s="1062">
        <f t="shared" si="0"/>
        <v>24</v>
      </c>
      <c r="AA4" s="1062">
        <f t="shared" si="0"/>
        <v>25</v>
      </c>
      <c r="AB4" s="1062">
        <f t="shared" ref="AB4:AK4" si="1">AA4+1</f>
        <v>26</v>
      </c>
      <c r="AC4" s="1062">
        <f t="shared" si="1"/>
        <v>27</v>
      </c>
      <c r="AD4" s="1062">
        <f t="shared" si="1"/>
        <v>28</v>
      </c>
      <c r="AE4" s="1062">
        <f t="shared" si="1"/>
        <v>29</v>
      </c>
      <c r="AF4" s="1062">
        <f t="shared" si="1"/>
        <v>30</v>
      </c>
      <c r="AG4" s="1062">
        <f t="shared" si="1"/>
        <v>31</v>
      </c>
      <c r="AH4" s="1062">
        <f t="shared" si="1"/>
        <v>32</v>
      </c>
      <c r="AI4" s="1062">
        <f t="shared" si="1"/>
        <v>33</v>
      </c>
      <c r="AJ4" s="1062">
        <f t="shared" si="1"/>
        <v>34</v>
      </c>
      <c r="AK4" s="1062">
        <f t="shared" si="1"/>
        <v>35</v>
      </c>
      <c r="AL4" s="1062">
        <f t="shared" si="0"/>
        <v>36</v>
      </c>
      <c r="AM4" s="1062">
        <f t="shared" si="0"/>
        <v>37</v>
      </c>
      <c r="AN4" s="1062">
        <f t="shared" si="0"/>
        <v>38</v>
      </c>
      <c r="AO4" s="1062">
        <f>AN4+1</f>
        <v>39</v>
      </c>
      <c r="AP4" s="1062">
        <f>AO4+1</f>
        <v>40</v>
      </c>
      <c r="AQ4" s="1062">
        <f t="shared" si="0"/>
        <v>41</v>
      </c>
      <c r="AR4" s="1062">
        <f t="shared" si="0"/>
        <v>42</v>
      </c>
      <c r="AS4" s="1062">
        <f t="shared" si="0"/>
        <v>43</v>
      </c>
      <c r="AT4" s="1062">
        <f t="shared" si="0"/>
        <v>44</v>
      </c>
      <c r="AU4" s="1062">
        <f t="shared" si="0"/>
        <v>45</v>
      </c>
      <c r="AV4" s="1062">
        <f t="shared" si="0"/>
        <v>46</v>
      </c>
      <c r="AW4" s="1062">
        <f t="shared" si="0"/>
        <v>47</v>
      </c>
      <c r="AX4" s="1062">
        <f t="shared" si="0"/>
        <v>48</v>
      </c>
      <c r="AY4" s="1062">
        <f t="shared" si="0"/>
        <v>49</v>
      </c>
      <c r="AZ4" s="1062">
        <f t="shared" si="0"/>
        <v>50</v>
      </c>
      <c r="BA4" s="1062">
        <f t="shared" si="0"/>
        <v>51</v>
      </c>
      <c r="BB4" s="1062">
        <f t="shared" si="0"/>
        <v>52</v>
      </c>
      <c r="BC4" s="1062">
        <f t="shared" si="0"/>
        <v>53</v>
      </c>
      <c r="BD4" s="1062">
        <f t="shared" si="0"/>
        <v>54</v>
      </c>
      <c r="BE4" s="1062">
        <f t="shared" si="0"/>
        <v>55</v>
      </c>
      <c r="BF4" s="1062">
        <f t="shared" si="0"/>
        <v>56</v>
      </c>
      <c r="BG4" s="1062">
        <f t="shared" si="0"/>
        <v>57</v>
      </c>
      <c r="BH4" s="1062">
        <f t="shared" si="0"/>
        <v>58</v>
      </c>
      <c r="BI4" s="1062">
        <f t="shared" si="0"/>
        <v>59</v>
      </c>
      <c r="BJ4" s="1062">
        <f t="shared" si="0"/>
        <v>60</v>
      </c>
      <c r="BK4" s="1062">
        <f t="shared" si="0"/>
        <v>61</v>
      </c>
      <c r="BL4" s="1062">
        <f t="shared" si="0"/>
        <v>62</v>
      </c>
      <c r="BM4" s="1062">
        <f t="shared" ref="BM4:BY4" si="2">BL4+1</f>
        <v>63</v>
      </c>
      <c r="BN4" s="1062">
        <f t="shared" si="2"/>
        <v>64</v>
      </c>
      <c r="BO4" s="1062">
        <f t="shared" si="2"/>
        <v>65</v>
      </c>
      <c r="BP4" s="1062">
        <f t="shared" si="2"/>
        <v>66</v>
      </c>
      <c r="BQ4" s="1062">
        <f t="shared" si="2"/>
        <v>67</v>
      </c>
      <c r="BR4" s="1062">
        <f t="shared" si="2"/>
        <v>68</v>
      </c>
      <c r="BS4" s="1062">
        <f t="shared" si="2"/>
        <v>69</v>
      </c>
      <c r="BT4" s="1062">
        <f t="shared" si="2"/>
        <v>70</v>
      </c>
      <c r="BU4" s="1062">
        <f t="shared" si="2"/>
        <v>71</v>
      </c>
      <c r="BV4" s="1062">
        <f t="shared" si="2"/>
        <v>72</v>
      </c>
      <c r="BW4" s="1062">
        <f t="shared" si="2"/>
        <v>73</v>
      </c>
      <c r="BX4" s="1062">
        <f t="shared" si="2"/>
        <v>74</v>
      </c>
      <c r="BY4" s="1062">
        <f t="shared" si="2"/>
        <v>75</v>
      </c>
    </row>
    <row r="5" spans="1:77" s="600" customFormat="1" hidden="1" x14ac:dyDescent="0.2">
      <c r="A5" s="597"/>
      <c r="B5" s="597"/>
      <c r="C5" s="1068" t="s">
        <v>603</v>
      </c>
      <c r="D5" s="1068" t="s">
        <v>603</v>
      </c>
      <c r="E5" s="1068" t="s">
        <v>603</v>
      </c>
      <c r="F5" s="1068" t="s">
        <v>603</v>
      </c>
      <c r="G5" s="1068" t="s">
        <v>603</v>
      </c>
      <c r="H5" s="1068" t="s">
        <v>603</v>
      </c>
      <c r="I5" s="1068" t="s">
        <v>603</v>
      </c>
      <c r="J5" s="1068" t="s">
        <v>603</v>
      </c>
      <c r="K5" s="1068" t="s">
        <v>603</v>
      </c>
      <c r="L5" s="1068" t="s">
        <v>603</v>
      </c>
      <c r="M5" s="1068" t="s">
        <v>603</v>
      </c>
      <c r="N5" s="1068" t="s">
        <v>603</v>
      </c>
      <c r="O5" s="1068" t="s">
        <v>603</v>
      </c>
      <c r="P5" s="1068" t="s">
        <v>603</v>
      </c>
      <c r="Q5" s="1068" t="s">
        <v>603</v>
      </c>
      <c r="R5" s="1068" t="s">
        <v>603</v>
      </c>
      <c r="S5" s="1068" t="s">
        <v>603</v>
      </c>
      <c r="T5" s="1068" t="s">
        <v>603</v>
      </c>
      <c r="U5" s="1068" t="s">
        <v>603</v>
      </c>
      <c r="V5" s="1068" t="s">
        <v>603</v>
      </c>
      <c r="W5" s="1068" t="s">
        <v>603</v>
      </c>
      <c r="X5" s="1068" t="s">
        <v>603</v>
      </c>
      <c r="Y5" s="1068" t="s">
        <v>603</v>
      </c>
      <c r="Z5" s="1068" t="s">
        <v>603</v>
      </c>
      <c r="AA5" s="1068" t="s">
        <v>603</v>
      </c>
      <c r="AB5" s="1068" t="s">
        <v>603</v>
      </c>
      <c r="AC5" s="1068" t="s">
        <v>603</v>
      </c>
      <c r="AD5" s="1068" t="s">
        <v>603</v>
      </c>
      <c r="AE5" s="1068" t="s">
        <v>603</v>
      </c>
      <c r="AF5" s="1068" t="s">
        <v>603</v>
      </c>
      <c r="AG5" s="1068" t="s">
        <v>603</v>
      </c>
      <c r="AH5" s="1068" t="s">
        <v>603</v>
      </c>
      <c r="AI5" s="1129" t="s">
        <v>603</v>
      </c>
      <c r="AJ5" s="1129" t="s">
        <v>603</v>
      </c>
      <c r="AK5" s="1068" t="s">
        <v>603</v>
      </c>
      <c r="AL5" s="1068" t="s">
        <v>603</v>
      </c>
      <c r="AM5" s="1068" t="s">
        <v>604</v>
      </c>
      <c r="AN5" s="1068" t="s">
        <v>604</v>
      </c>
      <c r="AO5" s="1069"/>
      <c r="AP5" s="1063" t="s">
        <v>603</v>
      </c>
      <c r="AQ5" s="1063" t="s">
        <v>603</v>
      </c>
      <c r="AR5" s="1063" t="s">
        <v>603</v>
      </c>
      <c r="AS5" s="1063" t="s">
        <v>603</v>
      </c>
      <c r="AT5" s="1063" t="s">
        <v>603</v>
      </c>
      <c r="AU5" s="1063" t="s">
        <v>603</v>
      </c>
      <c r="AV5" s="1063" t="s">
        <v>603</v>
      </c>
      <c r="AW5" s="1063" t="s">
        <v>603</v>
      </c>
      <c r="AX5" s="1063" t="s">
        <v>603</v>
      </c>
      <c r="AY5" s="1063" t="s">
        <v>603</v>
      </c>
      <c r="AZ5" s="1063" t="s">
        <v>603</v>
      </c>
      <c r="BA5" s="1063" t="s">
        <v>603</v>
      </c>
      <c r="BB5" s="1063" t="s">
        <v>603</v>
      </c>
      <c r="BC5" s="1063" t="s">
        <v>603</v>
      </c>
      <c r="BD5" s="1063" t="s">
        <v>603</v>
      </c>
      <c r="BE5" s="1063" t="s">
        <v>603</v>
      </c>
      <c r="BF5" s="1063" t="s">
        <v>603</v>
      </c>
      <c r="BG5" s="1063" t="s">
        <v>603</v>
      </c>
      <c r="BH5" s="1063" t="s">
        <v>603</v>
      </c>
      <c r="BI5" s="1063" t="s">
        <v>603</v>
      </c>
      <c r="BJ5" s="1063" t="s">
        <v>603</v>
      </c>
      <c r="BK5" s="1063" t="s">
        <v>603</v>
      </c>
      <c r="BL5" s="1063" t="s">
        <v>603</v>
      </c>
      <c r="BM5" s="1063" t="s">
        <v>603</v>
      </c>
      <c r="BN5" s="1063" t="s">
        <v>603</v>
      </c>
      <c r="BO5" s="1063" t="s">
        <v>603</v>
      </c>
      <c r="BP5" s="1063" t="s">
        <v>603</v>
      </c>
      <c r="BQ5" s="1063" t="s">
        <v>603</v>
      </c>
      <c r="BR5" s="1063" t="s">
        <v>603</v>
      </c>
      <c r="BS5" s="1063" t="s">
        <v>603</v>
      </c>
      <c r="BT5" s="1129" t="s">
        <v>603</v>
      </c>
      <c r="BU5" s="1062" t="e">
        <f>BT5+1</f>
        <v>#VALUE!</v>
      </c>
      <c r="BV5" s="1063" t="s">
        <v>603</v>
      </c>
      <c r="BW5" s="1063" t="s">
        <v>603</v>
      </c>
      <c r="BX5" s="1069" t="s">
        <v>604</v>
      </c>
      <c r="BY5" s="1069" t="s">
        <v>604</v>
      </c>
    </row>
    <row r="6" spans="1:77" s="676" customFormat="1" ht="17.25" customHeight="1" x14ac:dyDescent="0.2">
      <c r="A6" s="675"/>
      <c r="B6" s="675"/>
      <c r="C6" s="1063" t="s">
        <v>1425</v>
      </c>
      <c r="D6" s="1063" t="s">
        <v>772</v>
      </c>
      <c r="E6" s="1063" t="s">
        <v>1325</v>
      </c>
      <c r="F6" s="1063" t="s">
        <v>926</v>
      </c>
      <c r="G6" s="1063" t="s">
        <v>927</v>
      </c>
      <c r="H6" s="1063" t="s">
        <v>928</v>
      </c>
      <c r="I6" s="1063" t="s">
        <v>929</v>
      </c>
      <c r="J6" s="1063" t="s">
        <v>930</v>
      </c>
      <c r="K6" s="1063" t="s">
        <v>931</v>
      </c>
      <c r="L6" s="1063" t="s">
        <v>932</v>
      </c>
      <c r="M6" s="1063" t="s">
        <v>933</v>
      </c>
      <c r="N6" s="1063" t="s">
        <v>934</v>
      </c>
      <c r="O6" s="1063" t="s">
        <v>935</v>
      </c>
      <c r="P6" s="1063" t="s">
        <v>936</v>
      </c>
      <c r="Q6" s="1063" t="s">
        <v>937</v>
      </c>
      <c r="R6" s="1063" t="s">
        <v>1029</v>
      </c>
      <c r="S6" s="1063" t="s">
        <v>1030</v>
      </c>
      <c r="T6" s="1063" t="s">
        <v>1031</v>
      </c>
      <c r="U6" s="1063" t="s">
        <v>1032</v>
      </c>
      <c r="V6" s="1063" t="s">
        <v>1033</v>
      </c>
      <c r="W6" s="1063" t="s">
        <v>1034</v>
      </c>
      <c r="X6" s="1063" t="s">
        <v>1035</v>
      </c>
      <c r="Y6" s="1063" t="s">
        <v>1036</v>
      </c>
      <c r="Z6" s="1063" t="s">
        <v>1037</v>
      </c>
      <c r="AA6" s="1063" t="s">
        <v>1038</v>
      </c>
      <c r="AB6" s="1063" t="s">
        <v>1039</v>
      </c>
      <c r="AC6" s="1063" t="s">
        <v>1040</v>
      </c>
      <c r="AD6" s="1063" t="s">
        <v>1041</v>
      </c>
      <c r="AE6" s="1063" t="s">
        <v>1042</v>
      </c>
      <c r="AF6" s="1063" t="s">
        <v>1043</v>
      </c>
      <c r="AG6" s="1063" t="s">
        <v>1044</v>
      </c>
      <c r="AH6" s="1063" t="s">
        <v>1045</v>
      </c>
      <c r="AI6" s="1130" t="s">
        <v>1216</v>
      </c>
      <c r="AJ6" s="1130" t="s">
        <v>1217</v>
      </c>
      <c r="AK6" s="1063" t="s">
        <v>1046</v>
      </c>
      <c r="AL6" s="1063" t="s">
        <v>1047</v>
      </c>
      <c r="AM6" s="1063" t="s">
        <v>1423</v>
      </c>
      <c r="AN6" s="1063" t="s">
        <v>1426</v>
      </c>
      <c r="AO6" s="1068" t="s">
        <v>1439</v>
      </c>
      <c r="AP6" s="1063" t="s">
        <v>1432</v>
      </c>
      <c r="AQ6" s="1063" t="s">
        <v>1048</v>
      </c>
      <c r="AR6" s="1063" t="s">
        <v>1049</v>
      </c>
      <c r="AS6" s="1063" t="s">
        <v>1050</v>
      </c>
      <c r="AT6" s="1063" t="s">
        <v>1051</v>
      </c>
      <c r="AU6" s="1063" t="s">
        <v>1052</v>
      </c>
      <c r="AV6" s="1063" t="s">
        <v>1053</v>
      </c>
      <c r="AW6" s="1063" t="s">
        <v>1054</v>
      </c>
      <c r="AX6" s="1063" t="s">
        <v>1055</v>
      </c>
      <c r="AY6" s="1063" t="s">
        <v>1056</v>
      </c>
      <c r="AZ6" s="1063" t="s">
        <v>1057</v>
      </c>
      <c r="BA6" s="1063" t="s">
        <v>1058</v>
      </c>
      <c r="BB6" s="1063" t="s">
        <v>1059</v>
      </c>
      <c r="BC6" s="1063" t="s">
        <v>1060</v>
      </c>
      <c r="BD6" s="1063" t="s">
        <v>1061</v>
      </c>
      <c r="BE6" s="1063" t="s">
        <v>1062</v>
      </c>
      <c r="BF6" s="1063" t="s">
        <v>1063</v>
      </c>
      <c r="BG6" s="1063" t="s">
        <v>1064</v>
      </c>
      <c r="BH6" s="1063" t="s">
        <v>1065</v>
      </c>
      <c r="BI6" s="1063" t="s">
        <v>1066</v>
      </c>
      <c r="BJ6" s="1063" t="s">
        <v>1067</v>
      </c>
      <c r="BK6" s="1063" t="s">
        <v>1068</v>
      </c>
      <c r="BL6" s="1063" t="s">
        <v>1069</v>
      </c>
      <c r="BM6" s="1063" t="s">
        <v>1070</v>
      </c>
      <c r="BN6" s="1063" t="s">
        <v>1071</v>
      </c>
      <c r="BO6" s="1063" t="s">
        <v>1072</v>
      </c>
      <c r="BP6" s="1063" t="s">
        <v>1073</v>
      </c>
      <c r="BQ6" s="1063" t="s">
        <v>1074</v>
      </c>
      <c r="BR6" s="1063" t="s">
        <v>1075</v>
      </c>
      <c r="BS6" s="1063" t="s">
        <v>1076</v>
      </c>
      <c r="BT6" s="1130" t="s">
        <v>1218</v>
      </c>
      <c r="BU6" s="1130" t="s">
        <v>1219</v>
      </c>
      <c r="BV6" s="1063" t="s">
        <v>1077</v>
      </c>
      <c r="BW6" s="1063" t="s">
        <v>1078</v>
      </c>
      <c r="BX6" s="1068" t="s">
        <v>1427</v>
      </c>
      <c r="BY6" s="1063" t="s">
        <v>1428</v>
      </c>
    </row>
    <row r="7" spans="1:77" s="7" customFormat="1" ht="15.75" customHeight="1" x14ac:dyDescent="0.2">
      <c r="A7" s="368">
        <v>1</v>
      </c>
      <c r="B7" s="369" t="s">
        <v>5</v>
      </c>
      <c r="C7" s="61">
        <f>'2_State Distrib and Adjs'!AZ7</f>
        <v>4687603</v>
      </c>
      <c r="D7" s="61">
        <f>-'5A3_OJJ'!S7</f>
        <v>-293</v>
      </c>
      <c r="E7" s="61"/>
      <c r="F7" s="61">
        <f>-'5C1A_Madison'!AS7</f>
        <v>0</v>
      </c>
      <c r="G7" s="61">
        <f>-'5C1B_DArbonne'!AS7</f>
        <v>0</v>
      </c>
      <c r="H7" s="61">
        <f>-'5C1C_Intl High'!AS7</f>
        <v>0</v>
      </c>
      <c r="I7" s="61">
        <f>-'5C1D_NOMMA'!AS7</f>
        <v>0</v>
      </c>
      <c r="J7" s="61">
        <f>-'5C1E_LFNO'!AS7</f>
        <v>0</v>
      </c>
      <c r="K7" s="61">
        <f>-'5C1F_L.C. Charter'!AS7</f>
        <v>0</v>
      </c>
      <c r="L7" s="61">
        <f>-'5C1G_JS Clark'!AS7</f>
        <v>436</v>
      </c>
      <c r="M7" s="61">
        <f>-'5C1H_Southwest'!AS7</f>
        <v>0</v>
      </c>
      <c r="N7" s="61">
        <f>-'5C1I_LA Key'!AS7</f>
        <v>0</v>
      </c>
      <c r="O7" s="61">
        <f>-'5C1J_JCFA-East'!AS7</f>
        <v>0</v>
      </c>
      <c r="P7" s="61">
        <f>-'5C1M_GEO Mid'!AS7</f>
        <v>0</v>
      </c>
      <c r="Q7" s="61">
        <f>-'5C1N_Delta'!AS7</f>
        <v>0</v>
      </c>
      <c r="R7" s="61">
        <f>-'5C1O_Impact'!AS7</f>
        <v>0</v>
      </c>
      <c r="S7" s="61">
        <f>-'5C1Q_Advantage'!AS7</f>
        <v>0</v>
      </c>
      <c r="T7" s="61">
        <f>-'5C1R_Iberville'!AS7</f>
        <v>0</v>
      </c>
      <c r="U7" s="61">
        <f>-'5C1S_LC Col Prep'!AS7</f>
        <v>0</v>
      </c>
      <c r="V7" s="61">
        <f>-'5C1T_Northeast'!AS7</f>
        <v>0</v>
      </c>
      <c r="W7" s="61">
        <f>-'5C1U_Acadiana Ren'!AS7</f>
        <v>227</v>
      </c>
      <c r="X7" s="61">
        <f>-'5C1V_Laf Ren'!AS7</f>
        <v>-708</v>
      </c>
      <c r="Y7" s="61">
        <f>-'5C1W_Willow'!AS7</f>
        <v>-170</v>
      </c>
      <c r="Z7" s="61">
        <f>-'5C1Y_GEO'!AS7</f>
        <v>0</v>
      </c>
      <c r="AA7" s="61">
        <f>-'5C1Z_Lincoln Prep'!$AS7</f>
        <v>0</v>
      </c>
      <c r="AB7" s="61">
        <f>-'5C1AD_Greater'!$AS7</f>
        <v>0</v>
      </c>
      <c r="AC7" s="61">
        <f>-'5C1AE_Noble Minds'!$AS7</f>
        <v>0</v>
      </c>
      <c r="AD7" s="61">
        <f>-'5C1AF_JCFA-Laf'!$AS7</f>
        <v>-95</v>
      </c>
      <c r="AE7" s="61">
        <f>-'5C1AG_Collegiate'!$AS7</f>
        <v>0</v>
      </c>
      <c r="AF7" s="61">
        <f>-'5C1AH_BRUP'!$AS7</f>
        <v>0</v>
      </c>
      <c r="AG7" s="61">
        <f>-'5C1AI_Harmony'!$AS7</f>
        <v>0</v>
      </c>
      <c r="AH7" s="61">
        <f>-'5C1AJ_Athlos'!$AS7</f>
        <v>0</v>
      </c>
      <c r="AI7" s="61">
        <f>-'5C1AK_NxtGen'!$AS7</f>
        <v>0</v>
      </c>
      <c r="AJ7" s="61">
        <f>-'5C1AL_Red River'!$AS7</f>
        <v>0</v>
      </c>
      <c r="AK7" s="61">
        <f>-'5C2_LAVCA'!AT7</f>
        <v>2146</v>
      </c>
      <c r="AL7" s="61">
        <f>-'5C3_UnvView'!AT7</f>
        <v>-10259</v>
      </c>
      <c r="AM7" s="370">
        <f t="shared" ref="AM7:AM38" si="3">SUM(D7:AL7)</f>
        <v>-8716</v>
      </c>
      <c r="AN7" s="371">
        <f t="shared" ref="AN7:AN38" si="4">C7+AM7</f>
        <v>4678887</v>
      </c>
      <c r="AO7" s="61"/>
      <c r="AP7" s="61"/>
      <c r="AQ7" s="61">
        <f>-'5C1A_Madison'!AY7</f>
        <v>0</v>
      </c>
      <c r="AR7" s="61">
        <f>-'5C1B_DArbonne'!AY7</f>
        <v>0</v>
      </c>
      <c r="AS7" s="61">
        <f>-'5C1C_Intl High'!AY7</f>
        <v>0</v>
      </c>
      <c r="AT7" s="61">
        <f>-'5C1D_NOMMA'!AY7</f>
        <v>0</v>
      </c>
      <c r="AU7" s="61">
        <f>-'5C1E_LFNO'!AY7</f>
        <v>0</v>
      </c>
      <c r="AV7" s="61">
        <f>-'5C1F_L.C. Charter'!AY7</f>
        <v>0</v>
      </c>
      <c r="AW7" s="61">
        <f>-'5C1G_JS Clark'!AY7</f>
        <v>7</v>
      </c>
      <c r="AX7" s="61">
        <f>-'5C1H_Southwest'!AY7</f>
        <v>0</v>
      </c>
      <c r="AY7" s="61">
        <f>-'5C1I_LA Key'!AY7</f>
        <v>0</v>
      </c>
      <c r="AZ7" s="61">
        <f>-'5C1J_JCFA-East'!AY7</f>
        <v>0</v>
      </c>
      <c r="BA7" s="61">
        <f>-'5C1M_GEO Mid'!AY7</f>
        <v>0</v>
      </c>
      <c r="BB7" s="61">
        <f>-'5C1N_Delta'!AY7</f>
        <v>0</v>
      </c>
      <c r="BC7" s="61">
        <f>-'5C1O_Impact'!AY7</f>
        <v>0</v>
      </c>
      <c r="BD7" s="61">
        <f>-'5C1Q_Advantage'!AY7</f>
        <v>0</v>
      </c>
      <c r="BE7" s="61">
        <f>-'5C1R_Iberville'!AY7</f>
        <v>0</v>
      </c>
      <c r="BF7" s="61">
        <f>-'5C1S_LC Col Prep'!AY7</f>
        <v>0</v>
      </c>
      <c r="BG7" s="61">
        <f>-'5C1T_Northeast'!AY7</f>
        <v>0</v>
      </c>
      <c r="BH7" s="61">
        <f>-'5C1U_Acadiana Ren'!AY7</f>
        <v>7</v>
      </c>
      <c r="BI7" s="61">
        <f>-'5C1V_Laf Ren'!AY7</f>
        <v>44</v>
      </c>
      <c r="BJ7" s="61">
        <f>-'5C1W_Willow'!AY7</f>
        <v>14</v>
      </c>
      <c r="BK7" s="61">
        <f>-'5C1Y_GEO'!AY7</f>
        <v>0</v>
      </c>
      <c r="BL7" s="61">
        <f>-'5C1Z_Lincoln Prep'!AY7</f>
        <v>0</v>
      </c>
      <c r="BM7" s="61">
        <f>-'5C1AD_Greater'!AY7</f>
        <v>0</v>
      </c>
      <c r="BN7" s="61">
        <f>-'5C1AE_Noble Minds'!AY7</f>
        <v>0</v>
      </c>
      <c r="BO7" s="61">
        <f>-'5C1AF_JCFA-Laf'!AY7</f>
        <v>3</v>
      </c>
      <c r="BP7" s="61">
        <f>-'5C1AG_Collegiate'!AY7</f>
        <v>0</v>
      </c>
      <c r="BQ7" s="61">
        <f>-'5C1AH_BRUP'!AY7</f>
        <v>0</v>
      </c>
      <c r="BR7" s="61">
        <f>-'5C1AI_Harmony'!$AY7</f>
        <v>0</v>
      </c>
      <c r="BS7" s="61">
        <f>-'5C1AJ_Athlos'!$AY7</f>
        <v>0</v>
      </c>
      <c r="BT7" s="61">
        <f>-'5C1AK_NxtGen'!$AY7</f>
        <v>0</v>
      </c>
      <c r="BU7" s="61">
        <f>-'5C1AL_Red River'!$AY7</f>
        <v>0</v>
      </c>
      <c r="BV7" s="61">
        <f>-'5C2_LAVCA'!AZ7</f>
        <v>96</v>
      </c>
      <c r="BW7" s="61">
        <f>-'5C3_UnvView'!AZ7</f>
        <v>-46</v>
      </c>
      <c r="BX7" s="61">
        <f t="shared" ref="BX7:BX38" si="5">SUM(AP7:BW7)</f>
        <v>125</v>
      </c>
      <c r="BY7" s="371">
        <f t="shared" ref="BY7:BY38" si="6">SUM(AN7:BW7)</f>
        <v>4679012</v>
      </c>
    </row>
    <row r="8" spans="1:77" s="7" customFormat="1" ht="15.75" customHeight="1" x14ac:dyDescent="0.2">
      <c r="A8" s="368">
        <v>2</v>
      </c>
      <c r="B8" s="369" t="s">
        <v>6</v>
      </c>
      <c r="C8" s="61">
        <f>'2_State Distrib and Adjs'!AZ8</f>
        <v>2476626</v>
      </c>
      <c r="D8" s="61">
        <f>-'5A3_OJJ'!S8</f>
        <v>0</v>
      </c>
      <c r="E8" s="61"/>
      <c r="F8" s="61">
        <f>-'5C1A_Madison'!AS8</f>
        <v>0</v>
      </c>
      <c r="G8" s="61">
        <f>-'5C1B_DArbonne'!AS8</f>
        <v>0</v>
      </c>
      <c r="H8" s="61">
        <f>-'5C1C_Intl High'!AS8</f>
        <v>0</v>
      </c>
      <c r="I8" s="61">
        <f>-'5C1D_NOMMA'!AS8</f>
        <v>0</v>
      </c>
      <c r="J8" s="61">
        <f>-'5C1E_LFNO'!AS8</f>
        <v>0</v>
      </c>
      <c r="K8" s="61">
        <f>-'5C1F_L.C. Charter'!AS8</f>
        <v>-768</v>
      </c>
      <c r="L8" s="61">
        <f>-'5C1G_JS Clark'!AS8</f>
        <v>0</v>
      </c>
      <c r="M8" s="61">
        <f>-'5C1H_Southwest'!AS8</f>
        <v>0</v>
      </c>
      <c r="N8" s="61">
        <f>-'5C1I_LA Key'!AS8</f>
        <v>0</v>
      </c>
      <c r="O8" s="61">
        <f>-'5C1J_JCFA-East'!AS8</f>
        <v>0</v>
      </c>
      <c r="P8" s="61">
        <f>-'5C1M_GEO Mid'!AS8</f>
        <v>0</v>
      </c>
      <c r="Q8" s="61">
        <f>-'5C1N_Delta'!AS8</f>
        <v>0</v>
      </c>
      <c r="R8" s="61">
        <f>-'5C1O_Impact'!AS8</f>
        <v>0</v>
      </c>
      <c r="S8" s="61">
        <f>-'5C1Q_Advantage'!AS8</f>
        <v>0</v>
      </c>
      <c r="T8" s="61">
        <f>-'5C1R_Iberville'!AS8</f>
        <v>0</v>
      </c>
      <c r="U8" s="61">
        <f>-'5C1S_LC Col Prep'!AS8</f>
        <v>-768</v>
      </c>
      <c r="V8" s="61">
        <f>-'5C1T_Northeast'!AS8</f>
        <v>0</v>
      </c>
      <c r="W8" s="61">
        <f>-'5C1U_Acadiana Ren'!AS8</f>
        <v>0</v>
      </c>
      <c r="X8" s="61">
        <f>-'5C1V_Laf Ren'!AS8</f>
        <v>0</v>
      </c>
      <c r="Y8" s="61">
        <f>-'5C1W_Willow'!AS8</f>
        <v>0</v>
      </c>
      <c r="Z8" s="61">
        <f>-'5C1Y_GEO'!AS8</f>
        <v>0</v>
      </c>
      <c r="AA8" s="61">
        <f>-'5C1Z_Lincoln Prep'!AS8</f>
        <v>0</v>
      </c>
      <c r="AB8" s="61">
        <f>-'5C1AD_Greater'!$AS8</f>
        <v>0</v>
      </c>
      <c r="AC8" s="61">
        <f>-'5C1AE_Noble Minds'!$AS8</f>
        <v>0</v>
      </c>
      <c r="AD8" s="61">
        <f>-'5C1AF_JCFA-Laf'!$AS8</f>
        <v>0</v>
      </c>
      <c r="AE8" s="61">
        <f>-'5C1AG_Collegiate'!$AS8</f>
        <v>0</v>
      </c>
      <c r="AF8" s="61">
        <f>-'5C1AH_BRUP'!$AS8</f>
        <v>0</v>
      </c>
      <c r="AG8" s="61">
        <f>-'5C1AI_Harmony'!$AS8</f>
        <v>0</v>
      </c>
      <c r="AH8" s="61">
        <f>-'5C1AJ_Athlos'!$AS8</f>
        <v>0</v>
      </c>
      <c r="AI8" s="61">
        <f>-'5C1AK_NxtGen'!$AS8</f>
        <v>0</v>
      </c>
      <c r="AJ8" s="61">
        <f>-'5C1AL_Red River'!$AS8</f>
        <v>0</v>
      </c>
      <c r="AK8" s="61">
        <f>-'5C2_LAVCA'!AT8</f>
        <v>-4501</v>
      </c>
      <c r="AL8" s="61">
        <f>-'5C3_UnvView'!AT8</f>
        <v>-8303</v>
      </c>
      <c r="AM8" s="370">
        <f t="shared" si="3"/>
        <v>-14340</v>
      </c>
      <c r="AN8" s="371">
        <f t="shared" si="4"/>
        <v>2462286</v>
      </c>
      <c r="AO8" s="61"/>
      <c r="AP8" s="61"/>
      <c r="AQ8" s="61">
        <f>-'5C1A_Madison'!AY8</f>
        <v>0</v>
      </c>
      <c r="AR8" s="61">
        <f>-'5C1B_DArbonne'!AY8</f>
        <v>0</v>
      </c>
      <c r="AS8" s="61">
        <f>-'5C1C_Intl High'!AY8</f>
        <v>0</v>
      </c>
      <c r="AT8" s="61">
        <f>-'5C1D_NOMMA'!AY8</f>
        <v>0</v>
      </c>
      <c r="AU8" s="61">
        <f>-'5C1E_LFNO'!AY8</f>
        <v>0</v>
      </c>
      <c r="AV8" s="61">
        <f>-'5C1F_L.C. Charter'!AY8</f>
        <v>-8</v>
      </c>
      <c r="AW8" s="61">
        <f>-'5C1G_JS Clark'!AY8</f>
        <v>0</v>
      </c>
      <c r="AX8" s="61">
        <f>-'5C1H_Southwest'!AY8</f>
        <v>0</v>
      </c>
      <c r="AY8" s="61">
        <f>-'5C1I_LA Key'!AY8</f>
        <v>0</v>
      </c>
      <c r="AZ8" s="61">
        <f>-'5C1J_JCFA-East'!AY8</f>
        <v>0</v>
      </c>
      <c r="BA8" s="61">
        <f>-'5C1M_GEO Mid'!AY8</f>
        <v>0</v>
      </c>
      <c r="BB8" s="61">
        <f>-'5C1N_Delta'!AY8</f>
        <v>0</v>
      </c>
      <c r="BC8" s="61">
        <f>-'5C1O_Impact'!AY8</f>
        <v>0</v>
      </c>
      <c r="BD8" s="61">
        <f>-'5C1Q_Advantage'!AY8</f>
        <v>0</v>
      </c>
      <c r="BE8" s="61">
        <f>-'5C1R_Iberville'!AY8</f>
        <v>0</v>
      </c>
      <c r="BF8" s="61">
        <f>-'5C1S_LC Col Prep'!AY8</f>
        <v>-8</v>
      </c>
      <c r="BG8" s="61">
        <f>-'5C1T_Northeast'!AY8</f>
        <v>0</v>
      </c>
      <c r="BH8" s="61">
        <f>-'5C1U_Acadiana Ren'!AY8</f>
        <v>0</v>
      </c>
      <c r="BI8" s="61">
        <f>-'5C1V_Laf Ren'!AY8</f>
        <v>0</v>
      </c>
      <c r="BJ8" s="61">
        <f>-'5C1W_Willow'!AY8</f>
        <v>0</v>
      </c>
      <c r="BK8" s="61">
        <f>-'5C1Y_GEO'!AY8</f>
        <v>0</v>
      </c>
      <c r="BL8" s="61">
        <f>-'5C1Z_Lincoln Prep'!AY8</f>
        <v>0</v>
      </c>
      <c r="BM8" s="61">
        <f>-'5C1AD_Greater'!AY8</f>
        <v>0</v>
      </c>
      <c r="BN8" s="61">
        <f>-'5C1AE_Noble Minds'!AY8</f>
        <v>0</v>
      </c>
      <c r="BO8" s="61">
        <f>-'5C1AF_JCFA-Laf'!AY8</f>
        <v>0</v>
      </c>
      <c r="BP8" s="61">
        <f>-'5C1AG_Collegiate'!AY8</f>
        <v>0</v>
      </c>
      <c r="BQ8" s="61">
        <f>-'5C1AH_BRUP'!AY8</f>
        <v>0</v>
      </c>
      <c r="BR8" s="61">
        <f>-'5C1AI_Harmony'!$AY8</f>
        <v>0</v>
      </c>
      <c r="BS8" s="61">
        <f>-'5C1AJ_Athlos'!$AY8</f>
        <v>0</v>
      </c>
      <c r="BT8" s="61">
        <f>-'5C1AK_NxtGen'!$AY8</f>
        <v>0</v>
      </c>
      <c r="BU8" s="61">
        <f>-'5C1AL_Red River'!$AY8</f>
        <v>0</v>
      </c>
      <c r="BV8" s="61">
        <f>-'5C2_LAVCA'!AZ8</f>
        <v>-29</v>
      </c>
      <c r="BW8" s="61">
        <f>-'5C3_UnvView'!AZ8</f>
        <v>-67</v>
      </c>
      <c r="BX8" s="61">
        <f t="shared" si="5"/>
        <v>-112</v>
      </c>
      <c r="BY8" s="371">
        <f t="shared" si="6"/>
        <v>2462174</v>
      </c>
    </row>
    <row r="9" spans="1:77" s="7" customFormat="1" ht="15.75" customHeight="1" x14ac:dyDescent="0.2">
      <c r="A9" s="368">
        <v>3</v>
      </c>
      <c r="B9" s="369" t="s">
        <v>7</v>
      </c>
      <c r="C9" s="61">
        <f>'2_State Distrib and Adjs'!AZ9</f>
        <v>9676615</v>
      </c>
      <c r="D9" s="61">
        <f>-'5A3_OJJ'!S9</f>
        <v>-463</v>
      </c>
      <c r="E9" s="61"/>
      <c r="F9" s="61">
        <f>-'5C1A_Madison'!AS9</f>
        <v>-4</v>
      </c>
      <c r="G9" s="61">
        <f>-'5C1B_DArbonne'!AS9</f>
        <v>0</v>
      </c>
      <c r="H9" s="61">
        <f>-'5C1C_Intl High'!AS9</f>
        <v>0</v>
      </c>
      <c r="I9" s="61">
        <f>-'5C1D_NOMMA'!AS9</f>
        <v>0</v>
      </c>
      <c r="J9" s="61">
        <f>-'5C1E_LFNO'!AS9</f>
        <v>0</v>
      </c>
      <c r="K9" s="61">
        <f>-'5C1F_L.C. Charter'!AS9</f>
        <v>0</v>
      </c>
      <c r="L9" s="61">
        <f>-'5C1G_JS Clark'!AS9</f>
        <v>0</v>
      </c>
      <c r="M9" s="61">
        <f>-'5C1H_Southwest'!AS9</f>
        <v>0</v>
      </c>
      <c r="N9" s="61">
        <f>-'5C1I_LA Key'!AS9</f>
        <v>-8151</v>
      </c>
      <c r="O9" s="61">
        <f>-'5C1J_JCFA-East'!AS9</f>
        <v>0</v>
      </c>
      <c r="P9" s="61">
        <f>-'5C1M_GEO Mid'!AS9</f>
        <v>-2173</v>
      </c>
      <c r="Q9" s="61">
        <f>-'5C1N_Delta'!AS9</f>
        <v>0</v>
      </c>
      <c r="R9" s="61">
        <f>-'5C1O_Impact'!AS9</f>
        <v>0</v>
      </c>
      <c r="S9" s="61">
        <f>-'5C1Q_Advantage'!AS9</f>
        <v>0</v>
      </c>
      <c r="T9" s="61">
        <f>-'5C1R_Iberville'!AS9</f>
        <v>-7337</v>
      </c>
      <c r="U9" s="61">
        <f>-'5C1S_LC Col Prep'!AS9</f>
        <v>0</v>
      </c>
      <c r="V9" s="61">
        <f>-'5C1T_Northeast'!AS9</f>
        <v>0</v>
      </c>
      <c r="W9" s="61">
        <f>-'5C1U_Acadiana Ren'!AS9</f>
        <v>0</v>
      </c>
      <c r="X9" s="61">
        <f>-'5C1V_Laf Ren'!AS9</f>
        <v>0</v>
      </c>
      <c r="Y9" s="61">
        <f>-'5C1W_Willow'!AS9</f>
        <v>0</v>
      </c>
      <c r="Z9" s="61">
        <f>-'5C1Y_GEO'!AS9</f>
        <v>0</v>
      </c>
      <c r="AA9" s="61">
        <f>-'5C1Z_Lincoln Prep'!AS9</f>
        <v>0</v>
      </c>
      <c r="AB9" s="61">
        <f>-'5C1AD_Greater'!$AS9</f>
        <v>1892</v>
      </c>
      <c r="AC9" s="61">
        <f>-'5C1AE_Noble Minds'!$AS9</f>
        <v>0</v>
      </c>
      <c r="AD9" s="61">
        <f>-'5C1AF_JCFA-Laf'!$AS9</f>
        <v>0</v>
      </c>
      <c r="AE9" s="61">
        <f>-'5C1AG_Collegiate'!$AS9</f>
        <v>0</v>
      </c>
      <c r="AF9" s="61">
        <f>-'5C1AH_BRUP'!$AS9</f>
        <v>0</v>
      </c>
      <c r="AG9" s="61">
        <f>-'5C1AI_Harmony'!$AS9</f>
        <v>0</v>
      </c>
      <c r="AH9" s="61">
        <f>-'5C1AJ_Athlos'!$AS9</f>
        <v>0</v>
      </c>
      <c r="AI9" s="61">
        <f>-'5C1AK_NxtGen'!$AS9</f>
        <v>0</v>
      </c>
      <c r="AJ9" s="61">
        <f>-'5C1AL_Red River'!$AS9</f>
        <v>0</v>
      </c>
      <c r="AK9" s="61">
        <f>-'5C2_LAVCA'!AT9</f>
        <v>-9802</v>
      </c>
      <c r="AL9" s="61">
        <f>-'5C3_UnvView'!AT9</f>
        <v>-28428</v>
      </c>
      <c r="AM9" s="370">
        <f t="shared" si="3"/>
        <v>-54466</v>
      </c>
      <c r="AN9" s="371">
        <f t="shared" si="4"/>
        <v>9622149</v>
      </c>
      <c r="AO9" s="61"/>
      <c r="AP9" s="61"/>
      <c r="AQ9" s="61">
        <f>-'5C1A_Madison'!AY9</f>
        <v>16</v>
      </c>
      <c r="AR9" s="61">
        <f>-'5C1B_DArbonne'!AY9</f>
        <v>0</v>
      </c>
      <c r="AS9" s="61">
        <f>-'5C1C_Intl High'!AY9</f>
        <v>0</v>
      </c>
      <c r="AT9" s="61">
        <f>-'5C1D_NOMMA'!AY9</f>
        <v>0</v>
      </c>
      <c r="AU9" s="61">
        <f>-'5C1E_LFNO'!AY9</f>
        <v>0</v>
      </c>
      <c r="AV9" s="61">
        <f>-'5C1F_L.C. Charter'!AY9</f>
        <v>0</v>
      </c>
      <c r="AW9" s="61">
        <f>-'5C1G_JS Clark'!AY9</f>
        <v>0</v>
      </c>
      <c r="AX9" s="61">
        <f>-'5C1H_Southwest'!AY9</f>
        <v>0</v>
      </c>
      <c r="AY9" s="61">
        <f>-'5C1I_LA Key'!AY9</f>
        <v>-66</v>
      </c>
      <c r="AZ9" s="61">
        <f>-'5C1J_JCFA-East'!AY9</f>
        <v>0</v>
      </c>
      <c r="BA9" s="61">
        <f>-'5C1M_GEO Mid'!AY9</f>
        <v>0</v>
      </c>
      <c r="BB9" s="61">
        <f>-'5C1N_Delta'!AY9</f>
        <v>0</v>
      </c>
      <c r="BC9" s="61">
        <f>-'5C1O_Impact'!AY9</f>
        <v>0</v>
      </c>
      <c r="BD9" s="61">
        <f>-'5C1Q_Advantage'!AY9</f>
        <v>0</v>
      </c>
      <c r="BE9" s="61">
        <f>-'5C1R_Iberville'!AY9</f>
        <v>8</v>
      </c>
      <c r="BF9" s="61">
        <f>-'5C1S_LC Col Prep'!AY9</f>
        <v>0</v>
      </c>
      <c r="BG9" s="61">
        <f>-'5C1T_Northeast'!AY9</f>
        <v>0</v>
      </c>
      <c r="BH9" s="61">
        <f>-'5C1U_Acadiana Ren'!AY9</f>
        <v>0</v>
      </c>
      <c r="BI9" s="61">
        <f>-'5C1V_Laf Ren'!AY9</f>
        <v>0</v>
      </c>
      <c r="BJ9" s="61">
        <f>-'5C1W_Willow'!AY9</f>
        <v>0</v>
      </c>
      <c r="BK9" s="61">
        <f>-'5C1Y_GEO'!AY9</f>
        <v>0</v>
      </c>
      <c r="BL9" s="61">
        <f>-'5C1Z_Lincoln Prep'!AY9</f>
        <v>0</v>
      </c>
      <c r="BM9" s="61">
        <f>-'5C1AD_Greater'!AY9</f>
        <v>41</v>
      </c>
      <c r="BN9" s="61">
        <f>-'5C1AE_Noble Minds'!AY9</f>
        <v>0</v>
      </c>
      <c r="BO9" s="61">
        <f>-'5C1AF_JCFA-Laf'!AY9</f>
        <v>0</v>
      </c>
      <c r="BP9" s="61">
        <f>-'5C1AG_Collegiate'!AY9</f>
        <v>0</v>
      </c>
      <c r="BQ9" s="61">
        <f>-'5C1AH_BRUP'!AY9</f>
        <v>0</v>
      </c>
      <c r="BR9" s="61">
        <f>-'5C1AI_Harmony'!$AY9</f>
        <v>0</v>
      </c>
      <c r="BS9" s="61">
        <f>-'5C1AJ_Athlos'!$AY9</f>
        <v>0</v>
      </c>
      <c r="BT9" s="61">
        <f>-'5C1AK_NxtGen'!$AY9</f>
        <v>0</v>
      </c>
      <c r="BU9" s="61">
        <f>-'5C1AL_Red River'!$AY9</f>
        <v>0</v>
      </c>
      <c r="BV9" s="61">
        <f>-'5C2_LAVCA'!AZ9</f>
        <v>109</v>
      </c>
      <c r="BW9" s="61">
        <f>-'5C3_UnvView'!AZ9</f>
        <v>204</v>
      </c>
      <c r="BX9" s="61">
        <f t="shared" si="5"/>
        <v>312</v>
      </c>
      <c r="BY9" s="371">
        <f t="shared" si="6"/>
        <v>9622461</v>
      </c>
    </row>
    <row r="10" spans="1:77" s="7" customFormat="1" ht="15.75" customHeight="1" x14ac:dyDescent="0.2">
      <c r="A10" s="368">
        <v>4</v>
      </c>
      <c r="B10" s="369" t="s">
        <v>8</v>
      </c>
      <c r="C10" s="61">
        <f>'2_State Distrib and Adjs'!AZ10</f>
        <v>1671058</v>
      </c>
      <c r="D10" s="61">
        <f>-'5A3_OJJ'!S10</f>
        <v>0</v>
      </c>
      <c r="E10" s="61"/>
      <c r="F10" s="61">
        <f>-'5C1A_Madison'!AS10</f>
        <v>0</v>
      </c>
      <c r="G10" s="61">
        <f>-'5C1B_DArbonne'!AS10</f>
        <v>0</v>
      </c>
      <c r="H10" s="61">
        <f>-'5C1C_Intl High'!AS10</f>
        <v>0</v>
      </c>
      <c r="I10" s="61">
        <f>-'5C1D_NOMMA'!AS10</f>
        <v>0</v>
      </c>
      <c r="J10" s="61">
        <f>-'5C1E_LFNO'!AS10</f>
        <v>0</v>
      </c>
      <c r="K10" s="61">
        <f>-'5C1F_L.C. Charter'!AS10</f>
        <v>0</v>
      </c>
      <c r="L10" s="61">
        <f>-'5C1G_JS Clark'!AS10</f>
        <v>0</v>
      </c>
      <c r="M10" s="61">
        <f>-'5C1H_Southwest'!AS10</f>
        <v>0</v>
      </c>
      <c r="N10" s="61">
        <f>-'5C1I_LA Key'!AS10</f>
        <v>0</v>
      </c>
      <c r="O10" s="61">
        <f>-'5C1J_JCFA-East'!AS10</f>
        <v>0</v>
      </c>
      <c r="P10" s="61">
        <f>-'5C1M_GEO Mid'!AS10</f>
        <v>0</v>
      </c>
      <c r="Q10" s="61">
        <f>-'5C1N_Delta'!AS10</f>
        <v>0</v>
      </c>
      <c r="R10" s="61">
        <f>-'5C1O_Impact'!AS10</f>
        <v>0</v>
      </c>
      <c r="S10" s="61">
        <f>-'5C1Q_Advantage'!AS10</f>
        <v>0</v>
      </c>
      <c r="T10" s="61">
        <f>-'5C1R_Iberville'!AS10</f>
        <v>-4513</v>
      </c>
      <c r="U10" s="61">
        <f>-'5C1S_LC Col Prep'!AS10</f>
        <v>0</v>
      </c>
      <c r="V10" s="61">
        <f>-'5C1T_Northeast'!AS10</f>
        <v>0</v>
      </c>
      <c r="W10" s="61">
        <f>-'5C1U_Acadiana Ren'!AS10</f>
        <v>0</v>
      </c>
      <c r="X10" s="61">
        <f>-'5C1V_Laf Ren'!AS10</f>
        <v>0</v>
      </c>
      <c r="Y10" s="61">
        <f>-'5C1W_Willow'!AS10</f>
        <v>0</v>
      </c>
      <c r="Z10" s="61">
        <f>-'5C1Y_GEO'!AS10</f>
        <v>0</v>
      </c>
      <c r="AA10" s="61">
        <f>-'5C1Z_Lincoln Prep'!AS10</f>
        <v>0</v>
      </c>
      <c r="AB10" s="61">
        <f>-'5C1AD_Greater'!$AS10</f>
        <v>0</v>
      </c>
      <c r="AC10" s="61">
        <f>-'5C1AE_Noble Minds'!$AS10</f>
        <v>0</v>
      </c>
      <c r="AD10" s="61">
        <f>-'5C1AF_JCFA-Laf'!$AS10</f>
        <v>0</v>
      </c>
      <c r="AE10" s="61">
        <f>-'5C1AG_Collegiate'!$AS10</f>
        <v>0</v>
      </c>
      <c r="AF10" s="61">
        <f>-'5C1AH_BRUP'!$AS10</f>
        <v>0</v>
      </c>
      <c r="AG10" s="61">
        <f>-'5C1AI_Harmony'!$AS10</f>
        <v>0</v>
      </c>
      <c r="AH10" s="61">
        <f>-'5C1AJ_Athlos'!$AS10</f>
        <v>0</v>
      </c>
      <c r="AI10" s="61">
        <f>-'5C1AK_NxtGen'!$AS10</f>
        <v>0</v>
      </c>
      <c r="AJ10" s="61">
        <f>-'5C1AL_Red River'!$AS10</f>
        <v>0</v>
      </c>
      <c r="AK10" s="61">
        <f>-'5C2_LAVCA'!AT10</f>
        <v>-2813</v>
      </c>
      <c r="AL10" s="61">
        <f>-'5C3_UnvView'!AT10</f>
        <v>714</v>
      </c>
      <c r="AM10" s="370">
        <f t="shared" si="3"/>
        <v>-6612</v>
      </c>
      <c r="AN10" s="371">
        <f t="shared" si="4"/>
        <v>1664446</v>
      </c>
      <c r="AO10" s="61"/>
      <c r="AP10" s="61"/>
      <c r="AQ10" s="61">
        <f>-'5C1A_Madison'!AY10</f>
        <v>0</v>
      </c>
      <c r="AR10" s="61">
        <f>-'5C1B_DArbonne'!AY10</f>
        <v>0</v>
      </c>
      <c r="AS10" s="61">
        <f>-'5C1C_Intl High'!AY10</f>
        <v>0</v>
      </c>
      <c r="AT10" s="61">
        <f>-'5C1D_NOMMA'!AY10</f>
        <v>0</v>
      </c>
      <c r="AU10" s="61">
        <f>-'5C1E_LFNO'!AY10</f>
        <v>0</v>
      </c>
      <c r="AV10" s="61">
        <f>-'5C1F_L.C. Charter'!AY10</f>
        <v>0</v>
      </c>
      <c r="AW10" s="61">
        <f>-'5C1G_JS Clark'!AY10</f>
        <v>0</v>
      </c>
      <c r="AX10" s="61">
        <f>-'5C1H_Southwest'!AY10</f>
        <v>0</v>
      </c>
      <c r="AY10" s="61">
        <f>-'5C1I_LA Key'!AY10</f>
        <v>0</v>
      </c>
      <c r="AZ10" s="61">
        <f>-'5C1J_JCFA-East'!AY10</f>
        <v>0</v>
      </c>
      <c r="BA10" s="61">
        <f>-'5C1M_GEO Mid'!AY10</f>
        <v>0</v>
      </c>
      <c r="BB10" s="61">
        <f>-'5C1N_Delta'!AY10</f>
        <v>0</v>
      </c>
      <c r="BC10" s="61">
        <f>-'5C1O_Impact'!AY10</f>
        <v>0</v>
      </c>
      <c r="BD10" s="61">
        <f>-'5C1Q_Advantage'!AY10</f>
        <v>0</v>
      </c>
      <c r="BE10" s="61">
        <f>-'5C1R_Iberville'!AY10</f>
        <v>-56</v>
      </c>
      <c r="BF10" s="61">
        <f>-'5C1S_LC Col Prep'!AY10</f>
        <v>0</v>
      </c>
      <c r="BG10" s="61">
        <f>-'5C1T_Northeast'!AY10</f>
        <v>0</v>
      </c>
      <c r="BH10" s="61">
        <f>-'5C1U_Acadiana Ren'!AY10</f>
        <v>0</v>
      </c>
      <c r="BI10" s="61">
        <f>-'5C1V_Laf Ren'!AY10</f>
        <v>0</v>
      </c>
      <c r="BJ10" s="61">
        <f>-'5C1W_Willow'!AY10</f>
        <v>0</v>
      </c>
      <c r="BK10" s="61">
        <f>-'5C1Y_GEO'!AY10</f>
        <v>0</v>
      </c>
      <c r="BL10" s="61">
        <f>-'5C1Z_Lincoln Prep'!AY10</f>
        <v>0</v>
      </c>
      <c r="BM10" s="61">
        <f>-'5C1AD_Greater'!AY10</f>
        <v>0</v>
      </c>
      <c r="BN10" s="61">
        <f>-'5C1AE_Noble Minds'!AY10</f>
        <v>0</v>
      </c>
      <c r="BO10" s="61">
        <f>-'5C1AF_JCFA-Laf'!AY10</f>
        <v>0</v>
      </c>
      <c r="BP10" s="61">
        <f>-'5C1AG_Collegiate'!AY10</f>
        <v>0</v>
      </c>
      <c r="BQ10" s="61">
        <f>-'5C1AH_BRUP'!AY10</f>
        <v>0</v>
      </c>
      <c r="BR10" s="61">
        <f>-'5C1AI_Harmony'!$AY10</f>
        <v>0</v>
      </c>
      <c r="BS10" s="61">
        <f>-'5C1AJ_Athlos'!$AY10</f>
        <v>0</v>
      </c>
      <c r="BT10" s="61">
        <f>-'5C1AK_NxtGen'!$AY10</f>
        <v>0</v>
      </c>
      <c r="BU10" s="61">
        <f>-'5C1AL_Red River'!$AY10</f>
        <v>0</v>
      </c>
      <c r="BV10" s="61">
        <f>-'5C2_LAVCA'!AZ10</f>
        <v>9</v>
      </c>
      <c r="BW10" s="61">
        <f>-'5C3_UnvView'!AZ10</f>
        <v>49</v>
      </c>
      <c r="BX10" s="61">
        <f t="shared" si="5"/>
        <v>2</v>
      </c>
      <c r="BY10" s="371">
        <f t="shared" si="6"/>
        <v>1664448</v>
      </c>
    </row>
    <row r="11" spans="1:77" s="7" customFormat="1" ht="15.75" customHeight="1" x14ac:dyDescent="0.2">
      <c r="A11" s="358">
        <v>5</v>
      </c>
      <c r="B11" s="359" t="s">
        <v>9</v>
      </c>
      <c r="C11" s="360">
        <f>'2_State Distrib and Adjs'!AZ11</f>
        <v>2430152</v>
      </c>
      <c r="D11" s="360">
        <f>-'5A3_OJJ'!S11</f>
        <v>-321</v>
      </c>
      <c r="E11" s="360"/>
      <c r="F11" s="360">
        <f>-'5C1A_Madison'!AS11</f>
        <v>0</v>
      </c>
      <c r="G11" s="360">
        <f>-'5C1B_DArbonne'!AS11</f>
        <v>0</v>
      </c>
      <c r="H11" s="360">
        <f>-'5C1C_Intl High'!AS11</f>
        <v>0</v>
      </c>
      <c r="I11" s="360">
        <f>-'5C1D_NOMMA'!AS11</f>
        <v>0</v>
      </c>
      <c r="J11" s="360">
        <f>-'5C1E_LFNO'!AS11</f>
        <v>0</v>
      </c>
      <c r="K11" s="360">
        <f>-'5C1F_L.C. Charter'!AS11</f>
        <v>370</v>
      </c>
      <c r="L11" s="360">
        <f>-'5C1G_JS Clark'!AS11</f>
        <v>0</v>
      </c>
      <c r="M11" s="360">
        <f>-'5C1H_Southwest'!AS11</f>
        <v>0</v>
      </c>
      <c r="N11" s="360">
        <f>-'5C1I_LA Key'!AS11</f>
        <v>0</v>
      </c>
      <c r="O11" s="360">
        <f>-'5C1J_JCFA-East'!AS11</f>
        <v>0</v>
      </c>
      <c r="P11" s="360">
        <f>-'5C1M_GEO Mid'!AS11</f>
        <v>0</v>
      </c>
      <c r="Q11" s="360">
        <f>-'5C1N_Delta'!AS11</f>
        <v>0</v>
      </c>
      <c r="R11" s="360">
        <f>-'5C1O_Impact'!AS11</f>
        <v>0</v>
      </c>
      <c r="S11" s="360">
        <f>-'5C1Q_Advantage'!AS11</f>
        <v>0</v>
      </c>
      <c r="T11" s="360">
        <f>-'5C1R_Iberville'!AS11</f>
        <v>0</v>
      </c>
      <c r="U11" s="360">
        <f>-'5C1S_LC Col Prep'!AS11</f>
        <v>0</v>
      </c>
      <c r="V11" s="360">
        <f>-'5C1T_Northeast'!AS11</f>
        <v>0</v>
      </c>
      <c r="W11" s="360">
        <f>-'5C1U_Acadiana Ren'!AS11</f>
        <v>0</v>
      </c>
      <c r="X11" s="360">
        <f>-'5C1V_Laf Ren'!AS11</f>
        <v>0</v>
      </c>
      <c r="Y11" s="360">
        <f>-'5C1W_Willow'!AS11</f>
        <v>0</v>
      </c>
      <c r="Z11" s="360">
        <f>-'5C1Y_GEO'!AS11</f>
        <v>0</v>
      </c>
      <c r="AA11" s="360">
        <f>-'5C1Z_Lincoln Prep'!AS11</f>
        <v>0</v>
      </c>
      <c r="AB11" s="360">
        <f>-'5C1AD_Greater'!$AS11</f>
        <v>0</v>
      </c>
      <c r="AC11" s="360">
        <f>-'5C1AE_Noble Minds'!$AS11</f>
        <v>0</v>
      </c>
      <c r="AD11" s="360">
        <f>-'5C1AF_JCFA-Laf'!$AS11</f>
        <v>0</v>
      </c>
      <c r="AE11" s="360">
        <f>-'5C1AG_Collegiate'!$AS11</f>
        <v>0</v>
      </c>
      <c r="AF11" s="360">
        <f>-'5C1AH_BRUP'!$AS11</f>
        <v>0</v>
      </c>
      <c r="AG11" s="657">
        <f>-'5C1AI_Harmony'!$AS11</f>
        <v>0</v>
      </c>
      <c r="AH11" s="657">
        <f>-'5C1AJ_Athlos'!$AS11</f>
        <v>0</v>
      </c>
      <c r="AI11" s="892">
        <f>-'5C1AK_NxtGen'!$AS11</f>
        <v>0</v>
      </c>
      <c r="AJ11" s="892">
        <f>-'5C1AL_Red River'!$AS11</f>
        <v>-36657</v>
      </c>
      <c r="AK11" s="360">
        <f>-'5C2_LAVCA'!AT11</f>
        <v>-2939</v>
      </c>
      <c r="AL11" s="360">
        <f>-'5C3_UnvView'!AT11</f>
        <v>-9140</v>
      </c>
      <c r="AM11" s="361">
        <f t="shared" si="3"/>
        <v>-48687</v>
      </c>
      <c r="AN11" s="362">
        <f t="shared" si="4"/>
        <v>2381465</v>
      </c>
      <c r="AO11" s="360"/>
      <c r="AP11" s="360"/>
      <c r="AQ11" s="360">
        <f>-'5C1A_Madison'!AY11</f>
        <v>0</v>
      </c>
      <c r="AR11" s="360">
        <f>-'5C1B_DArbonne'!AY11</f>
        <v>0</v>
      </c>
      <c r="AS11" s="360">
        <f>-'5C1C_Intl High'!AY11</f>
        <v>0</v>
      </c>
      <c r="AT11" s="360">
        <f>-'5C1D_NOMMA'!AY11</f>
        <v>0</v>
      </c>
      <c r="AU11" s="360">
        <f>-'5C1E_LFNO'!AY11</f>
        <v>0</v>
      </c>
      <c r="AV11" s="360">
        <f>-'5C1F_L.C. Charter'!AY11</f>
        <v>6</v>
      </c>
      <c r="AW11" s="360">
        <f>-'5C1G_JS Clark'!AY11</f>
        <v>0</v>
      </c>
      <c r="AX11" s="360">
        <f>-'5C1H_Southwest'!AY11</f>
        <v>0</v>
      </c>
      <c r="AY11" s="360">
        <f>-'5C1I_LA Key'!AY11</f>
        <v>0</v>
      </c>
      <c r="AZ11" s="360">
        <f>-'5C1J_JCFA-East'!AY11</f>
        <v>0</v>
      </c>
      <c r="BA11" s="360">
        <f>-'5C1M_GEO Mid'!AY11</f>
        <v>0</v>
      </c>
      <c r="BB11" s="360">
        <f>-'5C1N_Delta'!AY11</f>
        <v>0</v>
      </c>
      <c r="BC11" s="360">
        <f>-'5C1O_Impact'!AY11</f>
        <v>0</v>
      </c>
      <c r="BD11" s="360">
        <f>-'5C1Q_Advantage'!AY11</f>
        <v>0</v>
      </c>
      <c r="BE11" s="360">
        <f>-'5C1R_Iberville'!AY11</f>
        <v>0</v>
      </c>
      <c r="BF11" s="360">
        <f>-'5C1S_LC Col Prep'!AY11</f>
        <v>0</v>
      </c>
      <c r="BG11" s="360">
        <f>-'5C1T_Northeast'!AY11</f>
        <v>0</v>
      </c>
      <c r="BH11" s="360">
        <f>-'5C1U_Acadiana Ren'!AY11</f>
        <v>0</v>
      </c>
      <c r="BI11" s="360">
        <f>-'5C1V_Laf Ren'!AY11</f>
        <v>0</v>
      </c>
      <c r="BJ11" s="360">
        <f>-'5C1W_Willow'!AY11</f>
        <v>0</v>
      </c>
      <c r="BK11" s="360">
        <f>-'5C1Y_GEO'!AY11</f>
        <v>0</v>
      </c>
      <c r="BL11" s="360">
        <f>-'5C1Z_Lincoln Prep'!AY11</f>
        <v>0</v>
      </c>
      <c r="BM11" s="360">
        <f>-'5C1AD_Greater'!AY11</f>
        <v>0</v>
      </c>
      <c r="BN11" s="360">
        <f>-'5C1AE_Noble Minds'!AY11</f>
        <v>0</v>
      </c>
      <c r="BO11" s="360">
        <f>-'5C1AF_JCFA-Laf'!AY11</f>
        <v>0</v>
      </c>
      <c r="BP11" s="360">
        <f>-'5C1AG_Collegiate'!AY11</f>
        <v>0</v>
      </c>
      <c r="BQ11" s="360">
        <f>-'5C1AH_BRUP'!AY11</f>
        <v>0</v>
      </c>
      <c r="BR11" s="657">
        <f>-'5C1AI_Harmony'!$AY11</f>
        <v>0</v>
      </c>
      <c r="BS11" s="657">
        <f>-'5C1AJ_Athlos'!$AY11</f>
        <v>0</v>
      </c>
      <c r="BT11" s="892">
        <f>-'5C1AK_NxtGen'!$AY11</f>
        <v>0</v>
      </c>
      <c r="BU11" s="892">
        <f>-'5C1AL_Red River'!$AY11</f>
        <v>-4</v>
      </c>
      <c r="BV11" s="360">
        <f>-'5C2_LAVCA'!AZ11</f>
        <v>15</v>
      </c>
      <c r="BW11" s="360">
        <f>-'5C3_UnvView'!AZ11</f>
        <v>-30</v>
      </c>
      <c r="BX11" s="360">
        <f t="shared" si="5"/>
        <v>-13</v>
      </c>
      <c r="BY11" s="362">
        <f t="shared" si="6"/>
        <v>2381452</v>
      </c>
    </row>
    <row r="12" spans="1:77" s="7" customFormat="1" ht="15.75" customHeight="1" x14ac:dyDescent="0.2">
      <c r="A12" s="368">
        <v>6</v>
      </c>
      <c r="B12" s="369" t="s">
        <v>10</v>
      </c>
      <c r="C12" s="61">
        <f>'2_State Distrib and Adjs'!AZ12</f>
        <v>3104381</v>
      </c>
      <c r="D12" s="61">
        <f>-'5A3_OJJ'!S12</f>
        <v>-156</v>
      </c>
      <c r="E12" s="61"/>
      <c r="F12" s="61">
        <f>-'5C1A_Madison'!AS12</f>
        <v>0</v>
      </c>
      <c r="G12" s="61">
        <f>-'5C1B_DArbonne'!AS12</f>
        <v>0</v>
      </c>
      <c r="H12" s="61">
        <f>-'5C1C_Intl High'!AS12</f>
        <v>0</v>
      </c>
      <c r="I12" s="61">
        <f>-'5C1D_NOMMA'!AS12</f>
        <v>0</v>
      </c>
      <c r="J12" s="61">
        <f>-'5C1E_LFNO'!AS12</f>
        <v>0</v>
      </c>
      <c r="K12" s="61">
        <f>-'5C1F_L.C. Charter'!AS12</f>
        <v>0</v>
      </c>
      <c r="L12" s="61">
        <f>-'5C1G_JS Clark'!AS12</f>
        <v>0</v>
      </c>
      <c r="M12" s="61">
        <f>-'5C1H_Southwest'!AS12</f>
        <v>0</v>
      </c>
      <c r="N12" s="61">
        <f>-'5C1I_LA Key'!AS12</f>
        <v>0</v>
      </c>
      <c r="O12" s="61">
        <f>-'5C1J_JCFA-East'!AS12</f>
        <v>0</v>
      </c>
      <c r="P12" s="61">
        <f>-'5C1M_GEO Mid'!AS12</f>
        <v>0</v>
      </c>
      <c r="Q12" s="61">
        <f>-'5C1N_Delta'!AS12</f>
        <v>0</v>
      </c>
      <c r="R12" s="61">
        <f>-'5C1O_Impact'!AS12</f>
        <v>0</v>
      </c>
      <c r="S12" s="61">
        <f>-'5C1Q_Advantage'!AS12</f>
        <v>0</v>
      </c>
      <c r="T12" s="61">
        <f>-'5C1R_Iberville'!AS12</f>
        <v>0</v>
      </c>
      <c r="U12" s="61">
        <f>-'5C1S_LC Col Prep'!AS12</f>
        <v>0</v>
      </c>
      <c r="V12" s="61">
        <f>-'5C1T_Northeast'!AS12</f>
        <v>0</v>
      </c>
      <c r="W12" s="61">
        <f>-'5C1U_Acadiana Ren'!AS12</f>
        <v>0</v>
      </c>
      <c r="X12" s="61">
        <f>-'5C1V_Laf Ren'!AS12</f>
        <v>0</v>
      </c>
      <c r="Y12" s="61">
        <f>-'5C1W_Willow'!AS12</f>
        <v>0</v>
      </c>
      <c r="Z12" s="61">
        <f>-'5C1Y_GEO'!AS12</f>
        <v>0</v>
      </c>
      <c r="AA12" s="61">
        <f>-'5C1Z_Lincoln Prep'!AS12</f>
        <v>0</v>
      </c>
      <c r="AB12" s="61">
        <f>-'5C1AD_Greater'!$AS12</f>
        <v>0</v>
      </c>
      <c r="AC12" s="61">
        <f>-'5C1AE_Noble Minds'!$AS12</f>
        <v>0</v>
      </c>
      <c r="AD12" s="61">
        <f>-'5C1AF_JCFA-Laf'!$AS12</f>
        <v>0</v>
      </c>
      <c r="AE12" s="61">
        <f>-'5C1AG_Collegiate'!$AS12</f>
        <v>0</v>
      </c>
      <c r="AF12" s="61">
        <f>-'5C1AH_BRUP'!$AS12</f>
        <v>0</v>
      </c>
      <c r="AG12" s="61">
        <f>-'5C1AI_Harmony'!$AS12</f>
        <v>0</v>
      </c>
      <c r="AH12" s="61">
        <f>-'5C1AJ_Athlos'!$AS12</f>
        <v>0</v>
      </c>
      <c r="AI12" s="61">
        <f>-'5C1AK_NxtGen'!$AS12</f>
        <v>0</v>
      </c>
      <c r="AJ12" s="61">
        <f>-'5C1AL_Red River'!$AS12</f>
        <v>0</v>
      </c>
      <c r="AK12" s="61">
        <f>-'5C2_LAVCA'!AT12</f>
        <v>-15715</v>
      </c>
      <c r="AL12" s="61">
        <f>-'5C3_UnvView'!AT12</f>
        <v>-7379</v>
      </c>
      <c r="AM12" s="370">
        <f t="shared" si="3"/>
        <v>-23250</v>
      </c>
      <c r="AN12" s="371">
        <f t="shared" si="4"/>
        <v>3081131</v>
      </c>
      <c r="AO12" s="61"/>
      <c r="AP12" s="61"/>
      <c r="AQ12" s="61">
        <f>-'5C1A_Madison'!AY12</f>
        <v>0</v>
      </c>
      <c r="AR12" s="61">
        <f>-'5C1B_DArbonne'!AY12</f>
        <v>0</v>
      </c>
      <c r="AS12" s="61">
        <f>-'5C1C_Intl High'!AY12</f>
        <v>0</v>
      </c>
      <c r="AT12" s="61">
        <f>-'5C1D_NOMMA'!AY12</f>
        <v>0</v>
      </c>
      <c r="AU12" s="61">
        <f>-'5C1E_LFNO'!AY12</f>
        <v>0</v>
      </c>
      <c r="AV12" s="61">
        <f>-'5C1F_L.C. Charter'!AY12</f>
        <v>0</v>
      </c>
      <c r="AW12" s="61">
        <f>-'5C1G_JS Clark'!AY12</f>
        <v>0</v>
      </c>
      <c r="AX12" s="61">
        <f>-'5C1H_Southwest'!AY12</f>
        <v>0</v>
      </c>
      <c r="AY12" s="61">
        <f>-'5C1I_LA Key'!AY12</f>
        <v>0</v>
      </c>
      <c r="AZ12" s="61">
        <f>-'5C1J_JCFA-East'!AY12</f>
        <v>0</v>
      </c>
      <c r="BA12" s="61">
        <f>-'5C1M_GEO Mid'!AY12</f>
        <v>0</v>
      </c>
      <c r="BB12" s="61">
        <f>-'5C1N_Delta'!AY12</f>
        <v>0</v>
      </c>
      <c r="BC12" s="61">
        <f>-'5C1O_Impact'!AY12</f>
        <v>0</v>
      </c>
      <c r="BD12" s="61">
        <f>-'5C1Q_Advantage'!AY12</f>
        <v>0</v>
      </c>
      <c r="BE12" s="61">
        <f>-'5C1R_Iberville'!AY12</f>
        <v>0</v>
      </c>
      <c r="BF12" s="61">
        <f>-'5C1S_LC Col Prep'!AY12</f>
        <v>0</v>
      </c>
      <c r="BG12" s="61">
        <f>-'5C1T_Northeast'!AY12</f>
        <v>0</v>
      </c>
      <c r="BH12" s="61">
        <f>-'5C1U_Acadiana Ren'!AY12</f>
        <v>0</v>
      </c>
      <c r="BI12" s="61">
        <f>-'5C1V_Laf Ren'!AY12</f>
        <v>0</v>
      </c>
      <c r="BJ12" s="61">
        <f>-'5C1W_Willow'!AY12</f>
        <v>0</v>
      </c>
      <c r="BK12" s="61">
        <f>-'5C1Y_GEO'!AY12</f>
        <v>0</v>
      </c>
      <c r="BL12" s="61">
        <f>-'5C1Z_Lincoln Prep'!AY12</f>
        <v>0</v>
      </c>
      <c r="BM12" s="61">
        <f>-'5C1AD_Greater'!AY12</f>
        <v>0</v>
      </c>
      <c r="BN12" s="61">
        <f>-'5C1AE_Noble Minds'!AY12</f>
        <v>0</v>
      </c>
      <c r="BO12" s="61">
        <f>-'5C1AF_JCFA-Laf'!AY12</f>
        <v>0</v>
      </c>
      <c r="BP12" s="61">
        <f>-'5C1AG_Collegiate'!AY12</f>
        <v>0</v>
      </c>
      <c r="BQ12" s="61">
        <f>-'5C1AH_BRUP'!AY12</f>
        <v>0</v>
      </c>
      <c r="BR12" s="61">
        <f>-'5C1AI_Harmony'!$AY12</f>
        <v>0</v>
      </c>
      <c r="BS12" s="61">
        <f>-'5C1AJ_Athlos'!$AY12</f>
        <v>0</v>
      </c>
      <c r="BT12" s="61">
        <f>-'5C1AK_NxtGen'!$AY12</f>
        <v>0</v>
      </c>
      <c r="BU12" s="61">
        <f>-'5C1AL_Red River'!$AY12</f>
        <v>0</v>
      </c>
      <c r="BV12" s="61">
        <f>-'5C2_LAVCA'!AZ12</f>
        <v>-107</v>
      </c>
      <c r="BW12" s="61">
        <f>-'5C3_UnvView'!AZ12</f>
        <v>-49</v>
      </c>
      <c r="BX12" s="61">
        <f t="shared" si="5"/>
        <v>-156</v>
      </c>
      <c r="BY12" s="371">
        <f t="shared" si="6"/>
        <v>3080975</v>
      </c>
    </row>
    <row r="13" spans="1:77" s="7" customFormat="1" ht="15.75" customHeight="1" x14ac:dyDescent="0.2">
      <c r="A13" s="368">
        <v>7</v>
      </c>
      <c r="B13" s="369" t="s">
        <v>11</v>
      </c>
      <c r="C13" s="61">
        <f>'2_State Distrib and Adjs'!AZ13</f>
        <v>708771</v>
      </c>
      <c r="D13" s="61">
        <f>-'5A3_OJJ'!S13</f>
        <v>-462</v>
      </c>
      <c r="E13" s="61"/>
      <c r="F13" s="61">
        <f>-'5C1A_Madison'!AS13</f>
        <v>0</v>
      </c>
      <c r="G13" s="61">
        <f>-'5C1B_DArbonne'!AS13</f>
        <v>-1970</v>
      </c>
      <c r="H13" s="61">
        <f>-'5C1C_Intl High'!AS13</f>
        <v>0</v>
      </c>
      <c r="I13" s="61">
        <f>-'5C1D_NOMMA'!AS13</f>
        <v>0</v>
      </c>
      <c r="J13" s="61">
        <f>-'5C1E_LFNO'!AS13</f>
        <v>0</v>
      </c>
      <c r="K13" s="61">
        <f>-'5C1F_L.C. Charter'!AS13</f>
        <v>0</v>
      </c>
      <c r="L13" s="61">
        <f>-'5C1G_JS Clark'!AS13</f>
        <v>0</v>
      </c>
      <c r="M13" s="61">
        <f>-'5C1H_Southwest'!AS13</f>
        <v>0</v>
      </c>
      <c r="N13" s="61">
        <f>-'5C1I_LA Key'!AS13</f>
        <v>0</v>
      </c>
      <c r="O13" s="61">
        <f>-'5C1J_JCFA-East'!AS13</f>
        <v>0</v>
      </c>
      <c r="P13" s="61">
        <f>-'5C1M_GEO Mid'!AS13</f>
        <v>0</v>
      </c>
      <c r="Q13" s="61">
        <f>-'5C1N_Delta'!AS13</f>
        <v>0</v>
      </c>
      <c r="R13" s="61">
        <f>-'5C1O_Impact'!AS13</f>
        <v>0</v>
      </c>
      <c r="S13" s="61">
        <f>-'5C1Q_Advantage'!AS13</f>
        <v>0</v>
      </c>
      <c r="T13" s="61">
        <f>-'5C1R_Iberville'!AS13</f>
        <v>0</v>
      </c>
      <c r="U13" s="61">
        <f>-'5C1S_LC Col Prep'!AS13</f>
        <v>0</v>
      </c>
      <c r="V13" s="61">
        <f>-'5C1T_Northeast'!AS13</f>
        <v>0</v>
      </c>
      <c r="W13" s="61">
        <f>-'5C1U_Acadiana Ren'!AS13</f>
        <v>0</v>
      </c>
      <c r="X13" s="61">
        <f>-'5C1V_Laf Ren'!AS13</f>
        <v>0</v>
      </c>
      <c r="Y13" s="61">
        <f>-'5C1W_Willow'!AS13</f>
        <v>0</v>
      </c>
      <c r="Z13" s="61">
        <f>-'5C1Y_GEO'!AS13</f>
        <v>0</v>
      </c>
      <c r="AA13" s="61">
        <f>-'5C1Z_Lincoln Prep'!AS13</f>
        <v>-39395</v>
      </c>
      <c r="AB13" s="61">
        <f>-'5C1AD_Greater'!$AS13</f>
        <v>0</v>
      </c>
      <c r="AC13" s="61">
        <f>-'5C1AE_Noble Minds'!$AS13</f>
        <v>0</v>
      </c>
      <c r="AD13" s="61">
        <f>-'5C1AF_JCFA-Laf'!$AS13</f>
        <v>0</v>
      </c>
      <c r="AE13" s="61">
        <f>-'5C1AG_Collegiate'!$AS13</f>
        <v>0</v>
      </c>
      <c r="AF13" s="61">
        <f>-'5C1AH_BRUP'!$AS13</f>
        <v>0</v>
      </c>
      <c r="AG13" s="61">
        <f>-'5C1AI_Harmony'!$AS13</f>
        <v>0</v>
      </c>
      <c r="AH13" s="61">
        <f>-'5C1AJ_Athlos'!$AS13</f>
        <v>0</v>
      </c>
      <c r="AI13" s="61">
        <f>-'5C1AK_NxtGen'!$AS13</f>
        <v>0</v>
      </c>
      <c r="AJ13" s="61">
        <f>-'5C1AL_Red River'!$AS13</f>
        <v>0</v>
      </c>
      <c r="AK13" s="61">
        <f>-'5C2_LAVCA'!AT13</f>
        <v>3633</v>
      </c>
      <c r="AL13" s="61">
        <f>-'5C3_UnvView'!AT13</f>
        <v>-11909</v>
      </c>
      <c r="AM13" s="370">
        <f t="shared" si="3"/>
        <v>-50103</v>
      </c>
      <c r="AN13" s="371">
        <f t="shared" si="4"/>
        <v>658668</v>
      </c>
      <c r="AO13" s="61"/>
      <c r="AP13" s="61"/>
      <c r="AQ13" s="61">
        <f>-'5C1A_Madison'!AY13</f>
        <v>0</v>
      </c>
      <c r="AR13" s="61">
        <f>-'5C1B_DArbonne'!AY13</f>
        <v>1</v>
      </c>
      <c r="AS13" s="61">
        <f>-'5C1C_Intl High'!AY13</f>
        <v>0</v>
      </c>
      <c r="AT13" s="61">
        <f>-'5C1D_NOMMA'!AY13</f>
        <v>0</v>
      </c>
      <c r="AU13" s="61">
        <f>-'5C1E_LFNO'!AY13</f>
        <v>0</v>
      </c>
      <c r="AV13" s="61">
        <f>-'5C1F_L.C. Charter'!AY13</f>
        <v>0</v>
      </c>
      <c r="AW13" s="61">
        <f>-'5C1G_JS Clark'!AY13</f>
        <v>0</v>
      </c>
      <c r="AX13" s="61">
        <f>-'5C1H_Southwest'!AY13</f>
        <v>0</v>
      </c>
      <c r="AY13" s="61">
        <f>-'5C1I_LA Key'!AY13</f>
        <v>0</v>
      </c>
      <c r="AZ13" s="61">
        <f>-'5C1J_JCFA-East'!AY13</f>
        <v>0</v>
      </c>
      <c r="BA13" s="61">
        <f>-'5C1M_GEO Mid'!AY13</f>
        <v>0</v>
      </c>
      <c r="BB13" s="61">
        <f>-'5C1N_Delta'!AY13</f>
        <v>0</v>
      </c>
      <c r="BC13" s="61">
        <f>-'5C1O_Impact'!AY13</f>
        <v>0</v>
      </c>
      <c r="BD13" s="61">
        <f>-'5C1Q_Advantage'!AY13</f>
        <v>0</v>
      </c>
      <c r="BE13" s="61">
        <f>-'5C1R_Iberville'!AY13</f>
        <v>0</v>
      </c>
      <c r="BF13" s="61">
        <f>-'5C1S_LC Col Prep'!AY13</f>
        <v>0</v>
      </c>
      <c r="BG13" s="61">
        <f>-'5C1T_Northeast'!AY13</f>
        <v>0</v>
      </c>
      <c r="BH13" s="61">
        <f>-'5C1U_Acadiana Ren'!AY13</f>
        <v>0</v>
      </c>
      <c r="BI13" s="61">
        <f>-'5C1V_Laf Ren'!AY13</f>
        <v>0</v>
      </c>
      <c r="BJ13" s="61">
        <f>-'5C1W_Willow'!AY13</f>
        <v>0</v>
      </c>
      <c r="BK13" s="61">
        <f>-'5C1Y_GEO'!AY13</f>
        <v>0</v>
      </c>
      <c r="BL13" s="61">
        <f>-'5C1Z_Lincoln Prep'!AY13</f>
        <v>21</v>
      </c>
      <c r="BM13" s="61">
        <f>-'5C1AD_Greater'!AY13</f>
        <v>0</v>
      </c>
      <c r="BN13" s="61">
        <f>-'5C1AE_Noble Minds'!AY13</f>
        <v>0</v>
      </c>
      <c r="BO13" s="61">
        <f>-'5C1AF_JCFA-Laf'!AY13</f>
        <v>0</v>
      </c>
      <c r="BP13" s="61">
        <f>-'5C1AG_Collegiate'!AY13</f>
        <v>0</v>
      </c>
      <c r="BQ13" s="61">
        <f>-'5C1AH_BRUP'!AY13</f>
        <v>0</v>
      </c>
      <c r="BR13" s="61">
        <f>-'5C1AI_Harmony'!$AY13</f>
        <v>0</v>
      </c>
      <c r="BS13" s="61">
        <f>-'5C1AJ_Athlos'!$AY13</f>
        <v>0</v>
      </c>
      <c r="BT13" s="61">
        <f>-'5C1AK_NxtGen'!$AY13</f>
        <v>0</v>
      </c>
      <c r="BU13" s="61">
        <f>-'5C1AL_Red River'!$AY13</f>
        <v>0</v>
      </c>
      <c r="BV13" s="61">
        <f>-'5C2_LAVCA'!AZ13</f>
        <v>158</v>
      </c>
      <c r="BW13" s="61">
        <f>-'5C3_UnvView'!AZ13</f>
        <v>-110</v>
      </c>
      <c r="BX13" s="61">
        <f t="shared" si="5"/>
        <v>70</v>
      </c>
      <c r="BY13" s="371">
        <f t="shared" si="6"/>
        <v>658738</v>
      </c>
    </row>
    <row r="14" spans="1:77" s="7" customFormat="1" ht="15.75" customHeight="1" x14ac:dyDescent="0.2">
      <c r="A14" s="368">
        <v>8</v>
      </c>
      <c r="B14" s="369" t="s">
        <v>12</v>
      </c>
      <c r="C14" s="61">
        <f>'2_State Distrib and Adjs'!AZ14</f>
        <v>11301839</v>
      </c>
      <c r="D14" s="61">
        <f>-'5A3_OJJ'!S14</f>
        <v>-793</v>
      </c>
      <c r="E14" s="61"/>
      <c r="F14" s="61">
        <f>-'5C1A_Madison'!AS14</f>
        <v>0</v>
      </c>
      <c r="G14" s="61">
        <f>-'5C1B_DArbonne'!AS14</f>
        <v>0</v>
      </c>
      <c r="H14" s="61">
        <f>-'5C1C_Intl High'!AS14</f>
        <v>0</v>
      </c>
      <c r="I14" s="61">
        <f>-'5C1D_NOMMA'!AS14</f>
        <v>0</v>
      </c>
      <c r="J14" s="61">
        <f>-'5C1E_LFNO'!AS14</f>
        <v>0</v>
      </c>
      <c r="K14" s="61">
        <f>-'5C1F_L.C. Charter'!AS14</f>
        <v>0</v>
      </c>
      <c r="L14" s="61">
        <f>-'5C1G_JS Clark'!AS14</f>
        <v>0</v>
      </c>
      <c r="M14" s="61">
        <f>-'5C1H_Southwest'!AS14</f>
        <v>0</v>
      </c>
      <c r="N14" s="61">
        <f>-'5C1I_LA Key'!AS14</f>
        <v>0</v>
      </c>
      <c r="O14" s="61">
        <f>-'5C1J_JCFA-East'!AS14</f>
        <v>0</v>
      </c>
      <c r="P14" s="61">
        <f>-'5C1M_GEO Mid'!AS14</f>
        <v>0</v>
      </c>
      <c r="Q14" s="61">
        <f>-'5C1N_Delta'!AS14</f>
        <v>0</v>
      </c>
      <c r="R14" s="61">
        <f>-'5C1O_Impact'!AS14</f>
        <v>0</v>
      </c>
      <c r="S14" s="61">
        <f>-'5C1Q_Advantage'!AS14</f>
        <v>0</v>
      </c>
      <c r="T14" s="61">
        <f>-'5C1R_Iberville'!AS14</f>
        <v>0</v>
      </c>
      <c r="U14" s="61">
        <f>-'5C1S_LC Col Prep'!AS14</f>
        <v>0</v>
      </c>
      <c r="V14" s="61">
        <f>-'5C1T_Northeast'!AS14</f>
        <v>0</v>
      </c>
      <c r="W14" s="61">
        <f>-'5C1U_Acadiana Ren'!AS14</f>
        <v>0</v>
      </c>
      <c r="X14" s="61">
        <f>-'5C1V_Laf Ren'!AS14</f>
        <v>0</v>
      </c>
      <c r="Y14" s="61">
        <f>-'5C1W_Willow'!AS14</f>
        <v>0</v>
      </c>
      <c r="Z14" s="61">
        <f>-'5C1Y_GEO'!AS14</f>
        <v>0</v>
      </c>
      <c r="AA14" s="61">
        <f>-'5C1Z_Lincoln Prep'!AS14</f>
        <v>0</v>
      </c>
      <c r="AB14" s="61">
        <f>-'5C1AD_Greater'!$AS14</f>
        <v>0</v>
      </c>
      <c r="AC14" s="61">
        <f>-'5C1AE_Noble Minds'!$AS14</f>
        <v>0</v>
      </c>
      <c r="AD14" s="61">
        <f>-'5C1AF_JCFA-Laf'!$AS14</f>
        <v>0</v>
      </c>
      <c r="AE14" s="61">
        <f>-'5C1AG_Collegiate'!$AS14</f>
        <v>0</v>
      </c>
      <c r="AF14" s="61">
        <f>-'5C1AH_BRUP'!$AS14</f>
        <v>0</v>
      </c>
      <c r="AG14" s="61">
        <f>-'5C1AI_Harmony'!$AS14</f>
        <v>0</v>
      </c>
      <c r="AH14" s="61">
        <f>-'5C1AJ_Athlos'!$AS14</f>
        <v>0</v>
      </c>
      <c r="AI14" s="61">
        <f>-'5C1AK_NxtGen'!$AS14</f>
        <v>0</v>
      </c>
      <c r="AJ14" s="61">
        <f>-'5C1AL_Red River'!$AS14</f>
        <v>0</v>
      </c>
      <c r="AK14" s="61">
        <f>-'5C2_LAVCA'!AT14</f>
        <v>-26469</v>
      </c>
      <c r="AL14" s="61">
        <f>-'5C3_UnvView'!AT14</f>
        <v>-6679</v>
      </c>
      <c r="AM14" s="370">
        <f t="shared" si="3"/>
        <v>-33941</v>
      </c>
      <c r="AN14" s="371">
        <f t="shared" si="4"/>
        <v>11267898</v>
      </c>
      <c r="AO14" s="61"/>
      <c r="AP14" s="61"/>
      <c r="AQ14" s="61">
        <f>-'5C1A_Madison'!AY14</f>
        <v>0</v>
      </c>
      <c r="AR14" s="61">
        <f>-'5C1B_DArbonne'!AY14</f>
        <v>0</v>
      </c>
      <c r="AS14" s="61">
        <f>-'5C1C_Intl High'!AY14</f>
        <v>0</v>
      </c>
      <c r="AT14" s="61">
        <f>-'5C1D_NOMMA'!AY14</f>
        <v>0</v>
      </c>
      <c r="AU14" s="61">
        <f>-'5C1E_LFNO'!AY14</f>
        <v>0</v>
      </c>
      <c r="AV14" s="61">
        <f>-'5C1F_L.C. Charter'!AY14</f>
        <v>0</v>
      </c>
      <c r="AW14" s="61">
        <f>-'5C1G_JS Clark'!AY14</f>
        <v>0</v>
      </c>
      <c r="AX14" s="61">
        <f>-'5C1H_Southwest'!AY14</f>
        <v>0</v>
      </c>
      <c r="AY14" s="61">
        <f>-'5C1I_LA Key'!AY14</f>
        <v>0</v>
      </c>
      <c r="AZ14" s="61">
        <f>-'5C1J_JCFA-East'!AY14</f>
        <v>0</v>
      </c>
      <c r="BA14" s="61">
        <f>-'5C1M_GEO Mid'!AY14</f>
        <v>0</v>
      </c>
      <c r="BB14" s="61">
        <f>-'5C1N_Delta'!AY14</f>
        <v>0</v>
      </c>
      <c r="BC14" s="61">
        <f>-'5C1O_Impact'!AY14</f>
        <v>0</v>
      </c>
      <c r="BD14" s="61">
        <f>-'5C1Q_Advantage'!AY14</f>
        <v>0</v>
      </c>
      <c r="BE14" s="61">
        <f>-'5C1R_Iberville'!AY14</f>
        <v>0</v>
      </c>
      <c r="BF14" s="61">
        <f>-'5C1S_LC Col Prep'!AY14</f>
        <v>0</v>
      </c>
      <c r="BG14" s="61">
        <f>-'5C1T_Northeast'!AY14</f>
        <v>0</v>
      </c>
      <c r="BH14" s="61">
        <f>-'5C1U_Acadiana Ren'!AY14</f>
        <v>0</v>
      </c>
      <c r="BI14" s="61">
        <f>-'5C1V_Laf Ren'!AY14</f>
        <v>0</v>
      </c>
      <c r="BJ14" s="61">
        <f>-'5C1W_Willow'!AY14</f>
        <v>0</v>
      </c>
      <c r="BK14" s="61">
        <f>-'5C1Y_GEO'!AY14</f>
        <v>0</v>
      </c>
      <c r="BL14" s="61">
        <f>-'5C1Z_Lincoln Prep'!AY14</f>
        <v>0</v>
      </c>
      <c r="BM14" s="61">
        <f>-'5C1AD_Greater'!AY14</f>
        <v>0</v>
      </c>
      <c r="BN14" s="61">
        <f>-'5C1AE_Noble Minds'!AY14</f>
        <v>0</v>
      </c>
      <c r="BO14" s="61">
        <f>-'5C1AF_JCFA-Laf'!AY14</f>
        <v>0</v>
      </c>
      <c r="BP14" s="61">
        <f>-'5C1AG_Collegiate'!AY14</f>
        <v>0</v>
      </c>
      <c r="BQ14" s="61">
        <f>-'5C1AH_BRUP'!AY14</f>
        <v>0</v>
      </c>
      <c r="BR14" s="61">
        <f>-'5C1AI_Harmony'!$AY14</f>
        <v>0</v>
      </c>
      <c r="BS14" s="61">
        <f>-'5C1AJ_Athlos'!$AY14</f>
        <v>0</v>
      </c>
      <c r="BT14" s="61">
        <f>-'5C1AK_NxtGen'!$AY14</f>
        <v>0</v>
      </c>
      <c r="BU14" s="61">
        <f>-'5C1AL_Red River'!$AY14</f>
        <v>0</v>
      </c>
      <c r="BV14" s="61">
        <f>-'5C2_LAVCA'!AZ14</f>
        <v>-14</v>
      </c>
      <c r="BW14" s="61">
        <f>-'5C3_UnvView'!AZ14</f>
        <v>103</v>
      </c>
      <c r="BX14" s="61">
        <f t="shared" si="5"/>
        <v>89</v>
      </c>
      <c r="BY14" s="371">
        <f t="shared" si="6"/>
        <v>11267987</v>
      </c>
    </row>
    <row r="15" spans="1:77" s="7" customFormat="1" ht="15.75" customHeight="1" x14ac:dyDescent="0.2">
      <c r="A15" s="368">
        <v>9</v>
      </c>
      <c r="B15" s="369" t="s">
        <v>13</v>
      </c>
      <c r="C15" s="61">
        <f>'2_State Distrib and Adjs'!AZ15</f>
        <v>16969648</v>
      </c>
      <c r="D15" s="61">
        <f>-'5A3_OJJ'!S15</f>
        <v>-7635</v>
      </c>
      <c r="E15" s="61">
        <f>-'5B2_RSD LA'!AU7</f>
        <v>-412040</v>
      </c>
      <c r="F15" s="61">
        <f>-'5C1A_Madison'!AS15</f>
        <v>0</v>
      </c>
      <c r="G15" s="61">
        <f>-'5C1B_DArbonne'!AS15</f>
        <v>0</v>
      </c>
      <c r="H15" s="61">
        <f>-'5C1C_Intl High'!AS15</f>
        <v>0</v>
      </c>
      <c r="I15" s="61">
        <f>-'5C1D_NOMMA'!AS15</f>
        <v>0</v>
      </c>
      <c r="J15" s="61">
        <f>-'5C1E_LFNO'!AS15</f>
        <v>0</v>
      </c>
      <c r="K15" s="61">
        <f>-'5C1F_L.C. Charter'!AS15</f>
        <v>0</v>
      </c>
      <c r="L15" s="61">
        <f>-'5C1G_JS Clark'!AS15</f>
        <v>0</v>
      </c>
      <c r="M15" s="61">
        <f>-'5C1H_Southwest'!AS15</f>
        <v>0</v>
      </c>
      <c r="N15" s="61">
        <f>-'5C1I_LA Key'!AS15</f>
        <v>0</v>
      </c>
      <c r="O15" s="61">
        <f>-'5C1J_JCFA-East'!AS15</f>
        <v>0</v>
      </c>
      <c r="P15" s="61">
        <f>-'5C1M_GEO Mid'!AS15</f>
        <v>0</v>
      </c>
      <c r="Q15" s="61">
        <f>-'5C1N_Delta'!AS15</f>
        <v>0</v>
      </c>
      <c r="R15" s="61">
        <f>-'5C1O_Impact'!AS15</f>
        <v>0</v>
      </c>
      <c r="S15" s="61">
        <f>-'5C1Q_Advantage'!AS15</f>
        <v>0</v>
      </c>
      <c r="T15" s="61">
        <f>-'5C1R_Iberville'!AS15</f>
        <v>0</v>
      </c>
      <c r="U15" s="61">
        <f>-'5C1S_LC Col Prep'!AS15</f>
        <v>0</v>
      </c>
      <c r="V15" s="61">
        <f>-'5C1T_Northeast'!AS15</f>
        <v>0</v>
      </c>
      <c r="W15" s="61">
        <f>-'5C1U_Acadiana Ren'!AS15</f>
        <v>0</v>
      </c>
      <c r="X15" s="61">
        <f>-'5C1V_Laf Ren'!AS15</f>
        <v>0</v>
      </c>
      <c r="Y15" s="61">
        <f>-'5C1W_Willow'!AS15</f>
        <v>0</v>
      </c>
      <c r="Z15" s="61">
        <f>-'5C1Y_GEO'!AS15</f>
        <v>0</v>
      </c>
      <c r="AA15" s="61">
        <f>-'5C1Z_Lincoln Prep'!AS15</f>
        <v>0</v>
      </c>
      <c r="AB15" s="61">
        <f>-'5C1AD_Greater'!$AS15</f>
        <v>0</v>
      </c>
      <c r="AC15" s="61">
        <f>-'5C1AE_Noble Minds'!$AS15</f>
        <v>0</v>
      </c>
      <c r="AD15" s="61">
        <f>-'5C1AF_JCFA-Laf'!$AS15</f>
        <v>0</v>
      </c>
      <c r="AE15" s="61">
        <f>-'5C1AG_Collegiate'!$AS15</f>
        <v>0</v>
      </c>
      <c r="AF15" s="61">
        <f>-'5C1AH_BRUP'!$AS15</f>
        <v>0</v>
      </c>
      <c r="AG15" s="61">
        <f>-'5C1AI_Harmony'!$AS15</f>
        <v>0</v>
      </c>
      <c r="AH15" s="61">
        <f>-'5C1AJ_Athlos'!$AS15</f>
        <v>0</v>
      </c>
      <c r="AI15" s="61">
        <f>-'5C1AK_NxtGen'!$AS15</f>
        <v>0</v>
      </c>
      <c r="AJ15" s="61">
        <f>-'5C1AL_Red River'!$AS15</f>
        <v>0</v>
      </c>
      <c r="AK15" s="61">
        <f>-'5C2_LAVCA'!AT15</f>
        <v>-65031</v>
      </c>
      <c r="AL15" s="61">
        <f>-'5C3_UnvView'!AT15</f>
        <v>-39480</v>
      </c>
      <c r="AM15" s="370">
        <f t="shared" si="3"/>
        <v>-524186</v>
      </c>
      <c r="AN15" s="371">
        <f t="shared" si="4"/>
        <v>16445462</v>
      </c>
      <c r="AO15" s="61"/>
      <c r="AP15" s="61"/>
      <c r="AQ15" s="61">
        <f>-'5C1A_Madison'!AY15</f>
        <v>0</v>
      </c>
      <c r="AR15" s="61">
        <f>-'5C1B_DArbonne'!AY15</f>
        <v>0</v>
      </c>
      <c r="AS15" s="61">
        <f>-'5C1C_Intl High'!AY15</f>
        <v>0</v>
      </c>
      <c r="AT15" s="61">
        <f>-'5C1D_NOMMA'!AY15</f>
        <v>0</v>
      </c>
      <c r="AU15" s="61">
        <f>-'5C1E_LFNO'!AY15</f>
        <v>0</v>
      </c>
      <c r="AV15" s="61">
        <f>-'5C1F_L.C. Charter'!AY15</f>
        <v>0</v>
      </c>
      <c r="AW15" s="61">
        <f>-'5C1G_JS Clark'!AY15</f>
        <v>0</v>
      </c>
      <c r="AX15" s="61">
        <f>-'5C1H_Southwest'!AY15</f>
        <v>0</v>
      </c>
      <c r="AY15" s="61">
        <f>-'5C1I_LA Key'!AY15</f>
        <v>0</v>
      </c>
      <c r="AZ15" s="61">
        <f>-'5C1J_JCFA-East'!AY15</f>
        <v>0</v>
      </c>
      <c r="BA15" s="61">
        <f>-'5C1M_GEO Mid'!AY15</f>
        <v>0</v>
      </c>
      <c r="BB15" s="61">
        <f>-'5C1N_Delta'!AY15</f>
        <v>0</v>
      </c>
      <c r="BC15" s="61">
        <f>-'5C1O_Impact'!AY15</f>
        <v>0</v>
      </c>
      <c r="BD15" s="61">
        <f>-'5C1Q_Advantage'!AY15</f>
        <v>0</v>
      </c>
      <c r="BE15" s="61">
        <f>-'5C1R_Iberville'!AY15</f>
        <v>0</v>
      </c>
      <c r="BF15" s="61">
        <f>-'5C1S_LC Col Prep'!AY15</f>
        <v>0</v>
      </c>
      <c r="BG15" s="61">
        <f>-'5C1T_Northeast'!AY15</f>
        <v>0</v>
      </c>
      <c r="BH15" s="61">
        <f>-'5C1U_Acadiana Ren'!AY15</f>
        <v>0</v>
      </c>
      <c r="BI15" s="61">
        <f>-'5C1V_Laf Ren'!AY15</f>
        <v>0</v>
      </c>
      <c r="BJ15" s="61">
        <f>-'5C1W_Willow'!AY15</f>
        <v>0</v>
      </c>
      <c r="BK15" s="61">
        <f>-'5C1Y_GEO'!AY15</f>
        <v>0</v>
      </c>
      <c r="BL15" s="61">
        <f>-'5C1Z_Lincoln Prep'!AY15</f>
        <v>0</v>
      </c>
      <c r="BM15" s="61">
        <f>-'5C1AD_Greater'!AY15</f>
        <v>0</v>
      </c>
      <c r="BN15" s="61">
        <f>-'5C1AE_Noble Minds'!AY15</f>
        <v>0</v>
      </c>
      <c r="BO15" s="61">
        <f>-'5C1AF_JCFA-Laf'!AY15</f>
        <v>0</v>
      </c>
      <c r="BP15" s="61">
        <f>-'5C1AG_Collegiate'!AY15</f>
        <v>0</v>
      </c>
      <c r="BQ15" s="61">
        <f>-'5C1AH_BRUP'!AY15</f>
        <v>0</v>
      </c>
      <c r="BR15" s="61">
        <f>-'5C1AI_Harmony'!$AY15</f>
        <v>0</v>
      </c>
      <c r="BS15" s="61">
        <f>-'5C1AJ_Athlos'!$AY15</f>
        <v>0</v>
      </c>
      <c r="BT15" s="61">
        <f>-'5C1AK_NxtGen'!$AY15</f>
        <v>0</v>
      </c>
      <c r="BU15" s="61">
        <f>-'5C1AL_Red River'!$AY15</f>
        <v>0</v>
      </c>
      <c r="BV15" s="61">
        <f>-'5C2_LAVCA'!AZ15</f>
        <v>-235</v>
      </c>
      <c r="BW15" s="61">
        <f>-'5C3_UnvView'!AZ15</f>
        <v>-121</v>
      </c>
      <c r="BX15" s="61">
        <f t="shared" si="5"/>
        <v>-356</v>
      </c>
      <c r="BY15" s="371">
        <f t="shared" si="6"/>
        <v>16445106</v>
      </c>
    </row>
    <row r="16" spans="1:77" s="7" customFormat="1" ht="15.75" customHeight="1" x14ac:dyDescent="0.2">
      <c r="A16" s="358">
        <v>10</v>
      </c>
      <c r="B16" s="359" t="s">
        <v>14</v>
      </c>
      <c r="C16" s="360">
        <f>'2_State Distrib and Adjs'!AZ16</f>
        <v>10655023</v>
      </c>
      <c r="D16" s="360">
        <f>-'5A3_OJJ'!S16</f>
        <v>-5008</v>
      </c>
      <c r="E16" s="360"/>
      <c r="F16" s="360">
        <f>-'5C1A_Madison'!AS16</f>
        <v>0</v>
      </c>
      <c r="G16" s="360">
        <f>-'5C1B_DArbonne'!AS16</f>
        <v>0</v>
      </c>
      <c r="H16" s="360">
        <f>-'5C1C_Intl High'!AS16</f>
        <v>0</v>
      </c>
      <c r="I16" s="360">
        <f>-'5C1D_NOMMA'!AS16</f>
        <v>0</v>
      </c>
      <c r="J16" s="360">
        <f>-'5C1E_LFNO'!AS16</f>
        <v>0</v>
      </c>
      <c r="K16" s="360">
        <f>-'5C1F_L.C. Charter'!AS16</f>
        <v>-599757</v>
      </c>
      <c r="L16" s="360">
        <f>-'5C1G_JS Clark'!AS16</f>
        <v>0</v>
      </c>
      <c r="M16" s="360">
        <f>-'5C1H_Southwest'!AS16</f>
        <v>-462855</v>
      </c>
      <c r="N16" s="360">
        <f>-'5C1I_LA Key'!AS16</f>
        <v>0</v>
      </c>
      <c r="O16" s="360">
        <f>-'5C1J_JCFA-East'!AS16</f>
        <v>0</v>
      </c>
      <c r="P16" s="360">
        <f>-'5C1M_GEO Mid'!AS16</f>
        <v>0</v>
      </c>
      <c r="Q16" s="360">
        <f>-'5C1N_Delta'!AS16</f>
        <v>0</v>
      </c>
      <c r="R16" s="360">
        <f>-'5C1O_Impact'!AS16</f>
        <v>0</v>
      </c>
      <c r="S16" s="360">
        <f>-'5C1Q_Advantage'!AS16</f>
        <v>0</v>
      </c>
      <c r="T16" s="360">
        <f>-'5C1R_Iberville'!AS16</f>
        <v>-905</v>
      </c>
      <c r="U16" s="360">
        <f>-'5C1S_LC Col Prep'!AS16</f>
        <v>-371282</v>
      </c>
      <c r="V16" s="360">
        <f>-'5C1T_Northeast'!AS16</f>
        <v>0</v>
      </c>
      <c r="W16" s="360">
        <f>-'5C1U_Acadiana Ren'!AS16</f>
        <v>0</v>
      </c>
      <c r="X16" s="360">
        <f>-'5C1V_Laf Ren'!AS16</f>
        <v>0</v>
      </c>
      <c r="Y16" s="360">
        <f>-'5C1W_Willow'!AS16</f>
        <v>0</v>
      </c>
      <c r="Z16" s="360">
        <f>-'5C1Y_GEO'!AS16</f>
        <v>0</v>
      </c>
      <c r="AA16" s="360">
        <f>-'5C1Z_Lincoln Prep'!AS16</f>
        <v>0</v>
      </c>
      <c r="AB16" s="360">
        <f>-'5C1AD_Greater'!$AS16</f>
        <v>0</v>
      </c>
      <c r="AC16" s="360">
        <f>-'5C1AE_Noble Minds'!$AS16</f>
        <v>0</v>
      </c>
      <c r="AD16" s="360">
        <f>-'5C1AF_JCFA-Laf'!$AS16</f>
        <v>0</v>
      </c>
      <c r="AE16" s="360">
        <f>-'5C1AG_Collegiate'!$AS16</f>
        <v>0</v>
      </c>
      <c r="AF16" s="360">
        <f>-'5C1AH_BRUP'!$AS16</f>
        <v>0</v>
      </c>
      <c r="AG16" s="657">
        <f>-'5C1AI_Harmony'!$AS16</f>
        <v>0</v>
      </c>
      <c r="AH16" s="657">
        <f>-'5C1AJ_Athlos'!$AS16</f>
        <v>0</v>
      </c>
      <c r="AI16" s="892">
        <f>-'5C1AK_NxtGen'!$AS16</f>
        <v>0</v>
      </c>
      <c r="AJ16" s="892">
        <f>-'5C1AL_Red River'!$AS16</f>
        <v>0</v>
      </c>
      <c r="AK16" s="360">
        <f>-'5C2_LAVCA'!AT16</f>
        <v>-8773</v>
      </c>
      <c r="AL16" s="360">
        <f>-'5C3_UnvView'!AT16</f>
        <v>-68095</v>
      </c>
      <c r="AM16" s="361">
        <f t="shared" si="3"/>
        <v>-1516675</v>
      </c>
      <c r="AN16" s="362">
        <f t="shared" si="4"/>
        <v>9138348</v>
      </c>
      <c r="AO16" s="360"/>
      <c r="AP16" s="360"/>
      <c r="AQ16" s="360">
        <f>-'5C1A_Madison'!AY16</f>
        <v>0</v>
      </c>
      <c r="AR16" s="360">
        <f>-'5C1B_DArbonne'!AY16</f>
        <v>0</v>
      </c>
      <c r="AS16" s="360">
        <f>-'5C1C_Intl High'!AY16</f>
        <v>0</v>
      </c>
      <c r="AT16" s="360">
        <f>-'5C1D_NOMMA'!AY16</f>
        <v>0</v>
      </c>
      <c r="AU16" s="360">
        <f>-'5C1E_LFNO'!AY16</f>
        <v>0</v>
      </c>
      <c r="AV16" s="360">
        <f>-'5C1F_L.C. Charter'!AY16</f>
        <v>-635</v>
      </c>
      <c r="AW16" s="360">
        <f>-'5C1G_JS Clark'!AY16</f>
        <v>0</v>
      </c>
      <c r="AX16" s="360">
        <f>-'5C1H_Southwest'!AY16</f>
        <v>-762</v>
      </c>
      <c r="AY16" s="360">
        <f>-'5C1I_LA Key'!AY16</f>
        <v>0</v>
      </c>
      <c r="AZ16" s="360">
        <f>-'5C1J_JCFA-East'!AY16</f>
        <v>0</v>
      </c>
      <c r="BA16" s="360">
        <f>-'5C1M_GEO Mid'!AY16</f>
        <v>0</v>
      </c>
      <c r="BB16" s="360">
        <f>-'5C1N_Delta'!AY16</f>
        <v>0</v>
      </c>
      <c r="BC16" s="360">
        <f>-'5C1O_Impact'!AY16</f>
        <v>0</v>
      </c>
      <c r="BD16" s="360">
        <f>-'5C1Q_Advantage'!AY16</f>
        <v>0</v>
      </c>
      <c r="BE16" s="360">
        <f>-'5C1R_Iberville'!AY16</f>
        <v>-9</v>
      </c>
      <c r="BF16" s="360">
        <f>-'5C1S_LC Col Prep'!AY16</f>
        <v>-1058</v>
      </c>
      <c r="BG16" s="360">
        <f>-'5C1T_Northeast'!AY16</f>
        <v>0</v>
      </c>
      <c r="BH16" s="360">
        <f>-'5C1U_Acadiana Ren'!AY16</f>
        <v>0</v>
      </c>
      <c r="BI16" s="360">
        <f>-'5C1V_Laf Ren'!AY16</f>
        <v>0</v>
      </c>
      <c r="BJ16" s="360">
        <f>-'5C1W_Willow'!AY16</f>
        <v>0</v>
      </c>
      <c r="BK16" s="360">
        <f>-'5C1Y_GEO'!AY16</f>
        <v>0</v>
      </c>
      <c r="BL16" s="360">
        <f>-'5C1Z_Lincoln Prep'!AY16</f>
        <v>0</v>
      </c>
      <c r="BM16" s="360">
        <f>-'5C1AD_Greater'!AY16</f>
        <v>0</v>
      </c>
      <c r="BN16" s="360">
        <f>-'5C1AE_Noble Minds'!AY16</f>
        <v>0</v>
      </c>
      <c r="BO16" s="360">
        <f>-'5C1AF_JCFA-Laf'!AY16</f>
        <v>0</v>
      </c>
      <c r="BP16" s="360">
        <f>-'5C1AG_Collegiate'!AY16</f>
        <v>0</v>
      </c>
      <c r="BQ16" s="360">
        <f>-'5C1AH_BRUP'!AY16</f>
        <v>0</v>
      </c>
      <c r="BR16" s="657">
        <f>-'5C1AI_Harmony'!$AY16</f>
        <v>0</v>
      </c>
      <c r="BS16" s="657">
        <f>-'5C1AJ_Athlos'!$AY16</f>
        <v>0</v>
      </c>
      <c r="BT16" s="892">
        <f>-'5C1AK_NxtGen'!$AY16</f>
        <v>0</v>
      </c>
      <c r="BU16" s="892">
        <f>-'5C1AL_Red River'!$AY16</f>
        <v>0</v>
      </c>
      <c r="BV16" s="360">
        <f>-'5C2_LAVCA'!AZ16</f>
        <v>419</v>
      </c>
      <c r="BW16" s="360">
        <f>-'5C3_UnvView'!AZ16</f>
        <v>-268</v>
      </c>
      <c r="BX16" s="360">
        <f t="shared" si="5"/>
        <v>-2313</v>
      </c>
      <c r="BY16" s="362">
        <f t="shared" si="6"/>
        <v>9136035</v>
      </c>
    </row>
    <row r="17" spans="1:77" s="7" customFormat="1" ht="15.75" customHeight="1" x14ac:dyDescent="0.2">
      <c r="A17" s="368">
        <v>11</v>
      </c>
      <c r="B17" s="369" t="s">
        <v>15</v>
      </c>
      <c r="C17" s="61">
        <f>'2_State Distrib and Adjs'!AZ17</f>
        <v>1034801</v>
      </c>
      <c r="D17" s="61">
        <f>-'5A3_OJJ'!S17</f>
        <v>0</v>
      </c>
      <c r="E17" s="61"/>
      <c r="F17" s="61">
        <f>-'5C1A_Madison'!AS17</f>
        <v>0</v>
      </c>
      <c r="G17" s="61">
        <f>-'5C1B_DArbonne'!AS17</f>
        <v>0</v>
      </c>
      <c r="H17" s="61">
        <f>-'5C1C_Intl High'!AS17</f>
        <v>0</v>
      </c>
      <c r="I17" s="61">
        <f>-'5C1D_NOMMA'!AS17</f>
        <v>0</v>
      </c>
      <c r="J17" s="61">
        <f>-'5C1E_LFNO'!AS17</f>
        <v>0</v>
      </c>
      <c r="K17" s="61">
        <f>-'5C1F_L.C. Charter'!AS17</f>
        <v>0</v>
      </c>
      <c r="L17" s="61">
        <f>-'5C1G_JS Clark'!AS17</f>
        <v>0</v>
      </c>
      <c r="M17" s="61">
        <f>-'5C1H_Southwest'!AS17</f>
        <v>0</v>
      </c>
      <c r="N17" s="61">
        <f>-'5C1I_LA Key'!AS17</f>
        <v>0</v>
      </c>
      <c r="O17" s="61">
        <f>-'5C1J_JCFA-East'!AS17</f>
        <v>0</v>
      </c>
      <c r="P17" s="61">
        <f>-'5C1M_GEO Mid'!AS17</f>
        <v>0</v>
      </c>
      <c r="Q17" s="61">
        <f>-'5C1N_Delta'!AS17</f>
        <v>0</v>
      </c>
      <c r="R17" s="61">
        <f>-'5C1O_Impact'!AS17</f>
        <v>0</v>
      </c>
      <c r="S17" s="61">
        <f>-'5C1Q_Advantage'!AS17</f>
        <v>0</v>
      </c>
      <c r="T17" s="61">
        <f>-'5C1R_Iberville'!AS17</f>
        <v>0</v>
      </c>
      <c r="U17" s="61">
        <f>-'5C1S_LC Col Prep'!AS17</f>
        <v>0</v>
      </c>
      <c r="V17" s="61">
        <f>-'5C1T_Northeast'!AS17</f>
        <v>0</v>
      </c>
      <c r="W17" s="61">
        <f>-'5C1U_Acadiana Ren'!AS17</f>
        <v>0</v>
      </c>
      <c r="X17" s="61">
        <f>-'5C1V_Laf Ren'!AS17</f>
        <v>0</v>
      </c>
      <c r="Y17" s="61">
        <f>-'5C1W_Willow'!AS17</f>
        <v>0</v>
      </c>
      <c r="Z17" s="61">
        <f>-'5C1Y_GEO'!AS17</f>
        <v>0</v>
      </c>
      <c r="AA17" s="61">
        <f>-'5C1Z_Lincoln Prep'!AS17</f>
        <v>0</v>
      </c>
      <c r="AB17" s="61">
        <f>-'5C1AD_Greater'!$AS17</f>
        <v>0</v>
      </c>
      <c r="AC17" s="61">
        <f>-'5C1AE_Noble Minds'!$AS17</f>
        <v>0</v>
      </c>
      <c r="AD17" s="61">
        <f>-'5C1AF_JCFA-Laf'!$AS17</f>
        <v>0</v>
      </c>
      <c r="AE17" s="61">
        <f>-'5C1AG_Collegiate'!$AS17</f>
        <v>0</v>
      </c>
      <c r="AF17" s="61">
        <f>-'5C1AH_BRUP'!$AS17</f>
        <v>0</v>
      </c>
      <c r="AG17" s="61">
        <f>-'5C1AI_Harmony'!$AS17</f>
        <v>0</v>
      </c>
      <c r="AH17" s="61">
        <f>-'5C1AJ_Athlos'!$AS17</f>
        <v>0</v>
      </c>
      <c r="AI17" s="61">
        <f>-'5C1AK_NxtGen'!$AS17</f>
        <v>0</v>
      </c>
      <c r="AJ17" s="61">
        <f>-'5C1AL_Red River'!$AS17</f>
        <v>0</v>
      </c>
      <c r="AK17" s="61">
        <f>-'5C2_LAVCA'!AT17</f>
        <v>-703</v>
      </c>
      <c r="AL17" s="61">
        <f>-'5C3_UnvView'!AT17</f>
        <v>-2684</v>
      </c>
      <c r="AM17" s="370">
        <f t="shared" si="3"/>
        <v>-3387</v>
      </c>
      <c r="AN17" s="371">
        <f t="shared" si="4"/>
        <v>1031414</v>
      </c>
      <c r="AO17" s="61"/>
      <c r="AP17" s="61"/>
      <c r="AQ17" s="61">
        <f>-'5C1A_Madison'!AY17</f>
        <v>0</v>
      </c>
      <c r="AR17" s="61">
        <f>-'5C1B_DArbonne'!AY17</f>
        <v>0</v>
      </c>
      <c r="AS17" s="61">
        <f>-'5C1C_Intl High'!AY17</f>
        <v>0</v>
      </c>
      <c r="AT17" s="61">
        <f>-'5C1D_NOMMA'!AY17</f>
        <v>0</v>
      </c>
      <c r="AU17" s="61">
        <f>-'5C1E_LFNO'!AY17</f>
        <v>0</v>
      </c>
      <c r="AV17" s="61">
        <f>-'5C1F_L.C. Charter'!AY17</f>
        <v>0</v>
      </c>
      <c r="AW17" s="61">
        <f>-'5C1G_JS Clark'!AY17</f>
        <v>0</v>
      </c>
      <c r="AX17" s="61">
        <f>-'5C1H_Southwest'!AY17</f>
        <v>0</v>
      </c>
      <c r="AY17" s="61">
        <f>-'5C1I_LA Key'!AY17</f>
        <v>0</v>
      </c>
      <c r="AZ17" s="61">
        <f>-'5C1J_JCFA-East'!AY17</f>
        <v>0</v>
      </c>
      <c r="BA17" s="61">
        <f>-'5C1M_GEO Mid'!AY17</f>
        <v>0</v>
      </c>
      <c r="BB17" s="61">
        <f>-'5C1N_Delta'!AY17</f>
        <v>0</v>
      </c>
      <c r="BC17" s="61">
        <f>-'5C1O_Impact'!AY17</f>
        <v>0</v>
      </c>
      <c r="BD17" s="61">
        <f>-'5C1Q_Advantage'!AY17</f>
        <v>0</v>
      </c>
      <c r="BE17" s="61">
        <f>-'5C1R_Iberville'!AY17</f>
        <v>0</v>
      </c>
      <c r="BF17" s="61">
        <f>-'5C1S_LC Col Prep'!AY17</f>
        <v>0</v>
      </c>
      <c r="BG17" s="61">
        <f>-'5C1T_Northeast'!AY17</f>
        <v>0</v>
      </c>
      <c r="BH17" s="61">
        <f>-'5C1U_Acadiana Ren'!AY17</f>
        <v>0</v>
      </c>
      <c r="BI17" s="61">
        <f>-'5C1V_Laf Ren'!AY17</f>
        <v>0</v>
      </c>
      <c r="BJ17" s="61">
        <f>-'5C1W_Willow'!AY17</f>
        <v>0</v>
      </c>
      <c r="BK17" s="61">
        <f>-'5C1Y_GEO'!AY17</f>
        <v>0</v>
      </c>
      <c r="BL17" s="61">
        <f>-'5C1Z_Lincoln Prep'!AY17</f>
        <v>0</v>
      </c>
      <c r="BM17" s="61">
        <f>-'5C1AD_Greater'!AY17</f>
        <v>0</v>
      </c>
      <c r="BN17" s="61">
        <f>-'5C1AE_Noble Minds'!AY17</f>
        <v>0</v>
      </c>
      <c r="BO17" s="61">
        <f>-'5C1AF_JCFA-Laf'!AY17</f>
        <v>0</v>
      </c>
      <c r="BP17" s="61">
        <f>-'5C1AG_Collegiate'!AY17</f>
        <v>0</v>
      </c>
      <c r="BQ17" s="61">
        <f>-'5C1AH_BRUP'!AY17</f>
        <v>0</v>
      </c>
      <c r="BR17" s="61">
        <f>-'5C1AI_Harmony'!$AY17</f>
        <v>0</v>
      </c>
      <c r="BS17" s="61">
        <f>-'5C1AJ_Athlos'!$AY17</f>
        <v>0</v>
      </c>
      <c r="BT17" s="61">
        <f>-'5C1AK_NxtGen'!$AY17</f>
        <v>0</v>
      </c>
      <c r="BU17" s="61">
        <f>-'5C1AL_Red River'!$AY17</f>
        <v>0</v>
      </c>
      <c r="BV17" s="61">
        <f>-'5C2_LAVCA'!AZ17</f>
        <v>-5</v>
      </c>
      <c r="BW17" s="61">
        <f>-'5C3_UnvView'!AZ17</f>
        <v>-18</v>
      </c>
      <c r="BX17" s="61">
        <f t="shared" si="5"/>
        <v>-23</v>
      </c>
      <c r="BY17" s="371">
        <f t="shared" si="6"/>
        <v>1031391</v>
      </c>
    </row>
    <row r="18" spans="1:77" s="7" customFormat="1" ht="15.75" customHeight="1" x14ac:dyDescent="0.2">
      <c r="A18" s="368">
        <v>12</v>
      </c>
      <c r="B18" s="369" t="s">
        <v>16</v>
      </c>
      <c r="C18" s="61">
        <f>'2_State Distrib and Adjs'!AZ18</f>
        <v>309500</v>
      </c>
      <c r="D18" s="61">
        <f>-'5A3_OJJ'!S18</f>
        <v>0</v>
      </c>
      <c r="E18" s="61"/>
      <c r="F18" s="61">
        <f>-'5C1A_Madison'!AS18</f>
        <v>0</v>
      </c>
      <c r="G18" s="61">
        <f>-'5C1B_DArbonne'!AS18</f>
        <v>0</v>
      </c>
      <c r="H18" s="61">
        <f>-'5C1C_Intl High'!AS18</f>
        <v>0</v>
      </c>
      <c r="I18" s="61">
        <f>-'5C1D_NOMMA'!AS18</f>
        <v>0</v>
      </c>
      <c r="J18" s="61">
        <f>-'5C1E_LFNO'!AS18</f>
        <v>0</v>
      </c>
      <c r="K18" s="61">
        <f>-'5C1F_L.C. Charter'!AS18</f>
        <v>0</v>
      </c>
      <c r="L18" s="61">
        <f>-'5C1G_JS Clark'!AS18</f>
        <v>0</v>
      </c>
      <c r="M18" s="61">
        <f>-'5C1H_Southwest'!AS18</f>
        <v>-4885</v>
      </c>
      <c r="N18" s="61">
        <f>-'5C1I_LA Key'!AS18</f>
        <v>0</v>
      </c>
      <c r="O18" s="61">
        <f>-'5C1J_JCFA-East'!AS18</f>
        <v>0</v>
      </c>
      <c r="P18" s="61">
        <f>-'5C1M_GEO Mid'!AS18</f>
        <v>0</v>
      </c>
      <c r="Q18" s="61">
        <f>-'5C1N_Delta'!AS18</f>
        <v>0</v>
      </c>
      <c r="R18" s="61">
        <f>-'5C1O_Impact'!AS18</f>
        <v>0</v>
      </c>
      <c r="S18" s="61">
        <f>-'5C1Q_Advantage'!AS18</f>
        <v>0</v>
      </c>
      <c r="T18" s="61">
        <f>-'5C1R_Iberville'!AS18</f>
        <v>0</v>
      </c>
      <c r="U18" s="61">
        <f>-'5C1S_LC Col Prep'!AS18</f>
        <v>0</v>
      </c>
      <c r="V18" s="61">
        <f>-'5C1T_Northeast'!AS18</f>
        <v>0</v>
      </c>
      <c r="W18" s="61">
        <f>-'5C1U_Acadiana Ren'!AS18</f>
        <v>0</v>
      </c>
      <c r="X18" s="61">
        <f>-'5C1V_Laf Ren'!AS18</f>
        <v>0</v>
      </c>
      <c r="Y18" s="61">
        <f>-'5C1W_Willow'!AS18</f>
        <v>0</v>
      </c>
      <c r="Z18" s="61">
        <f>-'5C1Y_GEO'!AS18</f>
        <v>0</v>
      </c>
      <c r="AA18" s="61">
        <f>-'5C1Z_Lincoln Prep'!AS18</f>
        <v>0</v>
      </c>
      <c r="AB18" s="61">
        <f>-'5C1AD_Greater'!$AS18</f>
        <v>0</v>
      </c>
      <c r="AC18" s="61">
        <f>-'5C1AE_Noble Minds'!$AS18</f>
        <v>0</v>
      </c>
      <c r="AD18" s="61">
        <f>-'5C1AF_JCFA-Laf'!$AS18</f>
        <v>0</v>
      </c>
      <c r="AE18" s="61">
        <f>-'5C1AG_Collegiate'!$AS18</f>
        <v>0</v>
      </c>
      <c r="AF18" s="61">
        <f>-'5C1AH_BRUP'!$AS18</f>
        <v>0</v>
      </c>
      <c r="AG18" s="61">
        <f>-'5C1AI_Harmony'!$AS18</f>
        <v>0</v>
      </c>
      <c r="AH18" s="61">
        <f>-'5C1AJ_Athlos'!$AS18</f>
        <v>0</v>
      </c>
      <c r="AI18" s="61">
        <f>-'5C1AK_NxtGen'!$AS18</f>
        <v>0</v>
      </c>
      <c r="AJ18" s="61">
        <f>-'5C1AL_Red River'!$AS18</f>
        <v>0</v>
      </c>
      <c r="AK18" s="61">
        <f>-'5C2_LAVCA'!AT18</f>
        <v>1066</v>
      </c>
      <c r="AL18" s="61">
        <f>-'5C3_UnvView'!AT18</f>
        <v>-693</v>
      </c>
      <c r="AM18" s="370">
        <f t="shared" si="3"/>
        <v>-4512</v>
      </c>
      <c r="AN18" s="371">
        <f t="shared" si="4"/>
        <v>304988</v>
      </c>
      <c r="AO18" s="61"/>
      <c r="AP18" s="61"/>
      <c r="AQ18" s="61">
        <f>-'5C1A_Madison'!AY18</f>
        <v>0</v>
      </c>
      <c r="AR18" s="61">
        <f>-'5C1B_DArbonne'!AY18</f>
        <v>0</v>
      </c>
      <c r="AS18" s="61">
        <f>-'5C1C_Intl High'!AY18</f>
        <v>0</v>
      </c>
      <c r="AT18" s="61">
        <f>-'5C1D_NOMMA'!AY18</f>
        <v>0</v>
      </c>
      <c r="AU18" s="61">
        <f>-'5C1E_LFNO'!AY18</f>
        <v>0</v>
      </c>
      <c r="AV18" s="61">
        <f>-'5C1F_L.C. Charter'!AY18</f>
        <v>0</v>
      </c>
      <c r="AW18" s="61">
        <f>-'5C1G_JS Clark'!AY18</f>
        <v>0</v>
      </c>
      <c r="AX18" s="61">
        <f>-'5C1H_Southwest'!AY18</f>
        <v>-49</v>
      </c>
      <c r="AY18" s="61">
        <f>-'5C1I_LA Key'!AY18</f>
        <v>0</v>
      </c>
      <c r="AZ18" s="61">
        <f>-'5C1J_JCFA-East'!AY18</f>
        <v>0</v>
      </c>
      <c r="BA18" s="61">
        <f>-'5C1M_GEO Mid'!AY18</f>
        <v>0</v>
      </c>
      <c r="BB18" s="61">
        <f>-'5C1N_Delta'!AY18</f>
        <v>0</v>
      </c>
      <c r="BC18" s="61">
        <f>-'5C1O_Impact'!AY18</f>
        <v>0</v>
      </c>
      <c r="BD18" s="61">
        <f>-'5C1Q_Advantage'!AY18</f>
        <v>0</v>
      </c>
      <c r="BE18" s="61">
        <f>-'5C1R_Iberville'!AY18</f>
        <v>0</v>
      </c>
      <c r="BF18" s="61">
        <f>-'5C1S_LC Col Prep'!AY18</f>
        <v>0</v>
      </c>
      <c r="BG18" s="61">
        <f>-'5C1T_Northeast'!AY18</f>
        <v>0</v>
      </c>
      <c r="BH18" s="61">
        <f>-'5C1U_Acadiana Ren'!AY18</f>
        <v>0</v>
      </c>
      <c r="BI18" s="61">
        <f>-'5C1V_Laf Ren'!AY18</f>
        <v>0</v>
      </c>
      <c r="BJ18" s="61">
        <f>-'5C1W_Willow'!AY18</f>
        <v>0</v>
      </c>
      <c r="BK18" s="61">
        <f>-'5C1Y_GEO'!AY18</f>
        <v>0</v>
      </c>
      <c r="BL18" s="61">
        <f>-'5C1Z_Lincoln Prep'!AY18</f>
        <v>0</v>
      </c>
      <c r="BM18" s="61">
        <f>-'5C1AD_Greater'!AY18</f>
        <v>0</v>
      </c>
      <c r="BN18" s="61">
        <f>-'5C1AE_Noble Minds'!AY18</f>
        <v>0</v>
      </c>
      <c r="BO18" s="61">
        <f>-'5C1AF_JCFA-Laf'!AY18</f>
        <v>0</v>
      </c>
      <c r="BP18" s="61">
        <f>-'5C1AG_Collegiate'!AY18</f>
        <v>0</v>
      </c>
      <c r="BQ18" s="61">
        <f>-'5C1AH_BRUP'!AY18</f>
        <v>0</v>
      </c>
      <c r="BR18" s="61">
        <f>-'5C1AI_Harmony'!$AY18</f>
        <v>0</v>
      </c>
      <c r="BS18" s="61">
        <f>-'5C1AJ_Athlos'!$AY18</f>
        <v>0</v>
      </c>
      <c r="BT18" s="61">
        <f>-'5C1AK_NxtGen'!$AY18</f>
        <v>0</v>
      </c>
      <c r="BU18" s="61">
        <f>-'5C1AL_Red River'!$AY18</f>
        <v>0</v>
      </c>
      <c r="BV18" s="61">
        <f>-'5C2_LAVCA'!AZ18</f>
        <v>16</v>
      </c>
      <c r="BW18" s="61">
        <f>-'5C3_UnvView'!AZ18</f>
        <v>-2</v>
      </c>
      <c r="BX18" s="61">
        <f t="shared" si="5"/>
        <v>-35</v>
      </c>
      <c r="BY18" s="371">
        <f t="shared" si="6"/>
        <v>304953</v>
      </c>
    </row>
    <row r="19" spans="1:77" s="7" customFormat="1" ht="15.75" customHeight="1" x14ac:dyDescent="0.2">
      <c r="A19" s="368">
        <v>13</v>
      </c>
      <c r="B19" s="369" t="s">
        <v>17</v>
      </c>
      <c r="C19" s="61">
        <f>'2_State Distrib and Adjs'!AZ19</f>
        <v>670623</v>
      </c>
      <c r="D19" s="61">
        <f>-'5A3_OJJ'!S19</f>
        <v>0</v>
      </c>
      <c r="E19" s="61"/>
      <c r="F19" s="61">
        <f>-'5C1A_Madison'!AS19</f>
        <v>0</v>
      </c>
      <c r="G19" s="61">
        <f>-'5C1B_DArbonne'!AS19</f>
        <v>0</v>
      </c>
      <c r="H19" s="61">
        <f>-'5C1C_Intl High'!AS19</f>
        <v>0</v>
      </c>
      <c r="I19" s="61">
        <f>-'5C1D_NOMMA'!AS19</f>
        <v>0</v>
      </c>
      <c r="J19" s="61">
        <f>-'5C1E_LFNO'!AS19</f>
        <v>0</v>
      </c>
      <c r="K19" s="61">
        <f>-'5C1F_L.C. Charter'!AS19</f>
        <v>0</v>
      </c>
      <c r="L19" s="61">
        <f>-'5C1G_JS Clark'!AS19</f>
        <v>0</v>
      </c>
      <c r="M19" s="61">
        <f>-'5C1H_Southwest'!AS19</f>
        <v>0</v>
      </c>
      <c r="N19" s="61">
        <f>-'5C1I_LA Key'!AS19</f>
        <v>0</v>
      </c>
      <c r="O19" s="61">
        <f>-'5C1J_JCFA-East'!AS19</f>
        <v>0</v>
      </c>
      <c r="P19" s="61">
        <f>-'5C1M_GEO Mid'!AS19</f>
        <v>0</v>
      </c>
      <c r="Q19" s="61">
        <f>-'5C1N_Delta'!AS19</f>
        <v>-24022</v>
      </c>
      <c r="R19" s="61">
        <f>-'5C1O_Impact'!AS19</f>
        <v>0</v>
      </c>
      <c r="S19" s="61">
        <f>-'5C1Q_Advantage'!AS19</f>
        <v>0</v>
      </c>
      <c r="T19" s="61">
        <f>-'5C1R_Iberville'!AS19</f>
        <v>0</v>
      </c>
      <c r="U19" s="61">
        <f>-'5C1S_LC Col Prep'!AS19</f>
        <v>0</v>
      </c>
      <c r="V19" s="61">
        <f>-'5C1T_Northeast'!AS19</f>
        <v>0</v>
      </c>
      <c r="W19" s="61">
        <f>-'5C1U_Acadiana Ren'!AS19</f>
        <v>0</v>
      </c>
      <c r="X19" s="61">
        <f>-'5C1V_Laf Ren'!AS19</f>
        <v>0</v>
      </c>
      <c r="Y19" s="61">
        <f>-'5C1W_Willow'!AS19</f>
        <v>0</v>
      </c>
      <c r="Z19" s="61">
        <f>-'5C1Y_GEO'!AS19</f>
        <v>0</v>
      </c>
      <c r="AA19" s="61">
        <f>-'5C1Z_Lincoln Prep'!AS19</f>
        <v>0</v>
      </c>
      <c r="AB19" s="61">
        <f>-'5C1AD_Greater'!$AS19</f>
        <v>0</v>
      </c>
      <c r="AC19" s="61">
        <f>-'5C1AE_Noble Minds'!$AS19</f>
        <v>0</v>
      </c>
      <c r="AD19" s="61">
        <f>-'5C1AF_JCFA-Laf'!$AS19</f>
        <v>0</v>
      </c>
      <c r="AE19" s="61">
        <f>-'5C1AG_Collegiate'!$AS19</f>
        <v>0</v>
      </c>
      <c r="AF19" s="61">
        <f>-'5C1AH_BRUP'!$AS19</f>
        <v>0</v>
      </c>
      <c r="AG19" s="61">
        <f>-'5C1AI_Harmony'!$AS19</f>
        <v>0</v>
      </c>
      <c r="AH19" s="61">
        <f>-'5C1AJ_Athlos'!$AS19</f>
        <v>0</v>
      </c>
      <c r="AI19" s="61">
        <f>-'5C1AK_NxtGen'!$AS19</f>
        <v>0</v>
      </c>
      <c r="AJ19" s="61">
        <f>-'5C1AL_Red River'!$AS19</f>
        <v>0</v>
      </c>
      <c r="AK19" s="61">
        <f>-'5C2_LAVCA'!AT19</f>
        <v>-1801</v>
      </c>
      <c r="AL19" s="61">
        <f>-'5C3_UnvView'!AT19</f>
        <v>-2998</v>
      </c>
      <c r="AM19" s="370">
        <f t="shared" si="3"/>
        <v>-28821</v>
      </c>
      <c r="AN19" s="371">
        <f t="shared" si="4"/>
        <v>641802</v>
      </c>
      <c r="AO19" s="61"/>
      <c r="AP19" s="61"/>
      <c r="AQ19" s="61">
        <f>-'5C1A_Madison'!AY19</f>
        <v>0</v>
      </c>
      <c r="AR19" s="61">
        <f>-'5C1B_DArbonne'!AY19</f>
        <v>0</v>
      </c>
      <c r="AS19" s="61">
        <f>-'5C1C_Intl High'!AY19</f>
        <v>0</v>
      </c>
      <c r="AT19" s="61">
        <f>-'5C1D_NOMMA'!AY19</f>
        <v>0</v>
      </c>
      <c r="AU19" s="61">
        <f>-'5C1E_LFNO'!AY19</f>
        <v>0</v>
      </c>
      <c r="AV19" s="61">
        <f>-'5C1F_L.C. Charter'!AY19</f>
        <v>0</v>
      </c>
      <c r="AW19" s="61">
        <f>-'5C1G_JS Clark'!AY19</f>
        <v>0</v>
      </c>
      <c r="AX19" s="61">
        <f>-'5C1H_Southwest'!AY19</f>
        <v>0</v>
      </c>
      <c r="AY19" s="61">
        <f>-'5C1I_LA Key'!AY19</f>
        <v>0</v>
      </c>
      <c r="AZ19" s="61">
        <f>-'5C1J_JCFA-East'!AY19</f>
        <v>0</v>
      </c>
      <c r="BA19" s="61">
        <f>-'5C1M_GEO Mid'!AY19</f>
        <v>0</v>
      </c>
      <c r="BB19" s="61">
        <f>-'5C1N_Delta'!AY19</f>
        <v>-25</v>
      </c>
      <c r="BC19" s="61">
        <f>-'5C1O_Impact'!AY19</f>
        <v>0</v>
      </c>
      <c r="BD19" s="61">
        <f>-'5C1Q_Advantage'!AY19</f>
        <v>0</v>
      </c>
      <c r="BE19" s="61">
        <f>-'5C1R_Iberville'!AY19</f>
        <v>0</v>
      </c>
      <c r="BF19" s="61">
        <f>-'5C1S_LC Col Prep'!AY19</f>
        <v>0</v>
      </c>
      <c r="BG19" s="61">
        <f>-'5C1T_Northeast'!AY19</f>
        <v>0</v>
      </c>
      <c r="BH19" s="61">
        <f>-'5C1U_Acadiana Ren'!AY19</f>
        <v>0</v>
      </c>
      <c r="BI19" s="61">
        <f>-'5C1V_Laf Ren'!AY19</f>
        <v>0</v>
      </c>
      <c r="BJ19" s="61">
        <f>-'5C1W_Willow'!AY19</f>
        <v>0</v>
      </c>
      <c r="BK19" s="61">
        <f>-'5C1Y_GEO'!AY19</f>
        <v>0</v>
      </c>
      <c r="BL19" s="61">
        <f>-'5C1Z_Lincoln Prep'!AY19</f>
        <v>0</v>
      </c>
      <c r="BM19" s="61">
        <f>-'5C1AD_Greater'!AY19</f>
        <v>0</v>
      </c>
      <c r="BN19" s="61">
        <f>-'5C1AE_Noble Minds'!AY19</f>
        <v>0</v>
      </c>
      <c r="BO19" s="61">
        <f>-'5C1AF_JCFA-Laf'!AY19</f>
        <v>0</v>
      </c>
      <c r="BP19" s="61">
        <f>-'5C1AG_Collegiate'!AY19</f>
        <v>0</v>
      </c>
      <c r="BQ19" s="61">
        <f>-'5C1AH_BRUP'!AY19</f>
        <v>0</v>
      </c>
      <c r="BR19" s="61">
        <f>-'5C1AI_Harmony'!$AY19</f>
        <v>0</v>
      </c>
      <c r="BS19" s="61">
        <f>-'5C1AJ_Athlos'!$AY19</f>
        <v>0</v>
      </c>
      <c r="BT19" s="61">
        <f>-'5C1AK_NxtGen'!$AY19</f>
        <v>0</v>
      </c>
      <c r="BU19" s="61">
        <f>-'5C1AL_Red River'!$AY19</f>
        <v>0</v>
      </c>
      <c r="BV19" s="61">
        <f>-'5C2_LAVCA'!AZ19</f>
        <v>-5</v>
      </c>
      <c r="BW19" s="61">
        <f>-'5C3_UnvView'!AZ19</f>
        <v>-21</v>
      </c>
      <c r="BX19" s="61">
        <f t="shared" si="5"/>
        <v>-51</v>
      </c>
      <c r="BY19" s="371">
        <f t="shared" si="6"/>
        <v>641751</v>
      </c>
    </row>
    <row r="20" spans="1:77" s="7" customFormat="1" ht="15.75" customHeight="1" x14ac:dyDescent="0.2">
      <c r="A20" s="368">
        <v>14</v>
      </c>
      <c r="B20" s="369" t="s">
        <v>18</v>
      </c>
      <c r="C20" s="61">
        <f>'2_State Distrib and Adjs'!AZ20</f>
        <v>955164</v>
      </c>
      <c r="D20" s="61">
        <f>-'5A3_OJJ'!S20</f>
        <v>-206</v>
      </c>
      <c r="E20" s="61"/>
      <c r="F20" s="61">
        <f>-'5C1A_Madison'!AS20</f>
        <v>0</v>
      </c>
      <c r="G20" s="61">
        <f>-'5C1B_DArbonne'!AS20</f>
        <v>309</v>
      </c>
      <c r="H20" s="61">
        <f>-'5C1C_Intl High'!AS20</f>
        <v>0</v>
      </c>
      <c r="I20" s="61">
        <f>-'5C1D_NOMMA'!AS20</f>
        <v>0</v>
      </c>
      <c r="J20" s="61">
        <f>-'5C1E_LFNO'!AS20</f>
        <v>0</v>
      </c>
      <c r="K20" s="61">
        <f>-'5C1F_L.C. Charter'!AS20</f>
        <v>0</v>
      </c>
      <c r="L20" s="61">
        <f>-'5C1G_JS Clark'!AS20</f>
        <v>0</v>
      </c>
      <c r="M20" s="61">
        <f>-'5C1H_Southwest'!AS20</f>
        <v>0</v>
      </c>
      <c r="N20" s="61">
        <f>-'5C1I_LA Key'!AS20</f>
        <v>0</v>
      </c>
      <c r="O20" s="61">
        <f>-'5C1J_JCFA-East'!AS20</f>
        <v>0</v>
      </c>
      <c r="P20" s="61">
        <f>-'5C1M_GEO Mid'!AS20</f>
        <v>0</v>
      </c>
      <c r="Q20" s="61">
        <f>-'5C1N_Delta'!AS20</f>
        <v>0</v>
      </c>
      <c r="R20" s="61">
        <f>-'5C1O_Impact'!AS20</f>
        <v>0</v>
      </c>
      <c r="S20" s="61">
        <f>-'5C1Q_Advantage'!AS20</f>
        <v>0</v>
      </c>
      <c r="T20" s="61">
        <f>-'5C1R_Iberville'!AS20</f>
        <v>0</v>
      </c>
      <c r="U20" s="61">
        <f>-'5C1S_LC Col Prep'!AS20</f>
        <v>0</v>
      </c>
      <c r="V20" s="61">
        <f>-'5C1T_Northeast'!AS20</f>
        <v>-15939</v>
      </c>
      <c r="W20" s="61">
        <f>-'5C1U_Acadiana Ren'!AS20</f>
        <v>0</v>
      </c>
      <c r="X20" s="61">
        <f>-'5C1V_Laf Ren'!AS20</f>
        <v>0</v>
      </c>
      <c r="Y20" s="61">
        <f>-'5C1W_Willow'!AS20</f>
        <v>0</v>
      </c>
      <c r="Z20" s="61">
        <f>-'5C1Y_GEO'!AS20</f>
        <v>0</v>
      </c>
      <c r="AA20" s="61">
        <f>-'5C1Z_Lincoln Prep'!AS20</f>
        <v>-18064</v>
      </c>
      <c r="AB20" s="61">
        <f>-'5C1AD_Greater'!$AS20</f>
        <v>0</v>
      </c>
      <c r="AC20" s="61">
        <f>-'5C1AE_Noble Minds'!$AS20</f>
        <v>0</v>
      </c>
      <c r="AD20" s="61">
        <f>-'5C1AF_JCFA-Laf'!$AS20</f>
        <v>0</v>
      </c>
      <c r="AE20" s="61">
        <f>-'5C1AG_Collegiate'!$AS20</f>
        <v>0</v>
      </c>
      <c r="AF20" s="61">
        <f>-'5C1AH_BRUP'!$AS20</f>
        <v>0</v>
      </c>
      <c r="AG20" s="61">
        <f>-'5C1AI_Harmony'!$AS20</f>
        <v>0</v>
      </c>
      <c r="AH20" s="61">
        <f>-'5C1AJ_Athlos'!$AS20</f>
        <v>0</v>
      </c>
      <c r="AI20" s="61">
        <f>-'5C1AK_NxtGen'!$AS20</f>
        <v>0</v>
      </c>
      <c r="AJ20" s="61">
        <f>-'5C1AL_Red River'!$AS20</f>
        <v>0</v>
      </c>
      <c r="AK20" s="61">
        <f>-'5C2_LAVCA'!AT20</f>
        <v>1250</v>
      </c>
      <c r="AL20" s="61">
        <f>-'5C3_UnvView'!AT20</f>
        <v>-1136</v>
      </c>
      <c r="AM20" s="370">
        <f t="shared" si="3"/>
        <v>-33786</v>
      </c>
      <c r="AN20" s="371">
        <f t="shared" si="4"/>
        <v>921378</v>
      </c>
      <c r="AO20" s="61"/>
      <c r="AP20" s="61"/>
      <c r="AQ20" s="61">
        <f>-'5C1A_Madison'!AY20</f>
        <v>0</v>
      </c>
      <c r="AR20" s="61">
        <f>-'5C1B_DArbonne'!AY20</f>
        <v>10</v>
      </c>
      <c r="AS20" s="61">
        <f>-'5C1C_Intl High'!AY20</f>
        <v>0</v>
      </c>
      <c r="AT20" s="61">
        <f>-'5C1D_NOMMA'!AY20</f>
        <v>0</v>
      </c>
      <c r="AU20" s="61">
        <f>-'5C1E_LFNO'!AY20</f>
        <v>0</v>
      </c>
      <c r="AV20" s="61">
        <f>-'5C1F_L.C. Charter'!AY20</f>
        <v>0</v>
      </c>
      <c r="AW20" s="61">
        <f>-'5C1G_JS Clark'!AY20</f>
        <v>0</v>
      </c>
      <c r="AX20" s="61">
        <f>-'5C1H_Southwest'!AY20</f>
        <v>0</v>
      </c>
      <c r="AY20" s="61">
        <f>-'5C1I_LA Key'!AY20</f>
        <v>0</v>
      </c>
      <c r="AZ20" s="61">
        <f>-'5C1J_JCFA-East'!AY20</f>
        <v>0</v>
      </c>
      <c r="BA20" s="61">
        <f>-'5C1M_GEO Mid'!AY20</f>
        <v>0</v>
      </c>
      <c r="BB20" s="61">
        <f>-'5C1N_Delta'!AY20</f>
        <v>0</v>
      </c>
      <c r="BC20" s="61">
        <f>-'5C1O_Impact'!AY20</f>
        <v>0</v>
      </c>
      <c r="BD20" s="61">
        <f>-'5C1Q_Advantage'!AY20</f>
        <v>0</v>
      </c>
      <c r="BE20" s="61">
        <f>-'5C1R_Iberville'!AY20</f>
        <v>0</v>
      </c>
      <c r="BF20" s="61">
        <f>-'5C1S_LC Col Prep'!AY20</f>
        <v>0</v>
      </c>
      <c r="BG20" s="61">
        <f>-'5C1T_Northeast'!AY20</f>
        <v>-10</v>
      </c>
      <c r="BH20" s="61">
        <f>-'5C1U_Acadiana Ren'!AY20</f>
        <v>0</v>
      </c>
      <c r="BI20" s="61">
        <f>-'5C1V_Laf Ren'!AY20</f>
        <v>0</v>
      </c>
      <c r="BJ20" s="61">
        <f>-'5C1W_Willow'!AY20</f>
        <v>0</v>
      </c>
      <c r="BK20" s="61">
        <f>-'5C1Y_GEO'!AY20</f>
        <v>0</v>
      </c>
      <c r="BL20" s="61">
        <f>-'5C1Z_Lincoln Prep'!AY20</f>
        <v>-12</v>
      </c>
      <c r="BM20" s="61">
        <f>-'5C1AD_Greater'!AY20</f>
        <v>0</v>
      </c>
      <c r="BN20" s="61">
        <f>-'5C1AE_Noble Minds'!AY20</f>
        <v>0</v>
      </c>
      <c r="BO20" s="61">
        <f>-'5C1AF_JCFA-Laf'!AY20</f>
        <v>0</v>
      </c>
      <c r="BP20" s="61">
        <f>-'5C1AG_Collegiate'!AY20</f>
        <v>0</v>
      </c>
      <c r="BQ20" s="61">
        <f>-'5C1AH_BRUP'!AY20</f>
        <v>0</v>
      </c>
      <c r="BR20" s="61">
        <f>-'5C1AI_Harmony'!$AY20</f>
        <v>0</v>
      </c>
      <c r="BS20" s="61">
        <f>-'5C1AJ_Athlos'!$AY20</f>
        <v>0</v>
      </c>
      <c r="BT20" s="61">
        <f>-'5C1AK_NxtGen'!$AY20</f>
        <v>0</v>
      </c>
      <c r="BU20" s="61">
        <f>-'5C1AL_Red River'!$AY20</f>
        <v>0</v>
      </c>
      <c r="BV20" s="61">
        <f>-'5C2_LAVCA'!AZ20</f>
        <v>40</v>
      </c>
      <c r="BW20" s="61">
        <f>-'5C3_UnvView'!AZ20</f>
        <v>4</v>
      </c>
      <c r="BX20" s="61">
        <f t="shared" si="5"/>
        <v>32</v>
      </c>
      <c r="BY20" s="371">
        <f t="shared" si="6"/>
        <v>921410</v>
      </c>
    </row>
    <row r="21" spans="1:77" s="7" customFormat="1" ht="15.75" customHeight="1" x14ac:dyDescent="0.2">
      <c r="A21" s="358">
        <v>15</v>
      </c>
      <c r="B21" s="359" t="s">
        <v>19</v>
      </c>
      <c r="C21" s="360">
        <f>'2_State Distrib and Adjs'!AZ21</f>
        <v>1861457</v>
      </c>
      <c r="D21" s="360">
        <f>-'5A3_OJJ'!S21</f>
        <v>-249</v>
      </c>
      <c r="E21" s="360"/>
      <c r="F21" s="360">
        <f>-'5C1A_Madison'!AS21</f>
        <v>0</v>
      </c>
      <c r="G21" s="360">
        <f>-'5C1B_DArbonne'!AS21</f>
        <v>0</v>
      </c>
      <c r="H21" s="360">
        <f>-'5C1C_Intl High'!AS21</f>
        <v>0</v>
      </c>
      <c r="I21" s="360">
        <f>-'5C1D_NOMMA'!AS21</f>
        <v>0</v>
      </c>
      <c r="J21" s="360">
        <f>-'5C1E_LFNO'!AS21</f>
        <v>0</v>
      </c>
      <c r="K21" s="360">
        <f>-'5C1F_L.C. Charter'!AS21</f>
        <v>0</v>
      </c>
      <c r="L21" s="360">
        <f>-'5C1G_JS Clark'!AS21</f>
        <v>0</v>
      </c>
      <c r="M21" s="360">
        <f>-'5C1H_Southwest'!AS21</f>
        <v>0</v>
      </c>
      <c r="N21" s="360">
        <f>-'5C1I_LA Key'!AS21</f>
        <v>0</v>
      </c>
      <c r="O21" s="360">
        <f>-'5C1J_JCFA-East'!AS21</f>
        <v>0</v>
      </c>
      <c r="P21" s="360">
        <f>-'5C1M_GEO Mid'!AS21</f>
        <v>0</v>
      </c>
      <c r="Q21" s="360">
        <f>-'5C1N_Delta'!AS21</f>
        <v>-81347</v>
      </c>
      <c r="R21" s="360">
        <f>-'5C1O_Impact'!AS21</f>
        <v>0</v>
      </c>
      <c r="S21" s="360">
        <f>-'5C1Q_Advantage'!AS21</f>
        <v>0</v>
      </c>
      <c r="T21" s="360">
        <f>-'5C1R_Iberville'!AS21</f>
        <v>0</v>
      </c>
      <c r="U21" s="360">
        <f>-'5C1S_LC Col Prep'!AS21</f>
        <v>0</v>
      </c>
      <c r="V21" s="360">
        <f>-'5C1T_Northeast'!AS21</f>
        <v>0</v>
      </c>
      <c r="W21" s="360">
        <f>-'5C1U_Acadiana Ren'!AS21</f>
        <v>0</v>
      </c>
      <c r="X21" s="360">
        <f>-'5C1V_Laf Ren'!AS21</f>
        <v>0</v>
      </c>
      <c r="Y21" s="360">
        <f>-'5C1W_Willow'!AS21</f>
        <v>0</v>
      </c>
      <c r="Z21" s="360">
        <f>-'5C1Y_GEO'!AS21</f>
        <v>0</v>
      </c>
      <c r="AA21" s="360">
        <f>-'5C1Z_Lincoln Prep'!AS21</f>
        <v>0</v>
      </c>
      <c r="AB21" s="360">
        <f>-'5C1AD_Greater'!$AS21</f>
        <v>0</v>
      </c>
      <c r="AC21" s="360">
        <f>-'5C1AE_Noble Minds'!$AS21</f>
        <v>0</v>
      </c>
      <c r="AD21" s="360">
        <f>-'5C1AF_JCFA-Laf'!$AS21</f>
        <v>0</v>
      </c>
      <c r="AE21" s="360">
        <f>-'5C1AG_Collegiate'!$AS21</f>
        <v>0</v>
      </c>
      <c r="AF21" s="360">
        <f>-'5C1AH_BRUP'!$AS21</f>
        <v>0</v>
      </c>
      <c r="AG21" s="657">
        <f>-'5C1AI_Harmony'!$AS21</f>
        <v>0</v>
      </c>
      <c r="AH21" s="657">
        <f>-'5C1AJ_Athlos'!$AS21</f>
        <v>0</v>
      </c>
      <c r="AI21" s="892">
        <f>-'5C1AK_NxtGen'!$AS21</f>
        <v>0</v>
      </c>
      <c r="AJ21" s="892">
        <f>-'5C1AL_Red River'!$AS21</f>
        <v>0</v>
      </c>
      <c r="AK21" s="360">
        <f>-'5C2_LAVCA'!AT21</f>
        <v>-1005</v>
      </c>
      <c r="AL21" s="360">
        <f>-'5C3_UnvView'!AT21</f>
        <v>-4248</v>
      </c>
      <c r="AM21" s="361">
        <f t="shared" si="3"/>
        <v>-86849</v>
      </c>
      <c r="AN21" s="362">
        <f t="shared" si="4"/>
        <v>1774608</v>
      </c>
      <c r="AO21" s="360"/>
      <c r="AP21" s="360"/>
      <c r="AQ21" s="360">
        <f>-'5C1A_Madison'!AY21</f>
        <v>0</v>
      </c>
      <c r="AR21" s="360">
        <f>-'5C1B_DArbonne'!AY21</f>
        <v>0</v>
      </c>
      <c r="AS21" s="360">
        <f>-'5C1C_Intl High'!AY21</f>
        <v>0</v>
      </c>
      <c r="AT21" s="360">
        <f>-'5C1D_NOMMA'!AY21</f>
        <v>0</v>
      </c>
      <c r="AU21" s="360">
        <f>-'5C1E_LFNO'!AY21</f>
        <v>0</v>
      </c>
      <c r="AV21" s="360">
        <f>-'5C1F_L.C. Charter'!AY21</f>
        <v>0</v>
      </c>
      <c r="AW21" s="360">
        <f>-'5C1G_JS Clark'!AY21</f>
        <v>0</v>
      </c>
      <c r="AX21" s="360">
        <f>-'5C1H_Southwest'!AY21</f>
        <v>0</v>
      </c>
      <c r="AY21" s="360">
        <f>-'5C1I_LA Key'!AY21</f>
        <v>0</v>
      </c>
      <c r="AZ21" s="360">
        <f>-'5C1J_JCFA-East'!AY21</f>
        <v>0</v>
      </c>
      <c r="BA21" s="360">
        <f>-'5C1M_GEO Mid'!AY21</f>
        <v>0</v>
      </c>
      <c r="BB21" s="360">
        <f>-'5C1N_Delta'!AY21</f>
        <v>51</v>
      </c>
      <c r="BC21" s="360">
        <f>-'5C1O_Impact'!AY21</f>
        <v>0</v>
      </c>
      <c r="BD21" s="360">
        <f>-'5C1Q_Advantage'!AY21</f>
        <v>0</v>
      </c>
      <c r="BE21" s="360">
        <f>-'5C1R_Iberville'!AY21</f>
        <v>0</v>
      </c>
      <c r="BF21" s="360">
        <f>-'5C1S_LC Col Prep'!AY21</f>
        <v>0</v>
      </c>
      <c r="BG21" s="360">
        <f>-'5C1T_Northeast'!AY21</f>
        <v>0</v>
      </c>
      <c r="BH21" s="360">
        <f>-'5C1U_Acadiana Ren'!AY21</f>
        <v>0</v>
      </c>
      <c r="BI21" s="360">
        <f>-'5C1V_Laf Ren'!AY21</f>
        <v>0</v>
      </c>
      <c r="BJ21" s="360">
        <f>-'5C1W_Willow'!AY21</f>
        <v>0</v>
      </c>
      <c r="BK21" s="360">
        <f>-'5C1Y_GEO'!AY21</f>
        <v>0</v>
      </c>
      <c r="BL21" s="360">
        <f>-'5C1Z_Lincoln Prep'!AY21</f>
        <v>0</v>
      </c>
      <c r="BM21" s="360">
        <f>-'5C1AD_Greater'!AY21</f>
        <v>0</v>
      </c>
      <c r="BN21" s="360">
        <f>-'5C1AE_Noble Minds'!AY21</f>
        <v>0</v>
      </c>
      <c r="BO21" s="360">
        <f>-'5C1AF_JCFA-Laf'!AY21</f>
        <v>0</v>
      </c>
      <c r="BP21" s="360">
        <f>-'5C1AG_Collegiate'!AY21</f>
        <v>0</v>
      </c>
      <c r="BQ21" s="360">
        <f>-'5C1AH_BRUP'!AY21</f>
        <v>0</v>
      </c>
      <c r="BR21" s="657">
        <f>-'5C1AI_Harmony'!$AY21</f>
        <v>0</v>
      </c>
      <c r="BS21" s="657">
        <f>-'5C1AJ_Athlos'!$AY21</f>
        <v>0</v>
      </c>
      <c r="BT21" s="892">
        <f>-'5C1AK_NxtGen'!$AY21</f>
        <v>0</v>
      </c>
      <c r="BU21" s="892">
        <f>-'5C1AL_Red River'!$AY21</f>
        <v>0</v>
      </c>
      <c r="BV21" s="360">
        <f>-'5C2_LAVCA'!AZ21</f>
        <v>12</v>
      </c>
      <c r="BW21" s="360">
        <f>-'5C3_UnvView'!AZ21</f>
        <v>-39</v>
      </c>
      <c r="BX21" s="360">
        <f t="shared" si="5"/>
        <v>24</v>
      </c>
      <c r="BY21" s="362">
        <f t="shared" si="6"/>
        <v>1774632</v>
      </c>
    </row>
    <row r="22" spans="1:77" s="7" customFormat="1" ht="15.75" customHeight="1" x14ac:dyDescent="0.2">
      <c r="A22" s="368">
        <v>16</v>
      </c>
      <c r="B22" s="369" t="s">
        <v>20</v>
      </c>
      <c r="C22" s="61">
        <f>'2_State Distrib and Adjs'!AZ22</f>
        <v>1204419</v>
      </c>
      <c r="D22" s="61">
        <f>-'5A3_OJJ'!S22</f>
        <v>-554</v>
      </c>
      <c r="E22" s="61"/>
      <c r="F22" s="61">
        <f>-'5C1A_Madison'!AS22</f>
        <v>0</v>
      </c>
      <c r="G22" s="61">
        <f>-'5C1B_DArbonne'!AS22</f>
        <v>0</v>
      </c>
      <c r="H22" s="61">
        <f>-'5C1C_Intl High'!AS22</f>
        <v>0</v>
      </c>
      <c r="I22" s="61">
        <f>-'5C1D_NOMMA'!AS22</f>
        <v>0</v>
      </c>
      <c r="J22" s="61">
        <f>-'5C1E_LFNO'!AS22</f>
        <v>0</v>
      </c>
      <c r="K22" s="61">
        <f>-'5C1F_L.C. Charter'!AS22</f>
        <v>0</v>
      </c>
      <c r="L22" s="61">
        <f>-'5C1G_JS Clark'!AS22</f>
        <v>0</v>
      </c>
      <c r="M22" s="61">
        <f>-'5C1H_Southwest'!AS22</f>
        <v>0</v>
      </c>
      <c r="N22" s="61">
        <f>-'5C1I_LA Key'!AS22</f>
        <v>0</v>
      </c>
      <c r="O22" s="61">
        <f>-'5C1J_JCFA-East'!AS22</f>
        <v>0</v>
      </c>
      <c r="P22" s="61">
        <f>-'5C1M_GEO Mid'!AS22</f>
        <v>0</v>
      </c>
      <c r="Q22" s="61">
        <f>-'5C1N_Delta'!AS22</f>
        <v>0</v>
      </c>
      <c r="R22" s="61">
        <f>-'5C1O_Impact'!AS22</f>
        <v>0</v>
      </c>
      <c r="S22" s="61">
        <f>-'5C1Q_Advantage'!AS22</f>
        <v>0</v>
      </c>
      <c r="T22" s="61">
        <f>-'5C1R_Iberville'!AS22</f>
        <v>0</v>
      </c>
      <c r="U22" s="61">
        <f>-'5C1S_LC Col Prep'!AS22</f>
        <v>0</v>
      </c>
      <c r="V22" s="61">
        <f>-'5C1T_Northeast'!AS22</f>
        <v>0</v>
      </c>
      <c r="W22" s="61">
        <f>-'5C1U_Acadiana Ren'!AS22</f>
        <v>0</v>
      </c>
      <c r="X22" s="61">
        <f>-'5C1V_Laf Ren'!AS22</f>
        <v>0</v>
      </c>
      <c r="Y22" s="61">
        <f>-'5C1W_Willow'!AS22</f>
        <v>0</v>
      </c>
      <c r="Z22" s="61">
        <f>-'5C1Y_GEO'!AS22</f>
        <v>0</v>
      </c>
      <c r="AA22" s="61">
        <f>-'5C1Z_Lincoln Prep'!AS22</f>
        <v>0</v>
      </c>
      <c r="AB22" s="61">
        <f>-'5C1AD_Greater'!$AS22</f>
        <v>0</v>
      </c>
      <c r="AC22" s="61">
        <f>-'5C1AE_Noble Minds'!$AS22</f>
        <v>0</v>
      </c>
      <c r="AD22" s="61">
        <f>-'5C1AF_JCFA-Laf'!$AS22</f>
        <v>0</v>
      </c>
      <c r="AE22" s="61">
        <f>-'5C1AG_Collegiate'!$AS22</f>
        <v>0</v>
      </c>
      <c r="AF22" s="61">
        <f>-'5C1AH_BRUP'!$AS22</f>
        <v>0</v>
      </c>
      <c r="AG22" s="61">
        <f>-'5C1AI_Harmony'!$AS22</f>
        <v>0</v>
      </c>
      <c r="AH22" s="61">
        <f>-'5C1AJ_Athlos'!$AS22</f>
        <v>0</v>
      </c>
      <c r="AI22" s="61">
        <f>-'5C1AK_NxtGen'!$AS22</f>
        <v>0</v>
      </c>
      <c r="AJ22" s="61">
        <f>-'5C1AL_Red River'!$AS22</f>
        <v>0</v>
      </c>
      <c r="AK22" s="61">
        <f>-'5C2_LAVCA'!AT22</f>
        <v>-16410</v>
      </c>
      <c r="AL22" s="61">
        <f>-'5C3_UnvView'!AT22</f>
        <v>-3602</v>
      </c>
      <c r="AM22" s="370">
        <f t="shared" si="3"/>
        <v>-20566</v>
      </c>
      <c r="AN22" s="371">
        <f t="shared" si="4"/>
        <v>1183853</v>
      </c>
      <c r="AO22" s="61"/>
      <c r="AP22" s="61"/>
      <c r="AQ22" s="61">
        <f>-'5C1A_Madison'!AY22</f>
        <v>0</v>
      </c>
      <c r="AR22" s="61">
        <f>-'5C1B_DArbonne'!AY22</f>
        <v>0</v>
      </c>
      <c r="AS22" s="61">
        <f>-'5C1C_Intl High'!AY22</f>
        <v>0</v>
      </c>
      <c r="AT22" s="61">
        <f>-'5C1D_NOMMA'!AY22</f>
        <v>0</v>
      </c>
      <c r="AU22" s="61">
        <f>-'5C1E_LFNO'!AY22</f>
        <v>0</v>
      </c>
      <c r="AV22" s="61">
        <f>-'5C1F_L.C. Charter'!AY22</f>
        <v>0</v>
      </c>
      <c r="AW22" s="61">
        <f>-'5C1G_JS Clark'!AY22</f>
        <v>0</v>
      </c>
      <c r="AX22" s="61">
        <f>-'5C1H_Southwest'!AY22</f>
        <v>0</v>
      </c>
      <c r="AY22" s="61">
        <f>-'5C1I_LA Key'!AY22</f>
        <v>0</v>
      </c>
      <c r="AZ22" s="61">
        <f>-'5C1J_JCFA-East'!AY22</f>
        <v>0</v>
      </c>
      <c r="BA22" s="61">
        <f>-'5C1M_GEO Mid'!AY22</f>
        <v>0</v>
      </c>
      <c r="BB22" s="61">
        <f>-'5C1N_Delta'!AY22</f>
        <v>0</v>
      </c>
      <c r="BC22" s="61">
        <f>-'5C1O_Impact'!AY22</f>
        <v>0</v>
      </c>
      <c r="BD22" s="61">
        <f>-'5C1Q_Advantage'!AY22</f>
        <v>0</v>
      </c>
      <c r="BE22" s="61">
        <f>-'5C1R_Iberville'!AY22</f>
        <v>0</v>
      </c>
      <c r="BF22" s="61">
        <f>-'5C1S_LC Col Prep'!AY22</f>
        <v>0</v>
      </c>
      <c r="BG22" s="61">
        <f>-'5C1T_Northeast'!AY22</f>
        <v>0</v>
      </c>
      <c r="BH22" s="61">
        <f>-'5C1U_Acadiana Ren'!AY22</f>
        <v>0</v>
      </c>
      <c r="BI22" s="61">
        <f>-'5C1V_Laf Ren'!AY22</f>
        <v>0</v>
      </c>
      <c r="BJ22" s="61">
        <f>-'5C1W_Willow'!AY22</f>
        <v>0</v>
      </c>
      <c r="BK22" s="61">
        <f>-'5C1Y_GEO'!AY22</f>
        <v>0</v>
      </c>
      <c r="BL22" s="61">
        <f>-'5C1Z_Lincoln Prep'!AY22</f>
        <v>0</v>
      </c>
      <c r="BM22" s="61">
        <f>-'5C1AD_Greater'!AY22</f>
        <v>0</v>
      </c>
      <c r="BN22" s="61">
        <f>-'5C1AE_Noble Minds'!AY22</f>
        <v>0</v>
      </c>
      <c r="BO22" s="61">
        <f>-'5C1AF_JCFA-Laf'!AY22</f>
        <v>0</v>
      </c>
      <c r="BP22" s="61">
        <f>-'5C1AG_Collegiate'!AY22</f>
        <v>0</v>
      </c>
      <c r="BQ22" s="61">
        <f>-'5C1AH_BRUP'!AY22</f>
        <v>0</v>
      </c>
      <c r="BR22" s="61">
        <f>-'5C1AI_Harmony'!$AY22</f>
        <v>0</v>
      </c>
      <c r="BS22" s="61">
        <f>-'5C1AJ_Athlos'!$AY22</f>
        <v>0</v>
      </c>
      <c r="BT22" s="61">
        <f>-'5C1AK_NxtGen'!$AY22</f>
        <v>0</v>
      </c>
      <c r="BU22" s="61">
        <f>-'5C1AL_Red River'!$AY22</f>
        <v>0</v>
      </c>
      <c r="BV22" s="61">
        <f>-'5C2_LAVCA'!AZ22</f>
        <v>25</v>
      </c>
      <c r="BW22" s="61">
        <f>-'5C3_UnvView'!AZ22</f>
        <v>98</v>
      </c>
      <c r="BX22" s="61">
        <f t="shared" si="5"/>
        <v>123</v>
      </c>
      <c r="BY22" s="371">
        <f t="shared" si="6"/>
        <v>1183976</v>
      </c>
    </row>
    <row r="23" spans="1:77" s="7" customFormat="1" ht="15.75" customHeight="1" x14ac:dyDescent="0.2">
      <c r="A23" s="368">
        <v>17</v>
      </c>
      <c r="B23" s="369" t="s">
        <v>21</v>
      </c>
      <c r="C23" s="61">
        <f>'2_State Distrib and Adjs'!AZ23</f>
        <v>14567464</v>
      </c>
      <c r="D23" s="61">
        <f>-'5A3_OJJ'!S23</f>
        <v>-12504</v>
      </c>
      <c r="E23" s="61">
        <f>-'5B2_RSD LA'!AU17-'5B2_RSD LA'!AU8</f>
        <v>-1080238</v>
      </c>
      <c r="F23" s="61">
        <f>-'5C1A_Madison'!AS23</f>
        <v>-343561</v>
      </c>
      <c r="G23" s="61">
        <f>-'5C1B_DArbonne'!AS23</f>
        <v>0</v>
      </c>
      <c r="H23" s="61">
        <f>-'5C1C_Intl High'!AS23</f>
        <v>0</v>
      </c>
      <c r="I23" s="61">
        <f>-'5C1D_NOMMA'!AS23</f>
        <v>0</v>
      </c>
      <c r="J23" s="61">
        <f>-'5C1E_LFNO'!AS23</f>
        <v>0</v>
      </c>
      <c r="K23" s="61">
        <f>-'5C1F_L.C. Charter'!AS23</f>
        <v>0</v>
      </c>
      <c r="L23" s="61">
        <f>-'5C1G_JS Clark'!AS23</f>
        <v>0</v>
      </c>
      <c r="M23" s="61">
        <f>-'5C1H_Southwest'!AS23</f>
        <v>-943</v>
      </c>
      <c r="N23" s="61">
        <f>-'5C1I_LA Key'!AS23</f>
        <v>-142669</v>
      </c>
      <c r="O23" s="61">
        <f>-'5C1J_JCFA-East'!AS23</f>
        <v>0</v>
      </c>
      <c r="P23" s="61">
        <f>-'5C1M_GEO Mid'!AS23</f>
        <v>-504067</v>
      </c>
      <c r="Q23" s="61">
        <f>-'5C1N_Delta'!AS23</f>
        <v>0</v>
      </c>
      <c r="R23" s="61">
        <f>-'5C1O_Impact'!AS23</f>
        <v>-149094</v>
      </c>
      <c r="S23" s="61">
        <f>-'5C1Q_Advantage'!AS23</f>
        <v>-68220</v>
      </c>
      <c r="T23" s="61">
        <f>-'5C1R_Iberville'!AS23</f>
        <v>-261</v>
      </c>
      <c r="U23" s="61">
        <f>-'5C1S_LC Col Prep'!AS23</f>
        <v>0</v>
      </c>
      <c r="V23" s="61">
        <f>-'5C1T_Northeast'!AS23</f>
        <v>0</v>
      </c>
      <c r="W23" s="61">
        <f>-'5C1U_Acadiana Ren'!AS23</f>
        <v>0</v>
      </c>
      <c r="X23" s="61">
        <f>-'5C1V_Laf Ren'!AS23</f>
        <v>0</v>
      </c>
      <c r="Y23" s="61">
        <f>-'5C1W_Willow'!AS23</f>
        <v>0</v>
      </c>
      <c r="Z23" s="61">
        <f>-'5C1Y_GEO'!AS23</f>
        <v>-591804</v>
      </c>
      <c r="AA23" s="61">
        <f>-'5C1Z_Lincoln Prep'!AS23</f>
        <v>0</v>
      </c>
      <c r="AB23" s="61">
        <f>-'5C1AD_Greater'!$AS23</f>
        <v>0</v>
      </c>
      <c r="AC23" s="61">
        <f>-'5C1AE_Noble Minds'!$AS23</f>
        <v>0</v>
      </c>
      <c r="AD23" s="61">
        <f>-'5C1AF_JCFA-Laf'!$AS23</f>
        <v>0</v>
      </c>
      <c r="AE23" s="61">
        <f>-'5C1AG_Collegiate'!$AS23</f>
        <v>-423083</v>
      </c>
      <c r="AF23" s="61">
        <f>-'5C1AH_BRUP'!$AS23</f>
        <v>-218798</v>
      </c>
      <c r="AG23" s="61">
        <f>-'5C1AI_Harmony'!$AS23</f>
        <v>0</v>
      </c>
      <c r="AH23" s="61">
        <f>-'5C1AJ_Athlos'!$AS23</f>
        <v>0</v>
      </c>
      <c r="AI23" s="61">
        <f>-'5C1AK_NxtGen'!$AS23</f>
        <v>-49309</v>
      </c>
      <c r="AJ23" s="61">
        <f>-'5C1AL_Red River'!$AS23</f>
        <v>0</v>
      </c>
      <c r="AK23" s="61">
        <f>-'5C2_LAVCA'!AT23</f>
        <v>-43187</v>
      </c>
      <c r="AL23" s="61">
        <f>-'5C3_UnvView'!AT23</f>
        <v>-198342</v>
      </c>
      <c r="AM23" s="370">
        <f t="shared" si="3"/>
        <v>-3826080</v>
      </c>
      <c r="AN23" s="371">
        <f t="shared" si="4"/>
        <v>10741384</v>
      </c>
      <c r="AO23" s="61">
        <v>6509</v>
      </c>
      <c r="AP23" s="61">
        <v>929</v>
      </c>
      <c r="AQ23" s="61">
        <f>-'5C1A_Madison'!AY23</f>
        <v>-163</v>
      </c>
      <c r="AR23" s="61">
        <f>-'5C1B_DArbonne'!AY23</f>
        <v>0</v>
      </c>
      <c r="AS23" s="61">
        <f>-'5C1C_Intl High'!AY23</f>
        <v>0</v>
      </c>
      <c r="AT23" s="61">
        <f>-'5C1D_NOMMA'!AY23</f>
        <v>0</v>
      </c>
      <c r="AU23" s="61">
        <f>-'5C1E_LFNO'!AY23</f>
        <v>0</v>
      </c>
      <c r="AV23" s="61">
        <f>-'5C1F_L.C. Charter'!AY23</f>
        <v>0</v>
      </c>
      <c r="AW23" s="61">
        <f>-'5C1G_JS Clark'!AY23</f>
        <v>0</v>
      </c>
      <c r="AX23" s="61">
        <f>-'5C1H_Southwest'!AY23</f>
        <v>-9</v>
      </c>
      <c r="AY23" s="61">
        <f>-'5C1I_LA Key'!AY23</f>
        <v>-360</v>
      </c>
      <c r="AZ23" s="61">
        <f>-'5C1J_JCFA-East'!AY23</f>
        <v>0</v>
      </c>
      <c r="BA23" s="61">
        <f>-'5C1M_GEO Mid'!AY23</f>
        <v>-1084</v>
      </c>
      <c r="BB23" s="61">
        <f>-'5C1N_Delta'!AY23</f>
        <v>0</v>
      </c>
      <c r="BC23" s="61">
        <f>-'5C1O_Impact'!AY23</f>
        <v>-395</v>
      </c>
      <c r="BD23" s="61">
        <f>-'5C1Q_Advantage'!AY23</f>
        <v>1150</v>
      </c>
      <c r="BE23" s="61">
        <f>-'5C1R_Iberville'!AY23</f>
        <v>11</v>
      </c>
      <c r="BF23" s="61">
        <f>-'5C1S_LC Col Prep'!AY23</f>
        <v>0</v>
      </c>
      <c r="BG23" s="61">
        <f>-'5C1T_Northeast'!AY23</f>
        <v>0</v>
      </c>
      <c r="BH23" s="61">
        <f>-'5C1U_Acadiana Ren'!AY23</f>
        <v>0</v>
      </c>
      <c r="BI23" s="61">
        <f>-'5C1V_Laf Ren'!AY23</f>
        <v>0</v>
      </c>
      <c r="BJ23" s="61">
        <f>-'5C1W_Willow'!AY23</f>
        <v>0</v>
      </c>
      <c r="BK23" s="61">
        <f>-'5C1Y_GEO'!AY23</f>
        <v>-2890</v>
      </c>
      <c r="BL23" s="61">
        <f>-'5C1Z_Lincoln Prep'!AY23</f>
        <v>0</v>
      </c>
      <c r="BM23" s="61">
        <f>-'5C1AD_Greater'!AY23</f>
        <v>0</v>
      </c>
      <c r="BN23" s="61">
        <f>-'5C1AE_Noble Minds'!AY23</f>
        <v>0</v>
      </c>
      <c r="BO23" s="61">
        <f>-'5C1AF_JCFA-Laf'!AY23</f>
        <v>0</v>
      </c>
      <c r="BP23" s="61">
        <f>-'5C1AG_Collegiate'!AY23</f>
        <v>-2621</v>
      </c>
      <c r="BQ23" s="61">
        <f>-'5C1AH_BRUP'!AY23</f>
        <v>-757</v>
      </c>
      <c r="BR23" s="61">
        <f>-'5C1AI_Harmony'!$AY23</f>
        <v>0</v>
      </c>
      <c r="BS23" s="61">
        <f>-'5C1AJ_Athlos'!$AY23</f>
        <v>0</v>
      </c>
      <c r="BT23" s="61">
        <f>-'5C1AK_NxtGen'!$AY23</f>
        <v>27</v>
      </c>
      <c r="BU23" s="61">
        <f>-'5C1AL_Red River'!$AY23</f>
        <v>0</v>
      </c>
      <c r="BV23" s="61">
        <f>-'5C2_LAVCA'!AZ23</f>
        <v>201</v>
      </c>
      <c r="BW23" s="61">
        <f>-'5C3_UnvView'!AZ23</f>
        <v>-697</v>
      </c>
      <c r="BX23" s="61">
        <f t="shared" si="5"/>
        <v>-6658</v>
      </c>
      <c r="BY23" s="371">
        <f t="shared" si="6"/>
        <v>10741235</v>
      </c>
    </row>
    <row r="24" spans="1:77" s="7" customFormat="1" ht="15.75" customHeight="1" x14ac:dyDescent="0.2">
      <c r="A24" s="368">
        <v>18</v>
      </c>
      <c r="B24" s="369" t="s">
        <v>22</v>
      </c>
      <c r="C24" s="61">
        <f>'2_State Distrib and Adjs'!AZ24</f>
        <v>531083</v>
      </c>
      <c r="D24" s="61">
        <f>-'5A3_OJJ'!S24</f>
        <v>-338</v>
      </c>
      <c r="E24" s="61"/>
      <c r="F24" s="61">
        <f>-'5C1A_Madison'!AS24</f>
        <v>0</v>
      </c>
      <c r="G24" s="61">
        <f>-'5C1B_DArbonne'!AS24</f>
        <v>0</v>
      </c>
      <c r="H24" s="61">
        <f>-'5C1C_Intl High'!AS24</f>
        <v>0</v>
      </c>
      <c r="I24" s="61">
        <f>-'5C1D_NOMMA'!AS24</f>
        <v>0</v>
      </c>
      <c r="J24" s="61">
        <f>-'5C1E_LFNO'!AS24</f>
        <v>0</v>
      </c>
      <c r="K24" s="61">
        <f>-'5C1F_L.C. Charter'!AS24</f>
        <v>0</v>
      </c>
      <c r="L24" s="61">
        <f>-'5C1G_JS Clark'!AS24</f>
        <v>0</v>
      </c>
      <c r="M24" s="61">
        <f>-'5C1H_Southwest'!AS24</f>
        <v>0</v>
      </c>
      <c r="N24" s="61">
        <f>-'5C1I_LA Key'!AS24</f>
        <v>0</v>
      </c>
      <c r="O24" s="61">
        <f>-'5C1J_JCFA-East'!AS24</f>
        <v>0</v>
      </c>
      <c r="P24" s="61">
        <f>-'5C1M_GEO Mid'!AS24</f>
        <v>0</v>
      </c>
      <c r="Q24" s="61">
        <f>-'5C1N_Delta'!AS24</f>
        <v>0</v>
      </c>
      <c r="R24" s="61">
        <f>-'5C1O_Impact'!AS24</f>
        <v>0</v>
      </c>
      <c r="S24" s="61">
        <f>-'5C1Q_Advantage'!AS24</f>
        <v>0</v>
      </c>
      <c r="T24" s="61">
        <f>-'5C1R_Iberville'!AS24</f>
        <v>0</v>
      </c>
      <c r="U24" s="61">
        <f>-'5C1S_LC Col Prep'!AS24</f>
        <v>0</v>
      </c>
      <c r="V24" s="61">
        <f>-'5C1T_Northeast'!AS24</f>
        <v>0</v>
      </c>
      <c r="W24" s="61">
        <f>-'5C1U_Acadiana Ren'!AS24</f>
        <v>0</v>
      </c>
      <c r="X24" s="61">
        <f>-'5C1V_Laf Ren'!AS24</f>
        <v>0</v>
      </c>
      <c r="Y24" s="61">
        <f>-'5C1W_Willow'!AS24</f>
        <v>0</v>
      </c>
      <c r="Z24" s="61">
        <f>-'5C1Y_GEO'!AS24</f>
        <v>0</v>
      </c>
      <c r="AA24" s="61">
        <f>-'5C1Z_Lincoln Prep'!AS24</f>
        <v>0</v>
      </c>
      <c r="AB24" s="61">
        <f>-'5C1AD_Greater'!$AS24</f>
        <v>0</v>
      </c>
      <c r="AC24" s="61">
        <f>-'5C1AE_Noble Minds'!$AS24</f>
        <v>0</v>
      </c>
      <c r="AD24" s="61">
        <f>-'5C1AF_JCFA-Laf'!$AS24</f>
        <v>0</v>
      </c>
      <c r="AE24" s="61">
        <f>-'5C1AG_Collegiate'!$AS24</f>
        <v>0</v>
      </c>
      <c r="AF24" s="61">
        <f>-'5C1AH_BRUP'!$AS24</f>
        <v>0</v>
      </c>
      <c r="AG24" s="61">
        <f>-'5C1AI_Harmony'!$AS24</f>
        <v>0</v>
      </c>
      <c r="AH24" s="61">
        <f>-'5C1AJ_Athlos'!$AS24</f>
        <v>0</v>
      </c>
      <c r="AI24" s="61">
        <f>-'5C1AK_NxtGen'!$AS24</f>
        <v>0</v>
      </c>
      <c r="AJ24" s="61">
        <f>-'5C1AL_Red River'!$AS24</f>
        <v>0</v>
      </c>
      <c r="AK24" s="61">
        <f>-'5C2_LAVCA'!AT24</f>
        <v>-2381</v>
      </c>
      <c r="AL24" s="61">
        <f>-'5C3_UnvView'!AT24</f>
        <v>-366</v>
      </c>
      <c r="AM24" s="370">
        <f t="shared" si="3"/>
        <v>-3085</v>
      </c>
      <c r="AN24" s="371">
        <f t="shared" si="4"/>
        <v>527998</v>
      </c>
      <c r="AO24" s="61"/>
      <c r="AP24" s="61"/>
      <c r="AQ24" s="61">
        <f>-'5C1A_Madison'!AY24</f>
        <v>0</v>
      </c>
      <c r="AR24" s="61">
        <f>-'5C1B_DArbonne'!AY24</f>
        <v>0</v>
      </c>
      <c r="AS24" s="61">
        <f>-'5C1C_Intl High'!AY24</f>
        <v>0</v>
      </c>
      <c r="AT24" s="61">
        <f>-'5C1D_NOMMA'!AY24</f>
        <v>0</v>
      </c>
      <c r="AU24" s="61">
        <f>-'5C1E_LFNO'!AY24</f>
        <v>0</v>
      </c>
      <c r="AV24" s="61">
        <f>-'5C1F_L.C. Charter'!AY24</f>
        <v>0</v>
      </c>
      <c r="AW24" s="61">
        <f>-'5C1G_JS Clark'!AY24</f>
        <v>0</v>
      </c>
      <c r="AX24" s="61">
        <f>-'5C1H_Southwest'!AY24</f>
        <v>0</v>
      </c>
      <c r="AY24" s="61">
        <f>-'5C1I_LA Key'!AY24</f>
        <v>0</v>
      </c>
      <c r="AZ24" s="61">
        <f>-'5C1J_JCFA-East'!AY24</f>
        <v>0</v>
      </c>
      <c r="BA24" s="61">
        <f>-'5C1M_GEO Mid'!AY24</f>
        <v>0</v>
      </c>
      <c r="BB24" s="61">
        <f>-'5C1N_Delta'!AY24</f>
        <v>0</v>
      </c>
      <c r="BC24" s="61">
        <f>-'5C1O_Impact'!AY24</f>
        <v>0</v>
      </c>
      <c r="BD24" s="61">
        <f>-'5C1Q_Advantage'!AY24</f>
        <v>0</v>
      </c>
      <c r="BE24" s="61">
        <f>-'5C1R_Iberville'!AY24</f>
        <v>0</v>
      </c>
      <c r="BF24" s="61">
        <f>-'5C1S_LC Col Prep'!AY24</f>
        <v>0</v>
      </c>
      <c r="BG24" s="61">
        <f>-'5C1T_Northeast'!AY24</f>
        <v>0</v>
      </c>
      <c r="BH24" s="61">
        <f>-'5C1U_Acadiana Ren'!AY24</f>
        <v>0</v>
      </c>
      <c r="BI24" s="61">
        <f>-'5C1V_Laf Ren'!AY24</f>
        <v>0</v>
      </c>
      <c r="BJ24" s="61">
        <f>-'5C1W_Willow'!AY24</f>
        <v>0</v>
      </c>
      <c r="BK24" s="61">
        <f>-'5C1Y_GEO'!AY24</f>
        <v>0</v>
      </c>
      <c r="BL24" s="61">
        <f>-'5C1Z_Lincoln Prep'!AY24</f>
        <v>0</v>
      </c>
      <c r="BM24" s="61">
        <f>-'5C1AD_Greater'!AY24</f>
        <v>0</v>
      </c>
      <c r="BN24" s="61">
        <f>-'5C1AE_Noble Minds'!AY24</f>
        <v>0</v>
      </c>
      <c r="BO24" s="61">
        <f>-'5C1AF_JCFA-Laf'!AY24</f>
        <v>0</v>
      </c>
      <c r="BP24" s="61">
        <f>-'5C1AG_Collegiate'!AY24</f>
        <v>0</v>
      </c>
      <c r="BQ24" s="61">
        <f>-'5C1AH_BRUP'!AY24</f>
        <v>0</v>
      </c>
      <c r="BR24" s="61">
        <f>-'5C1AI_Harmony'!$AY24</f>
        <v>0</v>
      </c>
      <c r="BS24" s="61">
        <f>-'5C1AJ_Athlos'!$AY24</f>
        <v>0</v>
      </c>
      <c r="BT24" s="61">
        <f>-'5C1AK_NxtGen'!$AY24</f>
        <v>0</v>
      </c>
      <c r="BU24" s="61">
        <f>-'5C1AL_Red River'!$AY24</f>
        <v>0</v>
      </c>
      <c r="BV24" s="61">
        <f>-'5C2_LAVCA'!AZ24</f>
        <v>-18</v>
      </c>
      <c r="BW24" s="61">
        <f>-'5C3_UnvView'!AZ24</f>
        <v>1</v>
      </c>
      <c r="BX24" s="61">
        <f t="shared" si="5"/>
        <v>-17</v>
      </c>
      <c r="BY24" s="371">
        <f t="shared" si="6"/>
        <v>527981</v>
      </c>
    </row>
    <row r="25" spans="1:77" s="7" customFormat="1" ht="15.75" customHeight="1" x14ac:dyDescent="0.2">
      <c r="A25" s="368">
        <v>19</v>
      </c>
      <c r="B25" s="369" t="s">
        <v>23</v>
      </c>
      <c r="C25" s="61">
        <f>'2_State Distrib and Adjs'!AZ25</f>
        <v>842345</v>
      </c>
      <c r="D25" s="61">
        <f>-'5A3_OJJ'!S25</f>
        <v>0</v>
      </c>
      <c r="E25" s="61"/>
      <c r="F25" s="61">
        <f>-'5C1A_Madison'!AS25</f>
        <v>0</v>
      </c>
      <c r="G25" s="61">
        <f>-'5C1B_DArbonne'!AS25</f>
        <v>0</v>
      </c>
      <c r="H25" s="61">
        <f>-'5C1C_Intl High'!AS25</f>
        <v>0</v>
      </c>
      <c r="I25" s="61">
        <f>-'5C1D_NOMMA'!AS25</f>
        <v>0</v>
      </c>
      <c r="J25" s="61">
        <f>-'5C1E_LFNO'!AS25</f>
        <v>0</v>
      </c>
      <c r="K25" s="61">
        <f>-'5C1F_L.C. Charter'!AS25</f>
        <v>0</v>
      </c>
      <c r="L25" s="61">
        <f>-'5C1G_JS Clark'!AS25</f>
        <v>0</v>
      </c>
      <c r="M25" s="61">
        <f>-'5C1H_Southwest'!AS25</f>
        <v>0</v>
      </c>
      <c r="N25" s="61">
        <f>-'5C1I_LA Key'!AS25</f>
        <v>-2581</v>
      </c>
      <c r="O25" s="61">
        <f>-'5C1J_JCFA-East'!AS25</f>
        <v>0</v>
      </c>
      <c r="P25" s="61">
        <f>-'5C1M_GEO Mid'!AS25</f>
        <v>0</v>
      </c>
      <c r="Q25" s="61">
        <f>-'5C1N_Delta'!AS25</f>
        <v>0</v>
      </c>
      <c r="R25" s="61">
        <f>-'5C1O_Impact'!AS25</f>
        <v>650</v>
      </c>
      <c r="S25" s="61">
        <f>-'5C1Q_Advantage'!AS25</f>
        <v>-6615</v>
      </c>
      <c r="T25" s="61">
        <f>-'5C1R_Iberville'!AS25</f>
        <v>0</v>
      </c>
      <c r="U25" s="61">
        <f>-'5C1S_LC Col Prep'!AS25</f>
        <v>0</v>
      </c>
      <c r="V25" s="61">
        <f>-'5C1T_Northeast'!AS25</f>
        <v>0</v>
      </c>
      <c r="W25" s="61">
        <f>-'5C1U_Acadiana Ren'!AS25</f>
        <v>0</v>
      </c>
      <c r="X25" s="61">
        <f>-'5C1V_Laf Ren'!AS25</f>
        <v>0</v>
      </c>
      <c r="Y25" s="61">
        <f>-'5C1W_Willow'!AS25</f>
        <v>0</v>
      </c>
      <c r="Z25" s="61">
        <f>-'5C1Y_GEO'!AS25</f>
        <v>-1062</v>
      </c>
      <c r="AA25" s="61">
        <f>-'5C1Z_Lincoln Prep'!AS25</f>
        <v>0</v>
      </c>
      <c r="AB25" s="61">
        <f>-'5C1AD_Greater'!$AS25</f>
        <v>0</v>
      </c>
      <c r="AC25" s="61">
        <f>-'5C1AE_Noble Minds'!$AS25</f>
        <v>0</v>
      </c>
      <c r="AD25" s="61">
        <f>-'5C1AF_JCFA-Laf'!$AS25</f>
        <v>0</v>
      </c>
      <c r="AE25" s="61">
        <f>-'5C1AG_Collegiate'!$AS25</f>
        <v>0</v>
      </c>
      <c r="AF25" s="61">
        <f>-'5C1AH_BRUP'!$AS25</f>
        <v>0</v>
      </c>
      <c r="AG25" s="61">
        <f>-'5C1AI_Harmony'!$AS25</f>
        <v>0</v>
      </c>
      <c r="AH25" s="61">
        <f>-'5C1AJ_Athlos'!$AS25</f>
        <v>0</v>
      </c>
      <c r="AI25" s="61">
        <f>-'5C1AK_NxtGen'!$AS25</f>
        <v>0</v>
      </c>
      <c r="AJ25" s="61">
        <f>-'5C1AL_Red River'!$AS25</f>
        <v>0</v>
      </c>
      <c r="AK25" s="61">
        <f>-'5C2_LAVCA'!AT25</f>
        <v>-4079</v>
      </c>
      <c r="AL25" s="61">
        <f>-'5C3_UnvView'!AT25</f>
        <v>-12741</v>
      </c>
      <c r="AM25" s="370">
        <f t="shared" si="3"/>
        <v>-26428</v>
      </c>
      <c r="AN25" s="371">
        <f t="shared" si="4"/>
        <v>815917</v>
      </c>
      <c r="AO25" s="61"/>
      <c r="AP25" s="61"/>
      <c r="AQ25" s="61">
        <f>-'5C1A_Madison'!AY25</f>
        <v>0</v>
      </c>
      <c r="AR25" s="61">
        <f>-'5C1B_DArbonne'!AY25</f>
        <v>0</v>
      </c>
      <c r="AS25" s="61">
        <f>-'5C1C_Intl High'!AY25</f>
        <v>0</v>
      </c>
      <c r="AT25" s="61">
        <f>-'5C1D_NOMMA'!AY25</f>
        <v>0</v>
      </c>
      <c r="AU25" s="61">
        <f>-'5C1E_LFNO'!AY25</f>
        <v>0</v>
      </c>
      <c r="AV25" s="61">
        <f>-'5C1F_L.C. Charter'!AY25</f>
        <v>0</v>
      </c>
      <c r="AW25" s="61">
        <f>-'5C1G_JS Clark'!AY25</f>
        <v>0</v>
      </c>
      <c r="AX25" s="61">
        <f>-'5C1H_Southwest'!AY25</f>
        <v>0</v>
      </c>
      <c r="AY25" s="61">
        <f>-'5C1I_LA Key'!AY25</f>
        <v>6</v>
      </c>
      <c r="AZ25" s="61">
        <f>-'5C1J_JCFA-East'!AY25</f>
        <v>0</v>
      </c>
      <c r="BA25" s="61">
        <f>-'5C1M_GEO Mid'!AY25</f>
        <v>0</v>
      </c>
      <c r="BB25" s="61">
        <f>-'5C1N_Delta'!AY25</f>
        <v>0</v>
      </c>
      <c r="BC25" s="61">
        <f>-'5C1O_Impact'!AY25</f>
        <v>10</v>
      </c>
      <c r="BD25" s="61">
        <f>-'5C1Q_Advantage'!AY25</f>
        <v>31</v>
      </c>
      <c r="BE25" s="61">
        <f>-'5C1R_Iberville'!AY25</f>
        <v>0</v>
      </c>
      <c r="BF25" s="61">
        <f>-'5C1S_LC Col Prep'!AY25</f>
        <v>0</v>
      </c>
      <c r="BG25" s="61">
        <f>-'5C1T_Northeast'!AY25</f>
        <v>0</v>
      </c>
      <c r="BH25" s="61">
        <f>-'5C1U_Acadiana Ren'!AY25</f>
        <v>0</v>
      </c>
      <c r="BI25" s="61">
        <f>-'5C1V_Laf Ren'!AY25</f>
        <v>0</v>
      </c>
      <c r="BJ25" s="61">
        <f>-'5C1W_Willow'!AY25</f>
        <v>0</v>
      </c>
      <c r="BK25" s="61">
        <f>-'5C1Y_GEO'!AY25</f>
        <v>-11</v>
      </c>
      <c r="BL25" s="61">
        <f>-'5C1Z_Lincoln Prep'!AY25</f>
        <v>0</v>
      </c>
      <c r="BM25" s="61">
        <f>-'5C1AD_Greater'!AY25</f>
        <v>0</v>
      </c>
      <c r="BN25" s="61">
        <f>-'5C1AE_Noble Minds'!AY25</f>
        <v>0</v>
      </c>
      <c r="BO25" s="61">
        <f>-'5C1AF_JCFA-Laf'!AY25</f>
        <v>0</v>
      </c>
      <c r="BP25" s="61">
        <f>-'5C1AG_Collegiate'!AY25</f>
        <v>0</v>
      </c>
      <c r="BQ25" s="61">
        <f>-'5C1AH_BRUP'!AY25</f>
        <v>0</v>
      </c>
      <c r="BR25" s="61">
        <f>-'5C1AI_Harmony'!$AY25</f>
        <v>0</v>
      </c>
      <c r="BS25" s="61">
        <f>-'5C1AJ_Athlos'!$AY25</f>
        <v>0</v>
      </c>
      <c r="BT25" s="61">
        <f>-'5C1AK_NxtGen'!$AY25</f>
        <v>0</v>
      </c>
      <c r="BU25" s="61">
        <f>-'5C1AL_Red River'!$AY25</f>
        <v>0</v>
      </c>
      <c r="BV25" s="61">
        <f>-'5C2_LAVCA'!AZ25</f>
        <v>-8</v>
      </c>
      <c r="BW25" s="61">
        <f>-'5C3_UnvView'!AZ25</f>
        <v>-53</v>
      </c>
      <c r="BX25" s="61">
        <f t="shared" si="5"/>
        <v>-25</v>
      </c>
      <c r="BY25" s="371">
        <f t="shared" si="6"/>
        <v>815892</v>
      </c>
    </row>
    <row r="26" spans="1:77" s="7" customFormat="1" ht="15.75" customHeight="1" x14ac:dyDescent="0.2">
      <c r="A26" s="358">
        <v>20</v>
      </c>
      <c r="B26" s="359" t="s">
        <v>24</v>
      </c>
      <c r="C26" s="360">
        <f>'2_State Distrib and Adjs'!AZ26</f>
        <v>2924484</v>
      </c>
      <c r="D26" s="360">
        <f>-'5A3_OJJ'!S26</f>
        <v>-681</v>
      </c>
      <c r="E26" s="360"/>
      <c r="F26" s="360">
        <f>-'5C1A_Madison'!AS26</f>
        <v>0</v>
      </c>
      <c r="G26" s="360">
        <f>-'5C1B_DArbonne'!AS26</f>
        <v>0</v>
      </c>
      <c r="H26" s="360">
        <f>-'5C1C_Intl High'!AS26</f>
        <v>0</v>
      </c>
      <c r="I26" s="360">
        <f>-'5C1D_NOMMA'!AS26</f>
        <v>0</v>
      </c>
      <c r="J26" s="360">
        <f>-'5C1E_LFNO'!AS26</f>
        <v>0</v>
      </c>
      <c r="K26" s="360">
        <f>-'5C1F_L.C. Charter'!AS26</f>
        <v>0</v>
      </c>
      <c r="L26" s="360">
        <f>-'5C1G_JS Clark'!AS26</f>
        <v>-822</v>
      </c>
      <c r="M26" s="360">
        <f>-'5C1H_Southwest'!AS26</f>
        <v>0</v>
      </c>
      <c r="N26" s="360">
        <f>-'5C1I_LA Key'!AS26</f>
        <v>0</v>
      </c>
      <c r="O26" s="360">
        <f>-'5C1J_JCFA-East'!AS26</f>
        <v>0</v>
      </c>
      <c r="P26" s="360">
        <f>-'5C1M_GEO Mid'!AS26</f>
        <v>0</v>
      </c>
      <c r="Q26" s="360">
        <f>-'5C1N_Delta'!AS26</f>
        <v>0</v>
      </c>
      <c r="R26" s="360">
        <f>-'5C1O_Impact'!AS26</f>
        <v>0</v>
      </c>
      <c r="S26" s="360">
        <f>-'5C1Q_Advantage'!AS26</f>
        <v>0</v>
      </c>
      <c r="T26" s="360">
        <f>-'5C1R_Iberville'!AS26</f>
        <v>0</v>
      </c>
      <c r="U26" s="360">
        <f>-'5C1S_LC Col Prep'!AS26</f>
        <v>0</v>
      </c>
      <c r="V26" s="360">
        <f>-'5C1T_Northeast'!AS26</f>
        <v>0</v>
      </c>
      <c r="W26" s="360">
        <f>-'5C1U_Acadiana Ren'!AS26</f>
        <v>0</v>
      </c>
      <c r="X26" s="360">
        <f>-'5C1V_Laf Ren'!AS26</f>
        <v>0</v>
      </c>
      <c r="Y26" s="360">
        <f>-'5C1W_Willow'!AS26</f>
        <v>0</v>
      </c>
      <c r="Z26" s="360">
        <f>-'5C1Y_GEO'!AS26</f>
        <v>0</v>
      </c>
      <c r="AA26" s="360">
        <f>-'5C1Z_Lincoln Prep'!AS26</f>
        <v>0</v>
      </c>
      <c r="AB26" s="360">
        <f>-'5C1AD_Greater'!$AS26</f>
        <v>0</v>
      </c>
      <c r="AC26" s="360">
        <f>-'5C1AE_Noble Minds'!$AS26</f>
        <v>0</v>
      </c>
      <c r="AD26" s="360">
        <f>-'5C1AF_JCFA-Laf'!$AS26</f>
        <v>0</v>
      </c>
      <c r="AE26" s="360">
        <f>-'5C1AG_Collegiate'!$AS26</f>
        <v>0</v>
      </c>
      <c r="AF26" s="360">
        <f>-'5C1AH_BRUP'!$AS26</f>
        <v>0</v>
      </c>
      <c r="AG26" s="657">
        <f>-'5C1AI_Harmony'!$AS26</f>
        <v>0</v>
      </c>
      <c r="AH26" s="657">
        <f>-'5C1AJ_Athlos'!$AS26</f>
        <v>0</v>
      </c>
      <c r="AI26" s="892">
        <f>-'5C1AK_NxtGen'!$AS26</f>
        <v>0</v>
      </c>
      <c r="AJ26" s="892">
        <f>-'5C1AL_Red River'!$AS26</f>
        <v>0</v>
      </c>
      <c r="AK26" s="360">
        <f>-'5C2_LAVCA'!AT26</f>
        <v>-4552</v>
      </c>
      <c r="AL26" s="360">
        <f>-'5C3_UnvView'!AT26</f>
        <v>-6139</v>
      </c>
      <c r="AM26" s="361">
        <f t="shared" si="3"/>
        <v>-12194</v>
      </c>
      <c r="AN26" s="362">
        <f t="shared" si="4"/>
        <v>2912290</v>
      </c>
      <c r="AO26" s="360"/>
      <c r="AP26" s="360"/>
      <c r="AQ26" s="360">
        <f>-'5C1A_Madison'!AY26</f>
        <v>0</v>
      </c>
      <c r="AR26" s="360">
        <f>-'5C1B_DArbonne'!AY26</f>
        <v>0</v>
      </c>
      <c r="AS26" s="360">
        <f>-'5C1C_Intl High'!AY26</f>
        <v>0</v>
      </c>
      <c r="AT26" s="360">
        <f>-'5C1D_NOMMA'!AY26</f>
        <v>0</v>
      </c>
      <c r="AU26" s="360">
        <f>-'5C1E_LFNO'!AY26</f>
        <v>0</v>
      </c>
      <c r="AV26" s="360">
        <f>-'5C1F_L.C. Charter'!AY26</f>
        <v>0</v>
      </c>
      <c r="AW26" s="360">
        <f>-'5C1G_JS Clark'!AY26</f>
        <v>-4</v>
      </c>
      <c r="AX26" s="360">
        <f>-'5C1H_Southwest'!AY26</f>
        <v>0</v>
      </c>
      <c r="AY26" s="360">
        <f>-'5C1I_LA Key'!AY26</f>
        <v>0</v>
      </c>
      <c r="AZ26" s="360">
        <f>-'5C1J_JCFA-East'!AY26</f>
        <v>0</v>
      </c>
      <c r="BA26" s="360">
        <f>-'5C1M_GEO Mid'!AY26</f>
        <v>0</v>
      </c>
      <c r="BB26" s="360">
        <f>-'5C1N_Delta'!AY26</f>
        <v>0</v>
      </c>
      <c r="BC26" s="360">
        <f>-'5C1O_Impact'!AY26</f>
        <v>0</v>
      </c>
      <c r="BD26" s="360">
        <f>-'5C1Q_Advantage'!AY26</f>
        <v>0</v>
      </c>
      <c r="BE26" s="360">
        <f>-'5C1R_Iberville'!AY26</f>
        <v>0</v>
      </c>
      <c r="BF26" s="360">
        <f>-'5C1S_LC Col Prep'!AY26</f>
        <v>0</v>
      </c>
      <c r="BG26" s="360">
        <f>-'5C1T_Northeast'!AY26</f>
        <v>0</v>
      </c>
      <c r="BH26" s="360">
        <f>-'5C1U_Acadiana Ren'!AY26</f>
        <v>0</v>
      </c>
      <c r="BI26" s="360">
        <f>-'5C1V_Laf Ren'!AY26</f>
        <v>0</v>
      </c>
      <c r="BJ26" s="360">
        <f>-'5C1W_Willow'!AY26</f>
        <v>0</v>
      </c>
      <c r="BK26" s="360">
        <f>-'5C1Y_GEO'!AY26</f>
        <v>0</v>
      </c>
      <c r="BL26" s="360">
        <f>-'5C1Z_Lincoln Prep'!AY26</f>
        <v>0</v>
      </c>
      <c r="BM26" s="360">
        <f>-'5C1AD_Greater'!AY26</f>
        <v>0</v>
      </c>
      <c r="BN26" s="360">
        <f>-'5C1AE_Noble Minds'!AY26</f>
        <v>0</v>
      </c>
      <c r="BO26" s="360">
        <f>-'5C1AF_JCFA-Laf'!AY26</f>
        <v>0</v>
      </c>
      <c r="BP26" s="360">
        <f>-'5C1AG_Collegiate'!AY26</f>
        <v>0</v>
      </c>
      <c r="BQ26" s="360">
        <f>-'5C1AH_BRUP'!AY26</f>
        <v>0</v>
      </c>
      <c r="BR26" s="657">
        <f>-'5C1AI_Harmony'!$AY26</f>
        <v>0</v>
      </c>
      <c r="BS26" s="657">
        <f>-'5C1AJ_Athlos'!$AY26</f>
        <v>0</v>
      </c>
      <c r="BT26" s="892">
        <f>-'5C1AK_NxtGen'!$AY26</f>
        <v>0</v>
      </c>
      <c r="BU26" s="892">
        <f>-'5C1AL_Red River'!$AY26</f>
        <v>0</v>
      </c>
      <c r="BV26" s="360">
        <f>-'5C2_LAVCA'!AZ26</f>
        <v>-11</v>
      </c>
      <c r="BW26" s="360">
        <f>-'5C3_UnvView'!AZ26</f>
        <v>-29</v>
      </c>
      <c r="BX26" s="360">
        <f t="shared" si="5"/>
        <v>-44</v>
      </c>
      <c r="BY26" s="362">
        <f t="shared" si="6"/>
        <v>2912246</v>
      </c>
    </row>
    <row r="27" spans="1:77" s="7" customFormat="1" ht="15.75" customHeight="1" x14ac:dyDescent="0.2">
      <c r="A27" s="368">
        <v>21</v>
      </c>
      <c r="B27" s="369" t="s">
        <v>25</v>
      </c>
      <c r="C27" s="61">
        <f>'2_State Distrib and Adjs'!AZ27</f>
        <v>1645877</v>
      </c>
      <c r="D27" s="61">
        <f>-'5A3_OJJ'!S27</f>
        <v>-967</v>
      </c>
      <c r="E27" s="61"/>
      <c r="F27" s="61">
        <f>-'5C1A_Madison'!AS27</f>
        <v>0</v>
      </c>
      <c r="G27" s="61">
        <f>-'5C1B_DArbonne'!AS27</f>
        <v>0</v>
      </c>
      <c r="H27" s="61">
        <f>-'5C1C_Intl High'!AS27</f>
        <v>0</v>
      </c>
      <c r="I27" s="61">
        <f>-'5C1D_NOMMA'!AS27</f>
        <v>0</v>
      </c>
      <c r="J27" s="61">
        <f>-'5C1E_LFNO'!AS27</f>
        <v>0</v>
      </c>
      <c r="K27" s="61">
        <f>-'5C1F_L.C. Charter'!AS27</f>
        <v>0</v>
      </c>
      <c r="L27" s="61">
        <f>-'5C1G_JS Clark'!AS27</f>
        <v>0</v>
      </c>
      <c r="M27" s="61">
        <f>-'5C1H_Southwest'!AS27</f>
        <v>0</v>
      </c>
      <c r="N27" s="61">
        <f>-'5C1I_LA Key'!AS27</f>
        <v>0</v>
      </c>
      <c r="O27" s="61">
        <f>-'5C1J_JCFA-East'!AS27</f>
        <v>0</v>
      </c>
      <c r="P27" s="61">
        <f>-'5C1M_GEO Mid'!AS27</f>
        <v>0</v>
      </c>
      <c r="Q27" s="61">
        <f>-'5C1N_Delta'!AS27</f>
        <v>-482</v>
      </c>
      <c r="R27" s="61">
        <f>-'5C1O_Impact'!AS27</f>
        <v>0</v>
      </c>
      <c r="S27" s="61">
        <f>-'5C1Q_Advantage'!AS27</f>
        <v>0</v>
      </c>
      <c r="T27" s="61">
        <f>-'5C1R_Iberville'!AS27</f>
        <v>0</v>
      </c>
      <c r="U27" s="61">
        <f>-'5C1S_LC Col Prep'!AS27</f>
        <v>0</v>
      </c>
      <c r="V27" s="61">
        <f>-'5C1T_Northeast'!AS27</f>
        <v>0</v>
      </c>
      <c r="W27" s="61">
        <f>-'5C1U_Acadiana Ren'!AS27</f>
        <v>0</v>
      </c>
      <c r="X27" s="61">
        <f>-'5C1V_Laf Ren'!AS27</f>
        <v>0</v>
      </c>
      <c r="Y27" s="61">
        <f>-'5C1W_Willow'!AS27</f>
        <v>0</v>
      </c>
      <c r="Z27" s="61">
        <f>-'5C1Y_GEO'!AS27</f>
        <v>0</v>
      </c>
      <c r="AA27" s="61">
        <f>-'5C1Z_Lincoln Prep'!AS27</f>
        <v>0</v>
      </c>
      <c r="AB27" s="61">
        <f>-'5C1AD_Greater'!$AS27</f>
        <v>0</v>
      </c>
      <c r="AC27" s="61">
        <f>-'5C1AE_Noble Minds'!$AS27</f>
        <v>0</v>
      </c>
      <c r="AD27" s="61">
        <f>-'5C1AF_JCFA-Laf'!$AS27</f>
        <v>0</v>
      </c>
      <c r="AE27" s="61">
        <f>-'5C1AG_Collegiate'!$AS27</f>
        <v>0</v>
      </c>
      <c r="AF27" s="61">
        <f>-'5C1AH_BRUP'!$AS27</f>
        <v>0</v>
      </c>
      <c r="AG27" s="61">
        <f>-'5C1AI_Harmony'!$AS27</f>
        <v>0</v>
      </c>
      <c r="AH27" s="61">
        <f>-'5C1AJ_Athlos'!$AS27</f>
        <v>0</v>
      </c>
      <c r="AI27" s="61">
        <f>-'5C1AK_NxtGen'!$AS27</f>
        <v>0</v>
      </c>
      <c r="AJ27" s="61">
        <f>-'5C1AL_Red River'!$AS27</f>
        <v>0</v>
      </c>
      <c r="AK27" s="61">
        <f>-'5C2_LAVCA'!AT27</f>
        <v>1398</v>
      </c>
      <c r="AL27" s="61">
        <f>-'5C3_UnvView'!AT27</f>
        <v>-3150</v>
      </c>
      <c r="AM27" s="370">
        <f t="shared" si="3"/>
        <v>-3201</v>
      </c>
      <c r="AN27" s="371">
        <f t="shared" si="4"/>
        <v>1642676</v>
      </c>
      <c r="AO27" s="61"/>
      <c r="AP27" s="61"/>
      <c r="AQ27" s="61">
        <f>-'5C1A_Madison'!AY27</f>
        <v>0</v>
      </c>
      <c r="AR27" s="61">
        <f>-'5C1B_DArbonne'!AY27</f>
        <v>0</v>
      </c>
      <c r="AS27" s="61">
        <f>-'5C1C_Intl High'!AY27</f>
        <v>0</v>
      </c>
      <c r="AT27" s="61">
        <f>-'5C1D_NOMMA'!AY27</f>
        <v>0</v>
      </c>
      <c r="AU27" s="61">
        <f>-'5C1E_LFNO'!AY27</f>
        <v>0</v>
      </c>
      <c r="AV27" s="61">
        <f>-'5C1F_L.C. Charter'!AY27</f>
        <v>0</v>
      </c>
      <c r="AW27" s="61">
        <f>-'5C1G_JS Clark'!AY27</f>
        <v>0</v>
      </c>
      <c r="AX27" s="61">
        <f>-'5C1H_Southwest'!AY27</f>
        <v>0</v>
      </c>
      <c r="AY27" s="61">
        <f>-'5C1I_LA Key'!AY27</f>
        <v>0</v>
      </c>
      <c r="AZ27" s="61">
        <f>-'5C1J_JCFA-East'!AY27</f>
        <v>0</v>
      </c>
      <c r="BA27" s="61">
        <f>-'5C1M_GEO Mid'!AY27</f>
        <v>0</v>
      </c>
      <c r="BB27" s="61">
        <f>-'5C1N_Delta'!AY27</f>
        <v>0</v>
      </c>
      <c r="BC27" s="61">
        <f>-'5C1O_Impact'!AY27</f>
        <v>0</v>
      </c>
      <c r="BD27" s="61">
        <f>-'5C1Q_Advantage'!AY27</f>
        <v>0</v>
      </c>
      <c r="BE27" s="61">
        <f>-'5C1R_Iberville'!AY27</f>
        <v>0</v>
      </c>
      <c r="BF27" s="61">
        <f>-'5C1S_LC Col Prep'!AY27</f>
        <v>0</v>
      </c>
      <c r="BG27" s="61">
        <f>-'5C1T_Northeast'!AY27</f>
        <v>0</v>
      </c>
      <c r="BH27" s="61">
        <f>-'5C1U_Acadiana Ren'!AY27</f>
        <v>0</v>
      </c>
      <c r="BI27" s="61">
        <f>-'5C1V_Laf Ren'!AY27</f>
        <v>0</v>
      </c>
      <c r="BJ27" s="61">
        <f>-'5C1W_Willow'!AY27</f>
        <v>0</v>
      </c>
      <c r="BK27" s="61">
        <f>-'5C1Y_GEO'!AY27</f>
        <v>0</v>
      </c>
      <c r="BL27" s="61">
        <f>-'5C1Z_Lincoln Prep'!AY27</f>
        <v>0</v>
      </c>
      <c r="BM27" s="61">
        <f>-'5C1AD_Greater'!AY27</f>
        <v>0</v>
      </c>
      <c r="BN27" s="61">
        <f>-'5C1AE_Noble Minds'!AY27</f>
        <v>0</v>
      </c>
      <c r="BO27" s="61">
        <f>-'5C1AF_JCFA-Laf'!AY27</f>
        <v>0</v>
      </c>
      <c r="BP27" s="61">
        <f>-'5C1AG_Collegiate'!AY27</f>
        <v>0</v>
      </c>
      <c r="BQ27" s="61">
        <f>-'5C1AH_BRUP'!AY27</f>
        <v>0</v>
      </c>
      <c r="BR27" s="61">
        <f>-'5C1AI_Harmony'!$AY27</f>
        <v>0</v>
      </c>
      <c r="BS27" s="61">
        <f>-'5C1AJ_Athlos'!$AY27</f>
        <v>0</v>
      </c>
      <c r="BT27" s="61">
        <f>-'5C1AK_NxtGen'!$AY27</f>
        <v>0</v>
      </c>
      <c r="BU27" s="61">
        <f>-'5C1AL_Red River'!$AY27</f>
        <v>0</v>
      </c>
      <c r="BV27" s="61">
        <f>-'5C2_LAVCA'!AZ27</f>
        <v>47</v>
      </c>
      <c r="BW27" s="61">
        <f>-'5C3_UnvView'!AZ27</f>
        <v>-14</v>
      </c>
      <c r="BX27" s="61">
        <f t="shared" si="5"/>
        <v>33</v>
      </c>
      <c r="BY27" s="371">
        <f t="shared" si="6"/>
        <v>1642709</v>
      </c>
    </row>
    <row r="28" spans="1:77" s="7" customFormat="1" ht="15.75" customHeight="1" x14ac:dyDescent="0.2">
      <c r="A28" s="368">
        <v>22</v>
      </c>
      <c r="B28" s="369" t="s">
        <v>26</v>
      </c>
      <c r="C28" s="61">
        <f>'2_State Distrib and Adjs'!AZ28</f>
        <v>1750715</v>
      </c>
      <c r="D28" s="61">
        <f>-'5A3_OJJ'!S28</f>
        <v>-101</v>
      </c>
      <c r="E28" s="61"/>
      <c r="F28" s="61">
        <f>-'5C1A_Madison'!AS28</f>
        <v>0</v>
      </c>
      <c r="G28" s="61">
        <f>-'5C1B_DArbonne'!AS28</f>
        <v>0</v>
      </c>
      <c r="H28" s="61">
        <f>-'5C1C_Intl High'!AS28</f>
        <v>0</v>
      </c>
      <c r="I28" s="61">
        <f>-'5C1D_NOMMA'!AS28</f>
        <v>0</v>
      </c>
      <c r="J28" s="61">
        <f>-'5C1E_LFNO'!AS28</f>
        <v>0</v>
      </c>
      <c r="K28" s="61">
        <f>-'5C1F_L.C. Charter'!AS28</f>
        <v>0</v>
      </c>
      <c r="L28" s="61">
        <f>-'5C1G_JS Clark'!AS28</f>
        <v>0</v>
      </c>
      <c r="M28" s="61">
        <f>-'5C1H_Southwest'!AS28</f>
        <v>0</v>
      </c>
      <c r="N28" s="61">
        <f>-'5C1I_LA Key'!AS28</f>
        <v>0</v>
      </c>
      <c r="O28" s="61">
        <f>-'5C1J_JCFA-East'!AS28</f>
        <v>0</v>
      </c>
      <c r="P28" s="61">
        <f>-'5C1M_GEO Mid'!AS28</f>
        <v>0</v>
      </c>
      <c r="Q28" s="61">
        <f>-'5C1N_Delta'!AS28</f>
        <v>0</v>
      </c>
      <c r="R28" s="61">
        <f>-'5C1O_Impact'!AS28</f>
        <v>0</v>
      </c>
      <c r="S28" s="61">
        <f>-'5C1Q_Advantage'!AS28</f>
        <v>0</v>
      </c>
      <c r="T28" s="61">
        <f>-'5C1R_Iberville'!AS28</f>
        <v>0</v>
      </c>
      <c r="U28" s="61">
        <f>-'5C1S_LC Col Prep'!AS28</f>
        <v>0</v>
      </c>
      <c r="V28" s="61">
        <f>-'5C1T_Northeast'!AS28</f>
        <v>0</v>
      </c>
      <c r="W28" s="61">
        <f>-'5C1U_Acadiana Ren'!AS28</f>
        <v>0</v>
      </c>
      <c r="X28" s="61">
        <f>-'5C1V_Laf Ren'!AS28</f>
        <v>0</v>
      </c>
      <c r="Y28" s="61">
        <f>-'5C1W_Willow'!AS28</f>
        <v>0</v>
      </c>
      <c r="Z28" s="61">
        <f>-'5C1Y_GEO'!AS28</f>
        <v>0</v>
      </c>
      <c r="AA28" s="61">
        <f>-'5C1Z_Lincoln Prep'!AS28</f>
        <v>0</v>
      </c>
      <c r="AB28" s="61">
        <f>-'5C1AD_Greater'!$AS28</f>
        <v>0</v>
      </c>
      <c r="AC28" s="61">
        <f>-'5C1AE_Noble Minds'!$AS28</f>
        <v>0</v>
      </c>
      <c r="AD28" s="61">
        <f>-'5C1AF_JCFA-Laf'!$AS28</f>
        <v>0</v>
      </c>
      <c r="AE28" s="61">
        <f>-'5C1AG_Collegiate'!$AS28</f>
        <v>0</v>
      </c>
      <c r="AF28" s="61">
        <f>-'5C1AH_BRUP'!$AS28</f>
        <v>0</v>
      </c>
      <c r="AG28" s="61">
        <f>-'5C1AI_Harmony'!$AS28</f>
        <v>0</v>
      </c>
      <c r="AH28" s="61">
        <f>-'5C1AJ_Athlos'!$AS28</f>
        <v>0</v>
      </c>
      <c r="AI28" s="61">
        <f>-'5C1AK_NxtGen'!$AS28</f>
        <v>0</v>
      </c>
      <c r="AJ28" s="61">
        <f>-'5C1AL_Red River'!$AS28</f>
        <v>0</v>
      </c>
      <c r="AK28" s="61">
        <f>-'5C2_LAVCA'!AT28</f>
        <v>-2839</v>
      </c>
      <c r="AL28" s="61">
        <f>-'5C3_UnvView'!AT28</f>
        <v>-3314</v>
      </c>
      <c r="AM28" s="370">
        <f t="shared" si="3"/>
        <v>-6254</v>
      </c>
      <c r="AN28" s="371">
        <f t="shared" si="4"/>
        <v>1744461</v>
      </c>
      <c r="AO28" s="61"/>
      <c r="AP28" s="61"/>
      <c r="AQ28" s="61">
        <f>-'5C1A_Madison'!AY28</f>
        <v>0</v>
      </c>
      <c r="AR28" s="61">
        <f>-'5C1B_DArbonne'!AY28</f>
        <v>0</v>
      </c>
      <c r="AS28" s="61">
        <f>-'5C1C_Intl High'!AY28</f>
        <v>0</v>
      </c>
      <c r="AT28" s="61">
        <f>-'5C1D_NOMMA'!AY28</f>
        <v>0</v>
      </c>
      <c r="AU28" s="61">
        <f>-'5C1E_LFNO'!AY28</f>
        <v>0</v>
      </c>
      <c r="AV28" s="61">
        <f>-'5C1F_L.C. Charter'!AY28</f>
        <v>0</v>
      </c>
      <c r="AW28" s="61">
        <f>-'5C1G_JS Clark'!AY28</f>
        <v>0</v>
      </c>
      <c r="AX28" s="61">
        <f>-'5C1H_Southwest'!AY28</f>
        <v>0</v>
      </c>
      <c r="AY28" s="61">
        <f>-'5C1I_LA Key'!AY28</f>
        <v>0</v>
      </c>
      <c r="AZ28" s="61">
        <f>-'5C1J_JCFA-East'!AY28</f>
        <v>0</v>
      </c>
      <c r="BA28" s="61">
        <f>-'5C1M_GEO Mid'!AY28</f>
        <v>0</v>
      </c>
      <c r="BB28" s="61">
        <f>-'5C1N_Delta'!AY28</f>
        <v>0</v>
      </c>
      <c r="BC28" s="61">
        <f>-'5C1O_Impact'!AY28</f>
        <v>0</v>
      </c>
      <c r="BD28" s="61">
        <f>-'5C1Q_Advantage'!AY28</f>
        <v>0</v>
      </c>
      <c r="BE28" s="61">
        <f>-'5C1R_Iberville'!AY28</f>
        <v>0</v>
      </c>
      <c r="BF28" s="61">
        <f>-'5C1S_LC Col Prep'!AY28</f>
        <v>0</v>
      </c>
      <c r="BG28" s="61">
        <f>-'5C1T_Northeast'!AY28</f>
        <v>0</v>
      </c>
      <c r="BH28" s="61">
        <f>-'5C1U_Acadiana Ren'!AY28</f>
        <v>0</v>
      </c>
      <c r="BI28" s="61">
        <f>-'5C1V_Laf Ren'!AY28</f>
        <v>0</v>
      </c>
      <c r="BJ28" s="61">
        <f>-'5C1W_Willow'!AY28</f>
        <v>0</v>
      </c>
      <c r="BK28" s="61">
        <f>-'5C1Y_GEO'!AY28</f>
        <v>0</v>
      </c>
      <c r="BL28" s="61">
        <f>-'5C1Z_Lincoln Prep'!AY28</f>
        <v>0</v>
      </c>
      <c r="BM28" s="61">
        <f>-'5C1AD_Greater'!AY28</f>
        <v>0</v>
      </c>
      <c r="BN28" s="61">
        <f>-'5C1AE_Noble Minds'!AY28</f>
        <v>0</v>
      </c>
      <c r="BO28" s="61">
        <f>-'5C1AF_JCFA-Laf'!AY28</f>
        <v>0</v>
      </c>
      <c r="BP28" s="61">
        <f>-'5C1AG_Collegiate'!AY28</f>
        <v>0</v>
      </c>
      <c r="BQ28" s="61">
        <f>-'5C1AH_BRUP'!AY28</f>
        <v>0</v>
      </c>
      <c r="BR28" s="61">
        <f>-'5C1AI_Harmony'!$AY28</f>
        <v>0</v>
      </c>
      <c r="BS28" s="61">
        <f>-'5C1AJ_Athlos'!$AY28</f>
        <v>0</v>
      </c>
      <c r="BT28" s="61">
        <f>-'5C1AK_NxtGen'!$AY28</f>
        <v>0</v>
      </c>
      <c r="BU28" s="61">
        <f>-'5C1AL_Red River'!$AY28</f>
        <v>0</v>
      </c>
      <c r="BV28" s="61">
        <f>-'5C2_LAVCA'!AZ28</f>
        <v>-20</v>
      </c>
      <c r="BW28" s="61">
        <f>-'5C3_UnvView'!AZ28</f>
        <v>-8</v>
      </c>
      <c r="BX28" s="61">
        <f t="shared" si="5"/>
        <v>-28</v>
      </c>
      <c r="BY28" s="371">
        <f t="shared" si="6"/>
        <v>1744433</v>
      </c>
    </row>
    <row r="29" spans="1:77" s="7" customFormat="1" ht="15.75" customHeight="1" x14ac:dyDescent="0.2">
      <c r="A29" s="368">
        <v>23</v>
      </c>
      <c r="B29" s="369" t="s">
        <v>27</v>
      </c>
      <c r="C29" s="61">
        <f>'2_State Distrib and Adjs'!AZ29</f>
        <v>6155201</v>
      </c>
      <c r="D29" s="61">
        <f>-'5A3_OJJ'!S29</f>
        <v>-323</v>
      </c>
      <c r="E29" s="61"/>
      <c r="F29" s="61">
        <f>-'5C1A_Madison'!AS29</f>
        <v>0</v>
      </c>
      <c r="G29" s="61">
        <f>-'5C1B_DArbonne'!AS29</f>
        <v>0</v>
      </c>
      <c r="H29" s="61">
        <f>-'5C1C_Intl High'!AS29</f>
        <v>0</v>
      </c>
      <c r="I29" s="61">
        <f>-'5C1D_NOMMA'!AS29</f>
        <v>0</v>
      </c>
      <c r="J29" s="61">
        <f>-'5C1E_LFNO'!AS29</f>
        <v>0</v>
      </c>
      <c r="K29" s="61">
        <f>-'5C1F_L.C. Charter'!AS29</f>
        <v>0</v>
      </c>
      <c r="L29" s="61">
        <f>-'5C1G_JS Clark'!AS29</f>
        <v>0</v>
      </c>
      <c r="M29" s="61">
        <f>-'5C1H_Southwest'!AS29</f>
        <v>0</v>
      </c>
      <c r="N29" s="61">
        <f>-'5C1I_LA Key'!AS29</f>
        <v>0</v>
      </c>
      <c r="O29" s="61">
        <f>-'5C1J_JCFA-East'!AS29</f>
        <v>302</v>
      </c>
      <c r="P29" s="61">
        <f>-'5C1M_GEO Mid'!AS29</f>
        <v>0</v>
      </c>
      <c r="Q29" s="61">
        <f>-'5C1N_Delta'!AS29</f>
        <v>0</v>
      </c>
      <c r="R29" s="61">
        <f>-'5C1O_Impact'!AS29</f>
        <v>0</v>
      </c>
      <c r="S29" s="61">
        <f>-'5C1Q_Advantage'!AS29</f>
        <v>0</v>
      </c>
      <c r="T29" s="61">
        <f>-'5C1R_Iberville'!AS29</f>
        <v>0</v>
      </c>
      <c r="U29" s="61">
        <f>-'5C1S_LC Col Prep'!AS29</f>
        <v>0</v>
      </c>
      <c r="V29" s="61">
        <f>-'5C1T_Northeast'!AS29</f>
        <v>0</v>
      </c>
      <c r="W29" s="61">
        <f>-'5C1U_Acadiana Ren'!AS29</f>
        <v>-17488</v>
      </c>
      <c r="X29" s="61">
        <f>-'5C1V_Laf Ren'!AS29</f>
        <v>-2629</v>
      </c>
      <c r="Y29" s="61">
        <f>-'5C1W_Willow'!AS29</f>
        <v>604</v>
      </c>
      <c r="Z29" s="61">
        <f>-'5C1Y_GEO'!AS29</f>
        <v>0</v>
      </c>
      <c r="AA29" s="61">
        <f>-'5C1Z_Lincoln Prep'!AS29</f>
        <v>0</v>
      </c>
      <c r="AB29" s="61">
        <f>-'5C1AD_Greater'!$AS29</f>
        <v>0</v>
      </c>
      <c r="AC29" s="61">
        <f>-'5C1AE_Noble Minds'!$AS29</f>
        <v>0</v>
      </c>
      <c r="AD29" s="61">
        <f>-'5C1AF_JCFA-Laf'!$AS29</f>
        <v>-320</v>
      </c>
      <c r="AE29" s="61">
        <f>-'5C1AG_Collegiate'!$AS29</f>
        <v>0</v>
      </c>
      <c r="AF29" s="61">
        <f>-'5C1AH_BRUP'!$AS29</f>
        <v>0</v>
      </c>
      <c r="AG29" s="61">
        <f>-'5C1AI_Harmony'!$AS29</f>
        <v>0</v>
      </c>
      <c r="AH29" s="61">
        <f>-'5C1AJ_Athlos'!$AS29</f>
        <v>0</v>
      </c>
      <c r="AI29" s="61">
        <f>-'5C1AK_NxtGen'!$AS29</f>
        <v>0</v>
      </c>
      <c r="AJ29" s="61">
        <f>-'5C1AL_Red River'!$AS29</f>
        <v>0</v>
      </c>
      <c r="AK29" s="61">
        <f>-'5C2_LAVCA'!AT29</f>
        <v>-9883</v>
      </c>
      <c r="AL29" s="61">
        <f>-'5C3_UnvView'!AT29</f>
        <v>-17110</v>
      </c>
      <c r="AM29" s="370">
        <f t="shared" si="3"/>
        <v>-46847</v>
      </c>
      <c r="AN29" s="371">
        <f t="shared" si="4"/>
        <v>6108354</v>
      </c>
      <c r="AO29" s="61"/>
      <c r="AP29" s="61"/>
      <c r="AQ29" s="61">
        <f>-'5C1A_Madison'!AY29</f>
        <v>0</v>
      </c>
      <c r="AR29" s="61">
        <f>-'5C1B_DArbonne'!AY29</f>
        <v>0</v>
      </c>
      <c r="AS29" s="61">
        <f>-'5C1C_Intl High'!AY29</f>
        <v>0</v>
      </c>
      <c r="AT29" s="61">
        <f>-'5C1D_NOMMA'!AY29</f>
        <v>0</v>
      </c>
      <c r="AU29" s="61">
        <f>-'5C1E_LFNO'!AY29</f>
        <v>0</v>
      </c>
      <c r="AV29" s="61">
        <f>-'5C1F_L.C. Charter'!AY29</f>
        <v>0</v>
      </c>
      <c r="AW29" s="61">
        <f>-'5C1G_JS Clark'!AY29</f>
        <v>0</v>
      </c>
      <c r="AX29" s="61">
        <f>-'5C1H_Southwest'!AY29</f>
        <v>0</v>
      </c>
      <c r="AY29" s="61">
        <f>-'5C1I_LA Key'!AY29</f>
        <v>0</v>
      </c>
      <c r="AZ29" s="61">
        <f>-'5C1J_JCFA-East'!AY29</f>
        <v>9</v>
      </c>
      <c r="BA29" s="61">
        <f>-'5C1M_GEO Mid'!AY29</f>
        <v>0</v>
      </c>
      <c r="BB29" s="61">
        <f>-'5C1N_Delta'!AY29</f>
        <v>0</v>
      </c>
      <c r="BC29" s="61">
        <f>-'5C1O_Impact'!AY29</f>
        <v>0</v>
      </c>
      <c r="BD29" s="61">
        <f>-'5C1Q_Advantage'!AY29</f>
        <v>0</v>
      </c>
      <c r="BE29" s="61">
        <f>-'5C1R_Iberville'!AY29</f>
        <v>0</v>
      </c>
      <c r="BF29" s="61">
        <f>-'5C1S_LC Col Prep'!AY29</f>
        <v>0</v>
      </c>
      <c r="BG29" s="61">
        <f>-'5C1T_Northeast'!AY29</f>
        <v>0</v>
      </c>
      <c r="BH29" s="61">
        <f>-'5C1U_Acadiana Ren'!AY29</f>
        <v>43</v>
      </c>
      <c r="BI29" s="61">
        <f>-'5C1V_Laf Ren'!AY29</f>
        <v>-23</v>
      </c>
      <c r="BJ29" s="61">
        <f>-'5C1W_Willow'!AY29</f>
        <v>9</v>
      </c>
      <c r="BK29" s="61">
        <f>-'5C1Y_GEO'!AY29</f>
        <v>0</v>
      </c>
      <c r="BL29" s="61">
        <f>-'5C1Z_Lincoln Prep'!AY29</f>
        <v>0</v>
      </c>
      <c r="BM29" s="61">
        <f>-'5C1AD_Greater'!AY29</f>
        <v>0</v>
      </c>
      <c r="BN29" s="61">
        <f>-'5C1AE_Noble Minds'!AY29</f>
        <v>0</v>
      </c>
      <c r="BO29" s="61">
        <f>-'5C1AF_JCFA-Laf'!AY29</f>
        <v>0</v>
      </c>
      <c r="BP29" s="61">
        <f>-'5C1AG_Collegiate'!AY29</f>
        <v>0</v>
      </c>
      <c r="BQ29" s="61">
        <f>-'5C1AH_BRUP'!AY29</f>
        <v>0</v>
      </c>
      <c r="BR29" s="61">
        <f>-'5C1AI_Harmony'!$AY29</f>
        <v>0</v>
      </c>
      <c r="BS29" s="61">
        <f>-'5C1AJ_Athlos'!$AY29</f>
        <v>0</v>
      </c>
      <c r="BT29" s="61">
        <f>-'5C1AK_NxtGen'!$AY29</f>
        <v>0</v>
      </c>
      <c r="BU29" s="61">
        <f>-'5C1AL_Red River'!$AY29</f>
        <v>0</v>
      </c>
      <c r="BV29" s="61">
        <f>-'5C2_LAVCA'!AZ29</f>
        <v>-18</v>
      </c>
      <c r="BW29" s="61">
        <f>-'5C3_UnvView'!AZ29</f>
        <v>-84</v>
      </c>
      <c r="BX29" s="61">
        <f t="shared" si="5"/>
        <v>-64</v>
      </c>
      <c r="BY29" s="371">
        <f t="shared" si="6"/>
        <v>6108290</v>
      </c>
    </row>
    <row r="30" spans="1:77" s="7" customFormat="1" ht="15.75" customHeight="1" x14ac:dyDescent="0.2">
      <c r="A30" s="368">
        <v>24</v>
      </c>
      <c r="B30" s="369" t="s">
        <v>28</v>
      </c>
      <c r="C30" s="61">
        <f>'2_State Distrib and Adjs'!AZ30</f>
        <v>1159761</v>
      </c>
      <c r="D30" s="61">
        <f>-'5A3_OJJ'!S30</f>
        <v>-507</v>
      </c>
      <c r="E30" s="61"/>
      <c r="F30" s="61">
        <f>-'5C1A_Madison'!AS30</f>
        <v>-4740</v>
      </c>
      <c r="G30" s="61">
        <f>-'5C1B_DArbonne'!AS30</f>
        <v>0</v>
      </c>
      <c r="H30" s="61">
        <f>-'5C1C_Intl High'!AS30</f>
        <v>0</v>
      </c>
      <c r="I30" s="61">
        <f>-'5C1D_NOMMA'!AS30</f>
        <v>0</v>
      </c>
      <c r="J30" s="61">
        <f>-'5C1E_LFNO'!AS30</f>
        <v>0</v>
      </c>
      <c r="K30" s="61">
        <f>-'5C1F_L.C. Charter'!AS30</f>
        <v>0</v>
      </c>
      <c r="L30" s="61">
        <f>-'5C1G_JS Clark'!AS30</f>
        <v>0</v>
      </c>
      <c r="M30" s="61">
        <f>-'5C1H_Southwest'!AS30</f>
        <v>0</v>
      </c>
      <c r="N30" s="61">
        <f>-'5C1I_LA Key'!AS30</f>
        <v>-23558</v>
      </c>
      <c r="O30" s="61">
        <f>-'5C1J_JCFA-East'!AS30</f>
        <v>0</v>
      </c>
      <c r="P30" s="61">
        <f>-'5C1M_GEO Mid'!AS30</f>
        <v>0</v>
      </c>
      <c r="Q30" s="61">
        <f>-'5C1N_Delta'!AS30</f>
        <v>0</v>
      </c>
      <c r="R30" s="61">
        <f>-'5C1O_Impact'!AS30</f>
        <v>-3419</v>
      </c>
      <c r="S30" s="61">
        <f>-'5C1Q_Advantage'!AS30</f>
        <v>-3690</v>
      </c>
      <c r="T30" s="61">
        <f>-'5C1R_Iberville'!AS30</f>
        <v>-262556</v>
      </c>
      <c r="U30" s="61">
        <f>-'5C1S_LC Col Prep'!AS30</f>
        <v>0</v>
      </c>
      <c r="V30" s="61">
        <f>-'5C1T_Northeast'!AS30</f>
        <v>0</v>
      </c>
      <c r="W30" s="61">
        <f>-'5C1U_Acadiana Ren'!AS30</f>
        <v>0</v>
      </c>
      <c r="X30" s="61">
        <f>-'5C1V_Laf Ren'!AS30</f>
        <v>0</v>
      </c>
      <c r="Y30" s="61">
        <f>-'5C1W_Willow'!AS30</f>
        <v>0</v>
      </c>
      <c r="Z30" s="61">
        <f>-'5C1Y_GEO'!AS30</f>
        <v>0</v>
      </c>
      <c r="AA30" s="61">
        <f>-'5C1Z_Lincoln Prep'!AS30</f>
        <v>0</v>
      </c>
      <c r="AB30" s="61">
        <f>-'5C1AD_Greater'!$AS30</f>
        <v>0</v>
      </c>
      <c r="AC30" s="61">
        <f>-'5C1AE_Noble Minds'!$AS30</f>
        <v>0</v>
      </c>
      <c r="AD30" s="61">
        <f>-'5C1AF_JCFA-Laf'!$AS30</f>
        <v>0</v>
      </c>
      <c r="AE30" s="61">
        <f>-'5C1AG_Collegiate'!$AS30</f>
        <v>0</v>
      </c>
      <c r="AF30" s="61">
        <f>-'5C1AH_BRUP'!$AS30</f>
        <v>0</v>
      </c>
      <c r="AG30" s="61">
        <f>-'5C1AI_Harmony'!$AS30</f>
        <v>0</v>
      </c>
      <c r="AH30" s="61">
        <f>-'5C1AJ_Athlos'!$AS30</f>
        <v>0</v>
      </c>
      <c r="AI30" s="61">
        <f>-'5C1AK_NxtGen'!$AS30</f>
        <v>0</v>
      </c>
      <c r="AJ30" s="61">
        <f>-'5C1AL_Red River'!$AS30</f>
        <v>0</v>
      </c>
      <c r="AK30" s="61">
        <f>-'5C2_LAVCA'!AT30</f>
        <v>-7968</v>
      </c>
      <c r="AL30" s="61">
        <f>-'5C3_UnvView'!AT30</f>
        <v>-28299</v>
      </c>
      <c r="AM30" s="370">
        <f t="shared" si="3"/>
        <v>-334737</v>
      </c>
      <c r="AN30" s="371">
        <f t="shared" si="4"/>
        <v>825024</v>
      </c>
      <c r="AO30" s="61"/>
      <c r="AP30" s="61"/>
      <c r="AQ30" s="61">
        <f>-'5C1A_Madison'!AY30</f>
        <v>-37</v>
      </c>
      <c r="AR30" s="61">
        <f>-'5C1B_DArbonne'!AY30</f>
        <v>0</v>
      </c>
      <c r="AS30" s="61">
        <f>-'5C1C_Intl High'!AY30</f>
        <v>0</v>
      </c>
      <c r="AT30" s="61">
        <f>-'5C1D_NOMMA'!AY30</f>
        <v>0</v>
      </c>
      <c r="AU30" s="61">
        <f>-'5C1E_LFNO'!AY30</f>
        <v>0</v>
      </c>
      <c r="AV30" s="61">
        <f>-'5C1F_L.C. Charter'!AY30</f>
        <v>0</v>
      </c>
      <c r="AW30" s="61">
        <f>-'5C1G_JS Clark'!AY30</f>
        <v>0</v>
      </c>
      <c r="AX30" s="61">
        <f>-'5C1H_Southwest'!AY30</f>
        <v>0</v>
      </c>
      <c r="AY30" s="61">
        <f>-'5C1I_LA Key'!AY30</f>
        <v>-17</v>
      </c>
      <c r="AZ30" s="61">
        <f>-'5C1J_JCFA-East'!AY30</f>
        <v>0</v>
      </c>
      <c r="BA30" s="61">
        <f>-'5C1M_GEO Mid'!AY30</f>
        <v>0</v>
      </c>
      <c r="BB30" s="61">
        <f>-'5C1N_Delta'!AY30</f>
        <v>0</v>
      </c>
      <c r="BC30" s="61">
        <f>-'5C1O_Impact'!AY30</f>
        <v>-34</v>
      </c>
      <c r="BD30" s="61">
        <f>-'5C1Q_Advantage'!AY30</f>
        <v>-37</v>
      </c>
      <c r="BE30" s="61">
        <f>-'5C1R_Iberville'!AY30</f>
        <v>-544</v>
      </c>
      <c r="BF30" s="61">
        <f>-'5C1S_LC Col Prep'!AY30</f>
        <v>0</v>
      </c>
      <c r="BG30" s="61">
        <f>-'5C1T_Northeast'!AY30</f>
        <v>0</v>
      </c>
      <c r="BH30" s="61">
        <f>-'5C1U_Acadiana Ren'!AY30</f>
        <v>0</v>
      </c>
      <c r="BI30" s="61">
        <f>-'5C1V_Laf Ren'!AY30</f>
        <v>0</v>
      </c>
      <c r="BJ30" s="61">
        <f>-'5C1W_Willow'!AY30</f>
        <v>0</v>
      </c>
      <c r="BK30" s="61">
        <f>-'5C1Y_GEO'!AY30</f>
        <v>0</v>
      </c>
      <c r="BL30" s="61">
        <f>-'5C1Z_Lincoln Prep'!AY30</f>
        <v>0</v>
      </c>
      <c r="BM30" s="61">
        <f>-'5C1AD_Greater'!AY30</f>
        <v>0</v>
      </c>
      <c r="BN30" s="61">
        <f>-'5C1AE_Noble Minds'!AY30</f>
        <v>0</v>
      </c>
      <c r="BO30" s="61">
        <f>-'5C1AF_JCFA-Laf'!AY30</f>
        <v>0</v>
      </c>
      <c r="BP30" s="61">
        <f>-'5C1AG_Collegiate'!AY30</f>
        <v>0</v>
      </c>
      <c r="BQ30" s="61">
        <f>-'5C1AH_BRUP'!AY30</f>
        <v>0</v>
      </c>
      <c r="BR30" s="61">
        <f>-'5C1AI_Harmony'!$AY30</f>
        <v>0</v>
      </c>
      <c r="BS30" s="61">
        <f>-'5C1AJ_Athlos'!$AY30</f>
        <v>0</v>
      </c>
      <c r="BT30" s="61">
        <f>-'5C1AK_NxtGen'!$AY30</f>
        <v>0</v>
      </c>
      <c r="BU30" s="61">
        <f>-'5C1AL_Red River'!$AY30</f>
        <v>0</v>
      </c>
      <c r="BV30" s="61">
        <f>-'5C2_LAVCA'!AZ30</f>
        <v>-4</v>
      </c>
      <c r="BW30" s="61">
        <f>-'5C3_UnvView'!AZ30</f>
        <v>-194</v>
      </c>
      <c r="BX30" s="61">
        <f t="shared" si="5"/>
        <v>-867</v>
      </c>
      <c r="BY30" s="371">
        <f t="shared" si="6"/>
        <v>824157</v>
      </c>
    </row>
    <row r="31" spans="1:77" s="7" customFormat="1" ht="15.75" customHeight="1" x14ac:dyDescent="0.2">
      <c r="A31" s="358">
        <v>25</v>
      </c>
      <c r="B31" s="359" t="s">
        <v>29</v>
      </c>
      <c r="C31" s="360">
        <f>'2_State Distrib and Adjs'!AZ31</f>
        <v>1002860</v>
      </c>
      <c r="D31" s="360">
        <f>-'5A3_OJJ'!S31</f>
        <v>-352</v>
      </c>
      <c r="E31" s="360"/>
      <c r="F31" s="360">
        <f>-'5C1A_Madison'!AS31</f>
        <v>0</v>
      </c>
      <c r="G31" s="360">
        <f>-'5C1B_DArbonne'!AS31</f>
        <v>0</v>
      </c>
      <c r="H31" s="360">
        <f>-'5C1C_Intl High'!AS31</f>
        <v>0</v>
      </c>
      <c r="I31" s="360">
        <f>-'5C1D_NOMMA'!AS31</f>
        <v>0</v>
      </c>
      <c r="J31" s="360">
        <f>-'5C1E_LFNO'!AS31</f>
        <v>0</v>
      </c>
      <c r="K31" s="360">
        <f>-'5C1F_L.C. Charter'!AS31</f>
        <v>0</v>
      </c>
      <c r="L31" s="360">
        <f>-'5C1G_JS Clark'!AS31</f>
        <v>0</v>
      </c>
      <c r="M31" s="360">
        <f>-'5C1H_Southwest'!AS31</f>
        <v>0</v>
      </c>
      <c r="N31" s="360">
        <f>-'5C1I_LA Key'!AS31</f>
        <v>0</v>
      </c>
      <c r="O31" s="360">
        <f>-'5C1J_JCFA-East'!AS31</f>
        <v>0</v>
      </c>
      <c r="P31" s="360">
        <f>-'5C1M_GEO Mid'!AS31</f>
        <v>0</v>
      </c>
      <c r="Q31" s="360">
        <f>-'5C1N_Delta'!AS31</f>
        <v>0</v>
      </c>
      <c r="R31" s="360">
        <f>-'5C1O_Impact'!AS31</f>
        <v>0</v>
      </c>
      <c r="S31" s="360">
        <f>-'5C1Q_Advantage'!AS31</f>
        <v>0</v>
      </c>
      <c r="T31" s="360">
        <f>-'5C1R_Iberville'!AS31</f>
        <v>0</v>
      </c>
      <c r="U31" s="360">
        <f>-'5C1S_LC Col Prep'!AS31</f>
        <v>0</v>
      </c>
      <c r="V31" s="360">
        <f>-'5C1T_Northeast'!AS31</f>
        <v>0</v>
      </c>
      <c r="W31" s="360">
        <f>-'5C1U_Acadiana Ren'!AS31</f>
        <v>0</v>
      </c>
      <c r="X31" s="360">
        <f>-'5C1V_Laf Ren'!AS31</f>
        <v>0</v>
      </c>
      <c r="Y31" s="360">
        <f>-'5C1W_Willow'!AS31</f>
        <v>0</v>
      </c>
      <c r="Z31" s="360">
        <f>-'5C1Y_GEO'!AS31</f>
        <v>0</v>
      </c>
      <c r="AA31" s="360">
        <f>-'5C1Z_Lincoln Prep'!AS31</f>
        <v>-7438</v>
      </c>
      <c r="AB31" s="360">
        <f>-'5C1AD_Greater'!$AS31</f>
        <v>0</v>
      </c>
      <c r="AC31" s="360">
        <f>-'5C1AE_Noble Minds'!$AS31</f>
        <v>0</v>
      </c>
      <c r="AD31" s="360">
        <f>-'5C1AF_JCFA-Laf'!$AS31</f>
        <v>0</v>
      </c>
      <c r="AE31" s="360">
        <f>-'5C1AG_Collegiate'!$AS31</f>
        <v>0</v>
      </c>
      <c r="AF31" s="360">
        <f>-'5C1AH_BRUP'!$AS31</f>
        <v>0</v>
      </c>
      <c r="AG31" s="657">
        <f>-'5C1AI_Harmony'!$AS31</f>
        <v>0</v>
      </c>
      <c r="AH31" s="657">
        <f>-'5C1AJ_Athlos'!$AS31</f>
        <v>0</v>
      </c>
      <c r="AI31" s="892">
        <f>-'5C1AK_NxtGen'!$AS31</f>
        <v>0</v>
      </c>
      <c r="AJ31" s="892">
        <f>-'5C1AL_Red River'!$AS31</f>
        <v>0</v>
      </c>
      <c r="AK31" s="360">
        <f>-'5C2_LAVCA'!AT31</f>
        <v>-8061</v>
      </c>
      <c r="AL31" s="360">
        <f>-'5C3_UnvView'!AT31</f>
        <v>-3919</v>
      </c>
      <c r="AM31" s="361">
        <f t="shared" si="3"/>
        <v>-19770</v>
      </c>
      <c r="AN31" s="362">
        <f t="shared" si="4"/>
        <v>983090</v>
      </c>
      <c r="AO31" s="360"/>
      <c r="AP31" s="360"/>
      <c r="AQ31" s="360">
        <f>-'5C1A_Madison'!AY31</f>
        <v>0</v>
      </c>
      <c r="AR31" s="360">
        <f>-'5C1B_DArbonne'!AY31</f>
        <v>0</v>
      </c>
      <c r="AS31" s="360">
        <f>-'5C1C_Intl High'!AY31</f>
        <v>0</v>
      </c>
      <c r="AT31" s="360">
        <f>-'5C1D_NOMMA'!AY31</f>
        <v>0</v>
      </c>
      <c r="AU31" s="360">
        <f>-'5C1E_LFNO'!AY31</f>
        <v>0</v>
      </c>
      <c r="AV31" s="360">
        <f>-'5C1F_L.C. Charter'!AY31</f>
        <v>0</v>
      </c>
      <c r="AW31" s="360">
        <f>-'5C1G_JS Clark'!AY31</f>
        <v>0</v>
      </c>
      <c r="AX31" s="360">
        <f>-'5C1H_Southwest'!AY31</f>
        <v>0</v>
      </c>
      <c r="AY31" s="360">
        <f>-'5C1I_LA Key'!AY31</f>
        <v>0</v>
      </c>
      <c r="AZ31" s="360">
        <f>-'5C1J_JCFA-East'!AY31</f>
        <v>0</v>
      </c>
      <c r="BA31" s="360">
        <f>-'5C1M_GEO Mid'!AY31</f>
        <v>0</v>
      </c>
      <c r="BB31" s="360">
        <f>-'5C1N_Delta'!AY31</f>
        <v>0</v>
      </c>
      <c r="BC31" s="360">
        <f>-'5C1O_Impact'!AY31</f>
        <v>0</v>
      </c>
      <c r="BD31" s="360">
        <f>-'5C1Q_Advantage'!AY31</f>
        <v>0</v>
      </c>
      <c r="BE31" s="360">
        <f>-'5C1R_Iberville'!AY31</f>
        <v>0</v>
      </c>
      <c r="BF31" s="360">
        <f>-'5C1S_LC Col Prep'!AY31</f>
        <v>0</v>
      </c>
      <c r="BG31" s="360">
        <f>-'5C1T_Northeast'!AY31</f>
        <v>0</v>
      </c>
      <c r="BH31" s="360">
        <f>-'5C1U_Acadiana Ren'!AY31</f>
        <v>0</v>
      </c>
      <c r="BI31" s="360">
        <f>-'5C1V_Laf Ren'!AY31</f>
        <v>0</v>
      </c>
      <c r="BJ31" s="360">
        <f>-'5C1W_Willow'!AY31</f>
        <v>0</v>
      </c>
      <c r="BK31" s="360">
        <f>-'5C1Y_GEO'!AY31</f>
        <v>0</v>
      </c>
      <c r="BL31" s="360">
        <f>-'5C1Z_Lincoln Prep'!AY31</f>
        <v>-8</v>
      </c>
      <c r="BM31" s="360">
        <f>-'5C1AD_Greater'!AY31</f>
        <v>0</v>
      </c>
      <c r="BN31" s="360">
        <f>-'5C1AE_Noble Minds'!AY31</f>
        <v>0</v>
      </c>
      <c r="BO31" s="360">
        <f>-'5C1AF_JCFA-Laf'!AY31</f>
        <v>0</v>
      </c>
      <c r="BP31" s="360">
        <f>-'5C1AG_Collegiate'!AY31</f>
        <v>0</v>
      </c>
      <c r="BQ31" s="360">
        <f>-'5C1AH_BRUP'!AY31</f>
        <v>0</v>
      </c>
      <c r="BR31" s="657">
        <f>-'5C1AI_Harmony'!$AY31</f>
        <v>0</v>
      </c>
      <c r="BS31" s="657">
        <f>-'5C1AJ_Athlos'!$AY31</f>
        <v>0</v>
      </c>
      <c r="BT31" s="892">
        <f>-'5C1AK_NxtGen'!$AY31</f>
        <v>0</v>
      </c>
      <c r="BU31" s="892">
        <f>-'5C1AL_Red River'!$AY31</f>
        <v>0</v>
      </c>
      <c r="BV31" s="360">
        <f>-'5C2_LAVCA'!AZ31</f>
        <v>-49</v>
      </c>
      <c r="BW31" s="360">
        <f>-'5C3_UnvView'!AZ31</f>
        <v>-27</v>
      </c>
      <c r="BX31" s="360">
        <f t="shared" si="5"/>
        <v>-84</v>
      </c>
      <c r="BY31" s="362">
        <f t="shared" si="6"/>
        <v>983006</v>
      </c>
    </row>
    <row r="32" spans="1:77" s="7" customFormat="1" ht="15.75" customHeight="1" x14ac:dyDescent="0.2">
      <c r="A32" s="368">
        <v>26</v>
      </c>
      <c r="B32" s="369" t="s">
        <v>30</v>
      </c>
      <c r="C32" s="61">
        <f>'2_State Distrib and Adjs'!AZ32</f>
        <v>21199350</v>
      </c>
      <c r="D32" s="61">
        <f>-'5A3_OJJ'!S32</f>
        <v>-3129</v>
      </c>
      <c r="E32" s="61"/>
      <c r="F32" s="61">
        <f>-'5C1A_Madison'!AS32</f>
        <v>0</v>
      </c>
      <c r="G32" s="61">
        <f>-'5C1B_DArbonne'!AS32</f>
        <v>0</v>
      </c>
      <c r="H32" s="61">
        <f>-'5C1C_Intl High'!AS32</f>
        <v>-13384</v>
      </c>
      <c r="I32" s="61">
        <f>-'5C1D_NOMMA'!AS32</f>
        <v>-317423</v>
      </c>
      <c r="J32" s="61">
        <f>-'5C1E_LFNO'!AS32</f>
        <v>-122617</v>
      </c>
      <c r="K32" s="61">
        <f>-'5C1F_L.C. Charter'!AS32</f>
        <v>0</v>
      </c>
      <c r="L32" s="61">
        <f>-'5C1G_JS Clark'!AS32</f>
        <v>0</v>
      </c>
      <c r="M32" s="61">
        <f>-'5C1H_Southwest'!AS32</f>
        <v>0</v>
      </c>
      <c r="N32" s="61">
        <f>-'5C1I_LA Key'!AS32</f>
        <v>-663</v>
      </c>
      <c r="O32" s="61">
        <f>-'5C1J_JCFA-East'!AS32</f>
        <v>-58233</v>
      </c>
      <c r="P32" s="61">
        <f>-'5C1M_GEO Mid'!AS32</f>
        <v>0</v>
      </c>
      <c r="Q32" s="61">
        <f>-'5C1N_Delta'!AS32</f>
        <v>0</v>
      </c>
      <c r="R32" s="61">
        <f>-'5C1O_Impact'!AS32</f>
        <v>0</v>
      </c>
      <c r="S32" s="61">
        <f>-'5C1Q_Advantage'!AS32</f>
        <v>0</v>
      </c>
      <c r="T32" s="61">
        <f>-'5C1R_Iberville'!AS32</f>
        <v>-6987</v>
      </c>
      <c r="U32" s="61">
        <f>-'5C1S_LC Col Prep'!AS32</f>
        <v>0</v>
      </c>
      <c r="V32" s="61">
        <f>-'5C1T_Northeast'!AS32</f>
        <v>0</v>
      </c>
      <c r="W32" s="61">
        <f>-'5C1U_Acadiana Ren'!AS32</f>
        <v>0</v>
      </c>
      <c r="X32" s="61">
        <f>-'5C1V_Laf Ren'!AS32</f>
        <v>0</v>
      </c>
      <c r="Y32" s="61">
        <f>-'5C1W_Willow'!AS32</f>
        <v>0</v>
      </c>
      <c r="Z32" s="61">
        <f>-'5C1Y_GEO'!AS32</f>
        <v>0</v>
      </c>
      <c r="AA32" s="61">
        <f>-'5C1Z_Lincoln Prep'!AS32</f>
        <v>0</v>
      </c>
      <c r="AB32" s="61">
        <f>-'5C1AD_Greater'!$AS32</f>
        <v>0</v>
      </c>
      <c r="AC32" s="61">
        <f>-'5C1AE_Noble Minds'!$AS32</f>
        <v>-6477</v>
      </c>
      <c r="AD32" s="61">
        <f>-'5C1AF_JCFA-Laf'!$AS32</f>
        <v>0</v>
      </c>
      <c r="AE32" s="61">
        <f>-'5C1AG_Collegiate'!$AS32</f>
        <v>0</v>
      </c>
      <c r="AF32" s="61">
        <f>-'5C1AH_BRUP'!$AS32</f>
        <v>0</v>
      </c>
      <c r="AG32" s="61">
        <f>-'5C1AI_Harmony'!$AS32</f>
        <v>-3103</v>
      </c>
      <c r="AH32" s="61">
        <f>-'5C1AJ_Athlos'!$AS32</f>
        <v>-445504</v>
      </c>
      <c r="AI32" s="61">
        <f>-'5C1AK_NxtGen'!$AS32</f>
        <v>0</v>
      </c>
      <c r="AJ32" s="61">
        <f>-'5C1AL_Red River'!$AS32</f>
        <v>0</v>
      </c>
      <c r="AK32" s="61">
        <f>-'5C2_LAVCA'!AT32</f>
        <v>-53545</v>
      </c>
      <c r="AL32" s="61">
        <f>-'5C3_UnvView'!AT32</f>
        <v>-93416</v>
      </c>
      <c r="AM32" s="370">
        <f t="shared" si="3"/>
        <v>-1124481</v>
      </c>
      <c r="AN32" s="371">
        <f t="shared" si="4"/>
        <v>20074869</v>
      </c>
      <c r="AO32" s="61"/>
      <c r="AP32" s="61"/>
      <c r="AQ32" s="61">
        <f>-'5C1A_Madison'!AY32</f>
        <v>0</v>
      </c>
      <c r="AR32" s="61">
        <f>-'5C1B_DArbonne'!AY32</f>
        <v>0</v>
      </c>
      <c r="AS32" s="61">
        <f>-'5C1C_Intl High'!AY32</f>
        <v>155</v>
      </c>
      <c r="AT32" s="61">
        <f>-'5C1D_NOMMA'!AY32</f>
        <v>-1037</v>
      </c>
      <c r="AU32" s="61">
        <f>-'5C1E_LFNO'!AY32</f>
        <v>-283</v>
      </c>
      <c r="AV32" s="61">
        <f>-'5C1F_L.C. Charter'!AY32</f>
        <v>0</v>
      </c>
      <c r="AW32" s="61">
        <f>-'5C1G_JS Clark'!AY32</f>
        <v>0</v>
      </c>
      <c r="AX32" s="61">
        <f>-'5C1H_Southwest'!AY32</f>
        <v>0</v>
      </c>
      <c r="AY32" s="61">
        <f>-'5C1I_LA Key'!AY32</f>
        <v>-7</v>
      </c>
      <c r="AZ32" s="61">
        <f>-'5C1J_JCFA-East'!AY32</f>
        <v>446</v>
      </c>
      <c r="BA32" s="61">
        <f>-'5C1M_GEO Mid'!AY32</f>
        <v>0</v>
      </c>
      <c r="BB32" s="61">
        <f>-'5C1N_Delta'!AY32</f>
        <v>0</v>
      </c>
      <c r="BC32" s="61">
        <f>-'5C1O_Impact'!AY32</f>
        <v>0</v>
      </c>
      <c r="BD32" s="61">
        <f>-'5C1Q_Advantage'!AY32</f>
        <v>0</v>
      </c>
      <c r="BE32" s="61">
        <f>-'5C1R_Iberville'!AY32</f>
        <v>-106</v>
      </c>
      <c r="BF32" s="61">
        <f>-'5C1S_LC Col Prep'!AY32</f>
        <v>0</v>
      </c>
      <c r="BG32" s="61">
        <f>-'5C1T_Northeast'!AY32</f>
        <v>0</v>
      </c>
      <c r="BH32" s="61">
        <f>-'5C1U_Acadiana Ren'!AY32</f>
        <v>0</v>
      </c>
      <c r="BI32" s="61">
        <f>-'5C1V_Laf Ren'!AY32</f>
        <v>0</v>
      </c>
      <c r="BJ32" s="61">
        <f>-'5C1W_Willow'!AY32</f>
        <v>0</v>
      </c>
      <c r="BK32" s="61">
        <f>-'5C1Y_GEO'!AY32</f>
        <v>0</v>
      </c>
      <c r="BL32" s="61">
        <f>-'5C1Z_Lincoln Prep'!AY32</f>
        <v>0</v>
      </c>
      <c r="BM32" s="61">
        <f>-'5C1AD_Greater'!AY32</f>
        <v>0</v>
      </c>
      <c r="BN32" s="61">
        <f>-'5C1AE_Noble Minds'!AY32</f>
        <v>-44</v>
      </c>
      <c r="BO32" s="61">
        <f>-'5C1AF_JCFA-Laf'!AY32</f>
        <v>0</v>
      </c>
      <c r="BP32" s="61">
        <f>-'5C1AG_Collegiate'!AY32</f>
        <v>0</v>
      </c>
      <c r="BQ32" s="61">
        <f>-'5C1AH_BRUP'!AY32</f>
        <v>0</v>
      </c>
      <c r="BR32" s="61">
        <f>-'5C1AI_Harmony'!$AY32</f>
        <v>9</v>
      </c>
      <c r="BS32" s="61">
        <f>-'5C1AJ_Athlos'!$AY32</f>
        <v>-1329</v>
      </c>
      <c r="BT32" s="61">
        <f>-'5C1AK_NxtGen'!$AY32</f>
        <v>0</v>
      </c>
      <c r="BU32" s="61">
        <f>-'5C1AL_Red River'!$AY32</f>
        <v>0</v>
      </c>
      <c r="BV32" s="61">
        <f>-'5C2_LAVCA'!AZ32</f>
        <v>217</v>
      </c>
      <c r="BW32" s="61">
        <f>-'5C3_UnvView'!AZ32</f>
        <v>-271</v>
      </c>
      <c r="BX32" s="61">
        <f t="shared" si="5"/>
        <v>-2250</v>
      </c>
      <c r="BY32" s="371">
        <f t="shared" si="6"/>
        <v>20072619</v>
      </c>
    </row>
    <row r="33" spans="1:77" s="7" customFormat="1" ht="15.75" customHeight="1" x14ac:dyDescent="0.2">
      <c r="A33" s="368">
        <v>27</v>
      </c>
      <c r="B33" s="369" t="s">
        <v>31</v>
      </c>
      <c r="C33" s="61">
        <f>'2_State Distrib and Adjs'!AZ33</f>
        <v>3059661</v>
      </c>
      <c r="D33" s="61">
        <f>-'5A3_OJJ'!S33</f>
        <v>-137</v>
      </c>
      <c r="E33" s="61"/>
      <c r="F33" s="61">
        <f>-'5C1A_Madison'!AS33</f>
        <v>0</v>
      </c>
      <c r="G33" s="61">
        <f>-'5C1B_DArbonne'!AS33</f>
        <v>0</v>
      </c>
      <c r="H33" s="61">
        <f>-'5C1C_Intl High'!AS33</f>
        <v>0</v>
      </c>
      <c r="I33" s="61">
        <f>-'5C1D_NOMMA'!AS33</f>
        <v>0</v>
      </c>
      <c r="J33" s="61">
        <f>-'5C1E_LFNO'!AS33</f>
        <v>0</v>
      </c>
      <c r="K33" s="61">
        <f>-'5C1F_L.C. Charter'!AS33</f>
        <v>-1789</v>
      </c>
      <c r="L33" s="61">
        <f>-'5C1G_JS Clark'!AS33</f>
        <v>0</v>
      </c>
      <c r="M33" s="61">
        <f>-'5C1H_Southwest'!AS33</f>
        <v>-1798</v>
      </c>
      <c r="N33" s="61">
        <f>-'5C1I_LA Key'!AS33</f>
        <v>0</v>
      </c>
      <c r="O33" s="61">
        <f>-'5C1J_JCFA-East'!AS33</f>
        <v>0</v>
      </c>
      <c r="P33" s="61">
        <f>-'5C1M_GEO Mid'!AS33</f>
        <v>0</v>
      </c>
      <c r="Q33" s="61">
        <f>-'5C1N_Delta'!AS33</f>
        <v>0</v>
      </c>
      <c r="R33" s="61">
        <f>-'5C1O_Impact'!AS33</f>
        <v>0</v>
      </c>
      <c r="S33" s="61">
        <f>-'5C1Q_Advantage'!AS33</f>
        <v>0</v>
      </c>
      <c r="T33" s="61">
        <f>-'5C1R_Iberville'!AS33</f>
        <v>0</v>
      </c>
      <c r="U33" s="61">
        <f>-'5C1S_LC Col Prep'!AS33</f>
        <v>0</v>
      </c>
      <c r="V33" s="61">
        <f>-'5C1T_Northeast'!AS33</f>
        <v>0</v>
      </c>
      <c r="W33" s="61">
        <f>-'5C1U_Acadiana Ren'!AS33</f>
        <v>0</v>
      </c>
      <c r="X33" s="61">
        <f>-'5C1V_Laf Ren'!AS33</f>
        <v>0</v>
      </c>
      <c r="Y33" s="61">
        <f>-'5C1W_Willow'!AS33</f>
        <v>0</v>
      </c>
      <c r="Z33" s="61">
        <f>-'5C1Y_GEO'!AS33</f>
        <v>0</v>
      </c>
      <c r="AA33" s="61">
        <f>-'5C1Z_Lincoln Prep'!AS33</f>
        <v>0</v>
      </c>
      <c r="AB33" s="61">
        <f>-'5C1AD_Greater'!$AS33</f>
        <v>0</v>
      </c>
      <c r="AC33" s="61">
        <f>-'5C1AE_Noble Minds'!$AS33</f>
        <v>0</v>
      </c>
      <c r="AD33" s="61">
        <f>-'5C1AF_JCFA-Laf'!$AS33</f>
        <v>-899</v>
      </c>
      <c r="AE33" s="61">
        <f>-'5C1AG_Collegiate'!$AS33</f>
        <v>0</v>
      </c>
      <c r="AF33" s="61">
        <f>-'5C1AH_BRUP'!$AS33</f>
        <v>0</v>
      </c>
      <c r="AG33" s="61">
        <f>-'5C1AI_Harmony'!$AS33</f>
        <v>0</v>
      </c>
      <c r="AH33" s="61">
        <f>-'5C1AJ_Athlos'!$AS33</f>
        <v>0</v>
      </c>
      <c r="AI33" s="61">
        <f>-'5C1AK_NxtGen'!$AS33</f>
        <v>0</v>
      </c>
      <c r="AJ33" s="61">
        <f>-'5C1AL_Red River'!$AS33</f>
        <v>0</v>
      </c>
      <c r="AK33" s="61">
        <f>-'5C2_LAVCA'!AT33</f>
        <v>-3599</v>
      </c>
      <c r="AL33" s="61">
        <f>-'5C3_UnvView'!AT33</f>
        <v>2176</v>
      </c>
      <c r="AM33" s="370">
        <f t="shared" si="3"/>
        <v>-6046</v>
      </c>
      <c r="AN33" s="371">
        <f t="shared" si="4"/>
        <v>3053615</v>
      </c>
      <c r="AO33" s="61"/>
      <c r="AP33" s="61"/>
      <c r="AQ33" s="61">
        <f>-'5C1A_Madison'!AY33</f>
        <v>0</v>
      </c>
      <c r="AR33" s="61">
        <f>-'5C1B_DArbonne'!AY33</f>
        <v>0</v>
      </c>
      <c r="AS33" s="61">
        <f>-'5C1C_Intl High'!AY33</f>
        <v>0</v>
      </c>
      <c r="AT33" s="61">
        <f>-'5C1D_NOMMA'!AY33</f>
        <v>0</v>
      </c>
      <c r="AU33" s="61">
        <f>-'5C1E_LFNO'!AY33</f>
        <v>0</v>
      </c>
      <c r="AV33" s="61">
        <f>-'5C1F_L.C. Charter'!AY33</f>
        <v>-9</v>
      </c>
      <c r="AW33" s="61">
        <f>-'5C1G_JS Clark'!AY33</f>
        <v>0</v>
      </c>
      <c r="AX33" s="61">
        <f>-'5C1H_Southwest'!AY33</f>
        <v>-18</v>
      </c>
      <c r="AY33" s="61">
        <f>-'5C1I_LA Key'!AY33</f>
        <v>0</v>
      </c>
      <c r="AZ33" s="61">
        <f>-'5C1J_JCFA-East'!AY33</f>
        <v>0</v>
      </c>
      <c r="BA33" s="61">
        <f>-'5C1M_GEO Mid'!AY33</f>
        <v>0</v>
      </c>
      <c r="BB33" s="61">
        <f>-'5C1N_Delta'!AY33</f>
        <v>0</v>
      </c>
      <c r="BC33" s="61">
        <f>-'5C1O_Impact'!AY33</f>
        <v>0</v>
      </c>
      <c r="BD33" s="61">
        <f>-'5C1Q_Advantage'!AY33</f>
        <v>0</v>
      </c>
      <c r="BE33" s="61">
        <f>-'5C1R_Iberville'!AY33</f>
        <v>0</v>
      </c>
      <c r="BF33" s="61">
        <f>-'5C1S_LC Col Prep'!AY33</f>
        <v>0</v>
      </c>
      <c r="BG33" s="61">
        <f>-'5C1T_Northeast'!AY33</f>
        <v>0</v>
      </c>
      <c r="BH33" s="61">
        <f>-'5C1U_Acadiana Ren'!AY33</f>
        <v>0</v>
      </c>
      <c r="BI33" s="61">
        <f>-'5C1V_Laf Ren'!AY33</f>
        <v>0</v>
      </c>
      <c r="BJ33" s="61">
        <f>-'5C1W_Willow'!AY33</f>
        <v>0</v>
      </c>
      <c r="BK33" s="61">
        <f>-'5C1Y_GEO'!AY33</f>
        <v>0</v>
      </c>
      <c r="BL33" s="61">
        <f>-'5C1Z_Lincoln Prep'!AY33</f>
        <v>0</v>
      </c>
      <c r="BM33" s="61">
        <f>-'5C1AD_Greater'!AY33</f>
        <v>0</v>
      </c>
      <c r="BN33" s="61">
        <f>-'5C1AE_Noble Minds'!AY33</f>
        <v>0</v>
      </c>
      <c r="BO33" s="61">
        <f>-'5C1AF_JCFA-Laf'!AY33</f>
        <v>-9</v>
      </c>
      <c r="BP33" s="61">
        <f>-'5C1AG_Collegiate'!AY33</f>
        <v>0</v>
      </c>
      <c r="BQ33" s="61">
        <f>-'5C1AH_BRUP'!AY33</f>
        <v>0</v>
      </c>
      <c r="BR33" s="61">
        <f>-'5C1AI_Harmony'!$AY33</f>
        <v>0</v>
      </c>
      <c r="BS33" s="61">
        <f>-'5C1AJ_Athlos'!$AY33</f>
        <v>0</v>
      </c>
      <c r="BT33" s="61">
        <f>-'5C1AK_NxtGen'!$AY33</f>
        <v>0</v>
      </c>
      <c r="BU33" s="61">
        <f>-'5C1AL_Red River'!$AY33</f>
        <v>0</v>
      </c>
      <c r="BV33" s="61">
        <f>-'5C2_LAVCA'!AZ33</f>
        <v>4</v>
      </c>
      <c r="BW33" s="61">
        <f>-'5C3_UnvView'!AZ33</f>
        <v>41</v>
      </c>
      <c r="BX33" s="61">
        <f t="shared" si="5"/>
        <v>9</v>
      </c>
      <c r="BY33" s="371">
        <f t="shared" si="6"/>
        <v>3053624</v>
      </c>
    </row>
    <row r="34" spans="1:77" s="7" customFormat="1" ht="15.75" customHeight="1" x14ac:dyDescent="0.2">
      <c r="A34" s="368">
        <v>28</v>
      </c>
      <c r="B34" s="369" t="s">
        <v>32</v>
      </c>
      <c r="C34" s="61">
        <f>'2_State Distrib and Adjs'!AZ34</f>
        <v>12005779</v>
      </c>
      <c r="D34" s="61">
        <f>-'5A3_OJJ'!S34</f>
        <v>-1871</v>
      </c>
      <c r="E34" s="61"/>
      <c r="F34" s="61">
        <f>-'5C1A_Madison'!AS34</f>
        <v>0</v>
      </c>
      <c r="G34" s="61">
        <f>-'5C1B_DArbonne'!AS34</f>
        <v>0</v>
      </c>
      <c r="H34" s="61">
        <f>-'5C1C_Intl High'!AS34</f>
        <v>0</v>
      </c>
      <c r="I34" s="61">
        <f>-'5C1D_NOMMA'!AS34</f>
        <v>0</v>
      </c>
      <c r="J34" s="61">
        <f>-'5C1E_LFNO'!AS34</f>
        <v>0</v>
      </c>
      <c r="K34" s="61">
        <f>-'5C1F_L.C. Charter'!AS34</f>
        <v>0</v>
      </c>
      <c r="L34" s="61">
        <f>-'5C1G_JS Clark'!AS34</f>
        <v>0</v>
      </c>
      <c r="M34" s="61">
        <f>-'5C1H_Southwest'!AS34</f>
        <v>0</v>
      </c>
      <c r="N34" s="61">
        <f>-'5C1I_LA Key'!AS34</f>
        <v>0</v>
      </c>
      <c r="O34" s="61">
        <f>-'5C1J_JCFA-East'!AS34</f>
        <v>0</v>
      </c>
      <c r="P34" s="61">
        <f>-'5C1M_GEO Mid'!AS34</f>
        <v>0</v>
      </c>
      <c r="Q34" s="61">
        <f>-'5C1N_Delta'!AS34</f>
        <v>0</v>
      </c>
      <c r="R34" s="61">
        <f>-'5C1O_Impact'!AS34</f>
        <v>0</v>
      </c>
      <c r="S34" s="61">
        <f>-'5C1Q_Advantage'!AS34</f>
        <v>0</v>
      </c>
      <c r="T34" s="61">
        <f>-'5C1R_Iberville'!AS34</f>
        <v>0</v>
      </c>
      <c r="U34" s="61">
        <f>-'5C1S_LC Col Prep'!AS34</f>
        <v>0</v>
      </c>
      <c r="V34" s="61">
        <f>-'5C1T_Northeast'!AS34</f>
        <v>0</v>
      </c>
      <c r="W34" s="61">
        <f>-'5C1U_Acadiana Ren'!AS34</f>
        <v>-386206</v>
      </c>
      <c r="X34" s="61">
        <f>-'5C1V_Laf Ren'!AS34</f>
        <v>-495530</v>
      </c>
      <c r="Y34" s="61">
        <f>-'5C1W_Willow'!AS34</f>
        <v>-295638</v>
      </c>
      <c r="Z34" s="61">
        <f>-'5C1Y_GEO'!AS34</f>
        <v>0</v>
      </c>
      <c r="AA34" s="61">
        <f>-'5C1Z_Lincoln Prep'!AS34</f>
        <v>0</v>
      </c>
      <c r="AB34" s="61">
        <f>-'5C1AD_Greater'!$AS34</f>
        <v>0</v>
      </c>
      <c r="AC34" s="61">
        <f>-'5C1AE_Noble Minds'!$AS34</f>
        <v>0</v>
      </c>
      <c r="AD34" s="61">
        <f>-'5C1AF_JCFA-Laf'!$AS34</f>
        <v>-35521</v>
      </c>
      <c r="AE34" s="61">
        <f>-'5C1AG_Collegiate'!$AS34</f>
        <v>0</v>
      </c>
      <c r="AF34" s="61">
        <f>-'5C1AH_BRUP'!$AS34</f>
        <v>0</v>
      </c>
      <c r="AG34" s="61">
        <f>-'5C1AI_Harmony'!$AS34</f>
        <v>0</v>
      </c>
      <c r="AH34" s="61">
        <f>-'5C1AJ_Athlos'!$AS34</f>
        <v>0</v>
      </c>
      <c r="AI34" s="61">
        <f>-'5C1AK_NxtGen'!$AS34</f>
        <v>0</v>
      </c>
      <c r="AJ34" s="61">
        <f>-'5C1AL_Red River'!$AS34</f>
        <v>0</v>
      </c>
      <c r="AK34" s="61">
        <f>-'5C2_LAVCA'!AT34</f>
        <v>-38027</v>
      </c>
      <c r="AL34" s="61">
        <f>-'5C3_UnvView'!AT34</f>
        <v>-53760</v>
      </c>
      <c r="AM34" s="370">
        <f t="shared" si="3"/>
        <v>-1306553</v>
      </c>
      <c r="AN34" s="371">
        <f t="shared" si="4"/>
        <v>10699226</v>
      </c>
      <c r="AO34" s="61"/>
      <c r="AP34" s="61"/>
      <c r="AQ34" s="61">
        <f>-'5C1A_Madison'!AY34</f>
        <v>0</v>
      </c>
      <c r="AR34" s="61">
        <f>-'5C1B_DArbonne'!AY34</f>
        <v>0</v>
      </c>
      <c r="AS34" s="61">
        <f>-'5C1C_Intl High'!AY34</f>
        <v>0</v>
      </c>
      <c r="AT34" s="61">
        <f>-'5C1D_NOMMA'!AY34</f>
        <v>0</v>
      </c>
      <c r="AU34" s="61">
        <f>-'5C1E_LFNO'!AY34</f>
        <v>0</v>
      </c>
      <c r="AV34" s="61">
        <f>-'5C1F_L.C. Charter'!AY34</f>
        <v>0</v>
      </c>
      <c r="AW34" s="61">
        <f>-'5C1G_JS Clark'!AY34</f>
        <v>0</v>
      </c>
      <c r="AX34" s="61">
        <f>-'5C1H_Southwest'!AY34</f>
        <v>0</v>
      </c>
      <c r="AY34" s="61">
        <f>-'5C1I_LA Key'!AY34</f>
        <v>0</v>
      </c>
      <c r="AZ34" s="61">
        <f>-'5C1J_JCFA-East'!AY34</f>
        <v>0</v>
      </c>
      <c r="BA34" s="61">
        <f>-'5C1M_GEO Mid'!AY34</f>
        <v>0</v>
      </c>
      <c r="BB34" s="61">
        <f>-'5C1N_Delta'!AY34</f>
        <v>0</v>
      </c>
      <c r="BC34" s="61">
        <f>-'5C1O_Impact'!AY34</f>
        <v>0</v>
      </c>
      <c r="BD34" s="61">
        <f>-'5C1Q_Advantage'!AY34</f>
        <v>0</v>
      </c>
      <c r="BE34" s="61">
        <f>-'5C1R_Iberville'!AY34</f>
        <v>0</v>
      </c>
      <c r="BF34" s="61">
        <f>-'5C1S_LC Col Prep'!AY34</f>
        <v>0</v>
      </c>
      <c r="BG34" s="61">
        <f>-'5C1T_Northeast'!AY34</f>
        <v>0</v>
      </c>
      <c r="BH34" s="61">
        <f>-'5C1U_Acadiana Ren'!AY34</f>
        <v>-408</v>
      </c>
      <c r="BI34" s="61">
        <f>-'5C1V_Laf Ren'!AY34</f>
        <v>-1545</v>
      </c>
      <c r="BJ34" s="61">
        <f>-'5C1W_Willow'!AY34</f>
        <v>-503</v>
      </c>
      <c r="BK34" s="61">
        <f>-'5C1Y_GEO'!AY34</f>
        <v>0</v>
      </c>
      <c r="BL34" s="61">
        <f>-'5C1Z_Lincoln Prep'!AY34</f>
        <v>0</v>
      </c>
      <c r="BM34" s="61">
        <f>-'5C1AD_Greater'!AY34</f>
        <v>0</v>
      </c>
      <c r="BN34" s="61">
        <f>-'5C1AE_Noble Minds'!AY34</f>
        <v>0</v>
      </c>
      <c r="BO34" s="61">
        <f>-'5C1AF_JCFA-Laf'!AY34</f>
        <v>-111</v>
      </c>
      <c r="BP34" s="61">
        <f>-'5C1AG_Collegiate'!AY34</f>
        <v>0</v>
      </c>
      <c r="BQ34" s="61">
        <f>-'5C1AH_BRUP'!AY34</f>
        <v>0</v>
      </c>
      <c r="BR34" s="61">
        <f>-'5C1AI_Harmony'!$AY34</f>
        <v>0</v>
      </c>
      <c r="BS34" s="61">
        <f>-'5C1AJ_Athlos'!$AY34</f>
        <v>0</v>
      </c>
      <c r="BT34" s="61">
        <f>-'5C1AK_NxtGen'!$AY34</f>
        <v>0</v>
      </c>
      <c r="BU34" s="61">
        <f>-'5C1AL_Red River'!$AY34</f>
        <v>0</v>
      </c>
      <c r="BV34" s="61">
        <f>-'5C2_LAVCA'!AZ34</f>
        <v>-135</v>
      </c>
      <c r="BW34" s="61">
        <f>-'5C3_UnvView'!AZ34</f>
        <v>-115</v>
      </c>
      <c r="BX34" s="61">
        <f t="shared" si="5"/>
        <v>-2817</v>
      </c>
      <c r="BY34" s="371">
        <f t="shared" si="6"/>
        <v>10696409</v>
      </c>
    </row>
    <row r="35" spans="1:77" s="7" customFormat="1" ht="15.75" customHeight="1" x14ac:dyDescent="0.2">
      <c r="A35" s="368">
        <v>29</v>
      </c>
      <c r="B35" s="369" t="s">
        <v>33</v>
      </c>
      <c r="C35" s="61">
        <f>'2_State Distrib and Adjs'!AZ35</f>
        <v>6450052</v>
      </c>
      <c r="D35" s="61">
        <f>-'5A3_OJJ'!S35</f>
        <v>-1153</v>
      </c>
      <c r="E35" s="61"/>
      <c r="F35" s="61">
        <f>-'5C1A_Madison'!AS35</f>
        <v>0</v>
      </c>
      <c r="G35" s="61">
        <f>-'5C1B_DArbonne'!AS35</f>
        <v>0</v>
      </c>
      <c r="H35" s="61">
        <f>-'5C1C_Intl High'!AS35</f>
        <v>-415</v>
      </c>
      <c r="I35" s="61">
        <f>-'5C1D_NOMMA'!AS35</f>
        <v>0</v>
      </c>
      <c r="J35" s="61">
        <f>-'5C1E_LFNO'!AS35</f>
        <v>0</v>
      </c>
      <c r="K35" s="61">
        <f>-'5C1F_L.C. Charter'!AS35</f>
        <v>0</v>
      </c>
      <c r="L35" s="61">
        <f>-'5C1G_JS Clark'!AS35</f>
        <v>0</v>
      </c>
      <c r="M35" s="61">
        <f>-'5C1H_Southwest'!AS35</f>
        <v>0</v>
      </c>
      <c r="N35" s="61">
        <f>-'5C1I_LA Key'!AS35</f>
        <v>0</v>
      </c>
      <c r="O35" s="61">
        <f>-'5C1J_JCFA-East'!AS35</f>
        <v>-208</v>
      </c>
      <c r="P35" s="61">
        <f>-'5C1M_GEO Mid'!AS35</f>
        <v>0</v>
      </c>
      <c r="Q35" s="61">
        <f>-'5C1N_Delta'!AS35</f>
        <v>0</v>
      </c>
      <c r="R35" s="61">
        <f>-'5C1O_Impact'!AS35</f>
        <v>0</v>
      </c>
      <c r="S35" s="61">
        <f>-'5C1Q_Advantage'!AS35</f>
        <v>0</v>
      </c>
      <c r="T35" s="61">
        <f>-'5C1R_Iberville'!AS35</f>
        <v>-51157</v>
      </c>
      <c r="U35" s="61">
        <f>-'5C1S_LC Col Prep'!AS35</f>
        <v>0</v>
      </c>
      <c r="V35" s="61">
        <f>-'5C1T_Northeast'!AS35</f>
        <v>0</v>
      </c>
      <c r="W35" s="61">
        <f>-'5C1U_Acadiana Ren'!AS35</f>
        <v>-1248</v>
      </c>
      <c r="X35" s="61">
        <f>-'5C1V_Laf Ren'!AS35</f>
        <v>0</v>
      </c>
      <c r="Y35" s="61">
        <f>-'5C1W_Willow'!AS35</f>
        <v>0</v>
      </c>
      <c r="Z35" s="61">
        <f>-'5C1Y_GEO'!AS35</f>
        <v>0</v>
      </c>
      <c r="AA35" s="61">
        <f>-'5C1Z_Lincoln Prep'!AS35</f>
        <v>0</v>
      </c>
      <c r="AB35" s="61">
        <f>-'5C1AD_Greater'!$AS35</f>
        <v>-1039</v>
      </c>
      <c r="AC35" s="61">
        <f>-'5C1AE_Noble Minds'!$AS35</f>
        <v>0</v>
      </c>
      <c r="AD35" s="61">
        <f>-'5C1AF_JCFA-Laf'!$AS35</f>
        <v>0</v>
      </c>
      <c r="AE35" s="61">
        <f>-'5C1AG_Collegiate'!$AS35</f>
        <v>0</v>
      </c>
      <c r="AF35" s="61">
        <f>-'5C1AH_BRUP'!$AS35</f>
        <v>0</v>
      </c>
      <c r="AG35" s="61">
        <f>-'5C1AI_Harmony'!$AS35</f>
        <v>0</v>
      </c>
      <c r="AH35" s="61">
        <f>-'5C1AJ_Athlos'!$AS35</f>
        <v>0</v>
      </c>
      <c r="AI35" s="61">
        <f>-'5C1AK_NxtGen'!$AS35</f>
        <v>0</v>
      </c>
      <c r="AJ35" s="61">
        <f>-'5C1AL_Red River'!$AS35</f>
        <v>0</v>
      </c>
      <c r="AK35" s="61">
        <f>-'5C2_LAVCA'!AT35</f>
        <v>-9900</v>
      </c>
      <c r="AL35" s="61">
        <f>-'5C3_UnvView'!AT35</f>
        <v>4218</v>
      </c>
      <c r="AM35" s="370">
        <f t="shared" si="3"/>
        <v>-60902</v>
      </c>
      <c r="AN35" s="371">
        <f t="shared" si="4"/>
        <v>6389150</v>
      </c>
      <c r="AO35" s="61"/>
      <c r="AP35" s="61"/>
      <c r="AQ35" s="61">
        <f>-'5C1A_Madison'!AY35</f>
        <v>0</v>
      </c>
      <c r="AR35" s="61">
        <f>-'5C1B_DArbonne'!AY35</f>
        <v>0</v>
      </c>
      <c r="AS35" s="61">
        <f>-'5C1C_Intl High'!AY35</f>
        <v>0</v>
      </c>
      <c r="AT35" s="61">
        <f>-'5C1D_NOMMA'!AY35</f>
        <v>0</v>
      </c>
      <c r="AU35" s="61">
        <f>-'5C1E_LFNO'!AY35</f>
        <v>0</v>
      </c>
      <c r="AV35" s="61">
        <f>-'5C1F_L.C. Charter'!AY35</f>
        <v>0</v>
      </c>
      <c r="AW35" s="61">
        <f>-'5C1G_JS Clark'!AY35</f>
        <v>0</v>
      </c>
      <c r="AX35" s="61">
        <f>-'5C1H_Southwest'!AY35</f>
        <v>0</v>
      </c>
      <c r="AY35" s="61">
        <f>-'5C1I_LA Key'!AY35</f>
        <v>0</v>
      </c>
      <c r="AZ35" s="61">
        <f>-'5C1J_JCFA-East'!AY35</f>
        <v>-6</v>
      </c>
      <c r="BA35" s="61">
        <f>-'5C1M_GEO Mid'!AY35</f>
        <v>0</v>
      </c>
      <c r="BB35" s="61">
        <f>-'5C1N_Delta'!AY35</f>
        <v>0</v>
      </c>
      <c r="BC35" s="61">
        <f>-'5C1O_Impact'!AY35</f>
        <v>0</v>
      </c>
      <c r="BD35" s="61">
        <f>-'5C1Q_Advantage'!AY35</f>
        <v>0</v>
      </c>
      <c r="BE35" s="61">
        <f>-'5C1R_Iberville'!AY35</f>
        <v>-776</v>
      </c>
      <c r="BF35" s="61">
        <f>-'5C1S_LC Col Prep'!AY35</f>
        <v>0</v>
      </c>
      <c r="BG35" s="61">
        <f>-'5C1T_Northeast'!AY35</f>
        <v>0</v>
      </c>
      <c r="BH35" s="61">
        <f>-'5C1U_Acadiana Ren'!AY35</f>
        <v>-13</v>
      </c>
      <c r="BI35" s="61">
        <f>-'5C1V_Laf Ren'!AY35</f>
        <v>0</v>
      </c>
      <c r="BJ35" s="61">
        <f>-'5C1W_Willow'!AY35</f>
        <v>0</v>
      </c>
      <c r="BK35" s="61">
        <f>-'5C1Y_GEO'!AY35</f>
        <v>0</v>
      </c>
      <c r="BL35" s="61">
        <f>-'5C1Z_Lincoln Prep'!AY35</f>
        <v>0</v>
      </c>
      <c r="BM35" s="61">
        <f>-'5C1AD_Greater'!AY35</f>
        <v>-6</v>
      </c>
      <c r="BN35" s="61">
        <f>-'5C1AE_Noble Minds'!AY35</f>
        <v>0</v>
      </c>
      <c r="BO35" s="61">
        <f>-'5C1AF_JCFA-Laf'!AY35</f>
        <v>0</v>
      </c>
      <c r="BP35" s="61">
        <f>-'5C1AG_Collegiate'!AY35</f>
        <v>0</v>
      </c>
      <c r="BQ35" s="61">
        <f>-'5C1AH_BRUP'!AY35</f>
        <v>0</v>
      </c>
      <c r="BR35" s="61">
        <f>-'5C1AI_Harmony'!$AY35</f>
        <v>0</v>
      </c>
      <c r="BS35" s="61">
        <f>-'5C1AJ_Athlos'!$AY35</f>
        <v>0</v>
      </c>
      <c r="BT35" s="61">
        <f>-'5C1AK_NxtGen'!$AY35</f>
        <v>0</v>
      </c>
      <c r="BU35" s="61">
        <f>-'5C1AL_Red River'!$AY35</f>
        <v>0</v>
      </c>
      <c r="BV35" s="61">
        <f>-'5C2_LAVCA'!AZ35</f>
        <v>11</v>
      </c>
      <c r="BW35" s="61">
        <f>-'5C3_UnvView'!AZ35</f>
        <v>406</v>
      </c>
      <c r="BX35" s="61">
        <f t="shared" si="5"/>
        <v>-384</v>
      </c>
      <c r="BY35" s="371">
        <f t="shared" si="6"/>
        <v>6388766</v>
      </c>
    </row>
    <row r="36" spans="1:77" s="7" customFormat="1" ht="15.75" customHeight="1" x14ac:dyDescent="0.2">
      <c r="A36" s="358">
        <v>30</v>
      </c>
      <c r="B36" s="359" t="s">
        <v>34</v>
      </c>
      <c r="C36" s="360">
        <f>'2_State Distrib and Adjs'!AZ36</f>
        <v>1502068</v>
      </c>
      <c r="D36" s="360">
        <f>-'5A3_OJJ'!S36</f>
        <v>0</v>
      </c>
      <c r="E36" s="360"/>
      <c r="F36" s="360">
        <f>-'5C1A_Madison'!AS36</f>
        <v>0</v>
      </c>
      <c r="G36" s="360">
        <f>-'5C1B_DArbonne'!AS36</f>
        <v>0</v>
      </c>
      <c r="H36" s="360">
        <f>-'5C1C_Intl High'!AS36</f>
        <v>0</v>
      </c>
      <c r="I36" s="360">
        <f>-'5C1D_NOMMA'!AS36</f>
        <v>0</v>
      </c>
      <c r="J36" s="360">
        <f>-'5C1E_LFNO'!AS36</f>
        <v>0</v>
      </c>
      <c r="K36" s="360">
        <f>-'5C1F_L.C. Charter'!AS36</f>
        <v>0</v>
      </c>
      <c r="L36" s="360">
        <f>-'5C1G_JS Clark'!AS36</f>
        <v>0</v>
      </c>
      <c r="M36" s="360">
        <f>-'5C1H_Southwest'!AS36</f>
        <v>0</v>
      </c>
      <c r="N36" s="360">
        <f>-'5C1I_LA Key'!AS36</f>
        <v>0</v>
      </c>
      <c r="O36" s="360">
        <f>-'5C1J_JCFA-East'!AS36</f>
        <v>0</v>
      </c>
      <c r="P36" s="360">
        <f>-'5C1M_GEO Mid'!AS36</f>
        <v>0</v>
      </c>
      <c r="Q36" s="360">
        <f>-'5C1N_Delta'!AS36</f>
        <v>0</v>
      </c>
      <c r="R36" s="360">
        <f>-'5C1O_Impact'!AS36</f>
        <v>0</v>
      </c>
      <c r="S36" s="360">
        <f>-'5C1Q_Advantage'!AS36</f>
        <v>0</v>
      </c>
      <c r="T36" s="360">
        <f>-'5C1R_Iberville'!AS36</f>
        <v>0</v>
      </c>
      <c r="U36" s="360">
        <f>-'5C1S_LC Col Prep'!AS36</f>
        <v>0</v>
      </c>
      <c r="V36" s="360">
        <f>-'5C1T_Northeast'!AS36</f>
        <v>0</v>
      </c>
      <c r="W36" s="360">
        <f>-'5C1U_Acadiana Ren'!AS36</f>
        <v>-621</v>
      </c>
      <c r="X36" s="360">
        <f>-'5C1V_Laf Ren'!AS36</f>
        <v>0</v>
      </c>
      <c r="Y36" s="360">
        <f>-'5C1W_Willow'!AS36</f>
        <v>0</v>
      </c>
      <c r="Z36" s="360">
        <f>-'5C1Y_GEO'!AS36</f>
        <v>0</v>
      </c>
      <c r="AA36" s="360">
        <f>-'5C1Z_Lincoln Prep'!AS36</f>
        <v>0</v>
      </c>
      <c r="AB36" s="360">
        <f>-'5C1AD_Greater'!$AS36</f>
        <v>0</v>
      </c>
      <c r="AC36" s="360">
        <f>-'5C1AE_Noble Minds'!$AS36</f>
        <v>0</v>
      </c>
      <c r="AD36" s="360">
        <f>-'5C1AF_JCFA-Laf'!$AS36</f>
        <v>0</v>
      </c>
      <c r="AE36" s="360">
        <f>-'5C1AG_Collegiate'!$AS36</f>
        <v>0</v>
      </c>
      <c r="AF36" s="360">
        <f>-'5C1AH_BRUP'!$AS36</f>
        <v>0</v>
      </c>
      <c r="AG36" s="657">
        <f>-'5C1AI_Harmony'!$AS36</f>
        <v>0</v>
      </c>
      <c r="AH36" s="657">
        <f>-'5C1AJ_Athlos'!$AS36</f>
        <v>0</v>
      </c>
      <c r="AI36" s="892">
        <f>-'5C1AK_NxtGen'!$AS36</f>
        <v>0</v>
      </c>
      <c r="AJ36" s="892">
        <f>-'5C1AL_Red River'!$AS36</f>
        <v>0</v>
      </c>
      <c r="AK36" s="360">
        <f>-'5C2_LAVCA'!AT36</f>
        <v>-1677</v>
      </c>
      <c r="AL36" s="360">
        <f>-'5C3_UnvView'!AT36</f>
        <v>-4193</v>
      </c>
      <c r="AM36" s="361">
        <f t="shared" si="3"/>
        <v>-6491</v>
      </c>
      <c r="AN36" s="362">
        <f t="shared" si="4"/>
        <v>1495577</v>
      </c>
      <c r="AO36" s="360"/>
      <c r="AP36" s="360"/>
      <c r="AQ36" s="360">
        <f>-'5C1A_Madison'!AY36</f>
        <v>0</v>
      </c>
      <c r="AR36" s="360">
        <f>-'5C1B_DArbonne'!AY36</f>
        <v>0</v>
      </c>
      <c r="AS36" s="360">
        <f>-'5C1C_Intl High'!AY36</f>
        <v>0</v>
      </c>
      <c r="AT36" s="360">
        <f>-'5C1D_NOMMA'!AY36</f>
        <v>0</v>
      </c>
      <c r="AU36" s="360">
        <f>-'5C1E_LFNO'!AY36</f>
        <v>0</v>
      </c>
      <c r="AV36" s="360">
        <f>-'5C1F_L.C. Charter'!AY36</f>
        <v>0</v>
      </c>
      <c r="AW36" s="360">
        <f>-'5C1G_JS Clark'!AY36</f>
        <v>0</v>
      </c>
      <c r="AX36" s="360">
        <f>-'5C1H_Southwest'!AY36</f>
        <v>0</v>
      </c>
      <c r="AY36" s="360">
        <f>-'5C1I_LA Key'!AY36</f>
        <v>0</v>
      </c>
      <c r="AZ36" s="360">
        <f>-'5C1J_JCFA-East'!AY36</f>
        <v>0</v>
      </c>
      <c r="BA36" s="360">
        <f>-'5C1M_GEO Mid'!AY36</f>
        <v>0</v>
      </c>
      <c r="BB36" s="360">
        <f>-'5C1N_Delta'!AY36</f>
        <v>0</v>
      </c>
      <c r="BC36" s="360">
        <f>-'5C1O_Impact'!AY36</f>
        <v>0</v>
      </c>
      <c r="BD36" s="360">
        <f>-'5C1Q_Advantage'!AY36</f>
        <v>0</v>
      </c>
      <c r="BE36" s="360">
        <f>-'5C1R_Iberville'!AY36</f>
        <v>0</v>
      </c>
      <c r="BF36" s="360">
        <f>-'5C1S_LC Col Prep'!AY36</f>
        <v>0</v>
      </c>
      <c r="BG36" s="360">
        <f>-'5C1T_Northeast'!AY36</f>
        <v>0</v>
      </c>
      <c r="BH36" s="360">
        <f>-'5C1U_Acadiana Ren'!AY36</f>
        <v>-6</v>
      </c>
      <c r="BI36" s="360">
        <f>-'5C1V_Laf Ren'!AY36</f>
        <v>0</v>
      </c>
      <c r="BJ36" s="360">
        <f>-'5C1W_Willow'!AY36</f>
        <v>0</v>
      </c>
      <c r="BK36" s="360">
        <f>-'5C1Y_GEO'!AY36</f>
        <v>0</v>
      </c>
      <c r="BL36" s="360">
        <f>-'5C1Z_Lincoln Prep'!AY36</f>
        <v>0</v>
      </c>
      <c r="BM36" s="360">
        <f>-'5C1AD_Greater'!AY36</f>
        <v>0</v>
      </c>
      <c r="BN36" s="360">
        <f>-'5C1AE_Noble Minds'!AY36</f>
        <v>0</v>
      </c>
      <c r="BO36" s="360">
        <f>-'5C1AF_JCFA-Laf'!AY36</f>
        <v>0</v>
      </c>
      <c r="BP36" s="360">
        <f>-'5C1AG_Collegiate'!AY36</f>
        <v>0</v>
      </c>
      <c r="BQ36" s="360">
        <f>-'5C1AH_BRUP'!AY36</f>
        <v>0</v>
      </c>
      <c r="BR36" s="657">
        <f>-'5C1AI_Harmony'!$AY36</f>
        <v>0</v>
      </c>
      <c r="BS36" s="657">
        <f>-'5C1AJ_Athlos'!$AY36</f>
        <v>0</v>
      </c>
      <c r="BT36" s="892">
        <f>-'5C1AK_NxtGen'!$AY36</f>
        <v>0</v>
      </c>
      <c r="BU36" s="892">
        <f>-'5C1AL_Red River'!$AY36</f>
        <v>0</v>
      </c>
      <c r="BV36" s="360">
        <f>-'5C2_LAVCA'!AZ36</f>
        <v>-17</v>
      </c>
      <c r="BW36" s="360">
        <f>-'5C3_UnvView'!AZ36</f>
        <v>-13</v>
      </c>
      <c r="BX36" s="360">
        <f t="shared" si="5"/>
        <v>-36</v>
      </c>
      <c r="BY36" s="362">
        <f t="shared" si="6"/>
        <v>1495541</v>
      </c>
    </row>
    <row r="37" spans="1:77" s="7" customFormat="1" ht="15.75" customHeight="1" x14ac:dyDescent="0.2">
      <c r="A37" s="368">
        <v>31</v>
      </c>
      <c r="B37" s="369" t="s">
        <v>35</v>
      </c>
      <c r="C37" s="61">
        <f>'2_State Distrib and Adjs'!AZ37</f>
        <v>2486107</v>
      </c>
      <c r="D37" s="61">
        <f>-'5A3_OJJ'!S37</f>
        <v>-696</v>
      </c>
      <c r="E37" s="61"/>
      <c r="F37" s="61">
        <f>-'5C1A_Madison'!AS37</f>
        <v>0</v>
      </c>
      <c r="G37" s="61">
        <f>-'5C1B_DArbonne'!AS37</f>
        <v>-29341</v>
      </c>
      <c r="H37" s="61">
        <f>-'5C1C_Intl High'!AS37</f>
        <v>0</v>
      </c>
      <c r="I37" s="61">
        <f>-'5C1D_NOMMA'!AS37</f>
        <v>0</v>
      </c>
      <c r="J37" s="61">
        <f>-'5C1E_LFNO'!AS37</f>
        <v>0</v>
      </c>
      <c r="K37" s="61">
        <f>-'5C1F_L.C. Charter'!AS37</f>
        <v>0</v>
      </c>
      <c r="L37" s="61">
        <f>-'5C1G_JS Clark'!AS37</f>
        <v>0</v>
      </c>
      <c r="M37" s="61">
        <f>-'5C1H_Southwest'!AS37</f>
        <v>0</v>
      </c>
      <c r="N37" s="61">
        <f>-'5C1I_LA Key'!AS37</f>
        <v>0</v>
      </c>
      <c r="O37" s="61">
        <f>-'5C1J_JCFA-East'!AS37</f>
        <v>0</v>
      </c>
      <c r="P37" s="61">
        <f>-'5C1M_GEO Mid'!AS37</f>
        <v>0</v>
      </c>
      <c r="Q37" s="61">
        <f>-'5C1N_Delta'!AS37</f>
        <v>0</v>
      </c>
      <c r="R37" s="61">
        <f>-'5C1O_Impact'!AS37</f>
        <v>0</v>
      </c>
      <c r="S37" s="61">
        <f>-'5C1Q_Advantage'!AS37</f>
        <v>0</v>
      </c>
      <c r="T37" s="61">
        <f>-'5C1R_Iberville'!AS37</f>
        <v>0</v>
      </c>
      <c r="U37" s="61">
        <f>-'5C1S_LC Col Prep'!AS37</f>
        <v>0</v>
      </c>
      <c r="V37" s="61">
        <f>-'5C1T_Northeast'!AS37</f>
        <v>-4471</v>
      </c>
      <c r="W37" s="61">
        <f>-'5C1U_Acadiana Ren'!AS37</f>
        <v>0</v>
      </c>
      <c r="X37" s="61">
        <f>-'5C1V_Laf Ren'!AS37</f>
        <v>0</v>
      </c>
      <c r="Y37" s="61">
        <f>-'5C1W_Willow'!AS37</f>
        <v>0</v>
      </c>
      <c r="Z37" s="61">
        <f>-'5C1Y_GEO'!AS37</f>
        <v>0</v>
      </c>
      <c r="AA37" s="61">
        <f>-'5C1Z_Lincoln Prep'!AS37</f>
        <v>-188801</v>
      </c>
      <c r="AB37" s="61">
        <f>-'5C1AD_Greater'!$AS37</f>
        <v>0</v>
      </c>
      <c r="AC37" s="61">
        <f>-'5C1AE_Noble Minds'!$AS37</f>
        <v>0</v>
      </c>
      <c r="AD37" s="61">
        <f>-'5C1AF_JCFA-Laf'!$AS37</f>
        <v>0</v>
      </c>
      <c r="AE37" s="61">
        <f>-'5C1AG_Collegiate'!$AS37</f>
        <v>0</v>
      </c>
      <c r="AF37" s="61">
        <f>-'5C1AH_BRUP'!$AS37</f>
        <v>0</v>
      </c>
      <c r="AG37" s="61">
        <f>-'5C1AI_Harmony'!$AS37</f>
        <v>0</v>
      </c>
      <c r="AH37" s="61">
        <f>-'5C1AJ_Athlos'!$AS37</f>
        <v>0</v>
      </c>
      <c r="AI37" s="61">
        <f>-'5C1AK_NxtGen'!$AS37</f>
        <v>0</v>
      </c>
      <c r="AJ37" s="61">
        <f>-'5C1AL_Red River'!$AS37</f>
        <v>0</v>
      </c>
      <c r="AK37" s="61">
        <f>-'5C2_LAVCA'!AT37</f>
        <v>-5889</v>
      </c>
      <c r="AL37" s="61">
        <f>-'5C3_UnvView'!AT37</f>
        <v>-317</v>
      </c>
      <c r="AM37" s="370">
        <f t="shared" si="3"/>
        <v>-229515</v>
      </c>
      <c r="AN37" s="371">
        <f t="shared" si="4"/>
        <v>2256592</v>
      </c>
      <c r="AO37" s="61"/>
      <c r="AP37" s="61"/>
      <c r="AQ37" s="61">
        <f>-'5C1A_Madison'!AY37</f>
        <v>0</v>
      </c>
      <c r="AR37" s="61">
        <f>-'5C1B_DArbonne'!AY37</f>
        <v>-21</v>
      </c>
      <c r="AS37" s="61">
        <f>-'5C1C_Intl High'!AY37</f>
        <v>0</v>
      </c>
      <c r="AT37" s="61">
        <f>-'5C1D_NOMMA'!AY37</f>
        <v>0</v>
      </c>
      <c r="AU37" s="61">
        <f>-'5C1E_LFNO'!AY37</f>
        <v>0</v>
      </c>
      <c r="AV37" s="61">
        <f>-'5C1F_L.C. Charter'!AY37</f>
        <v>0</v>
      </c>
      <c r="AW37" s="61">
        <f>-'5C1G_JS Clark'!AY37</f>
        <v>0</v>
      </c>
      <c r="AX37" s="61">
        <f>-'5C1H_Southwest'!AY37</f>
        <v>0</v>
      </c>
      <c r="AY37" s="61">
        <f>-'5C1I_LA Key'!AY37</f>
        <v>0</v>
      </c>
      <c r="AZ37" s="61">
        <f>-'5C1J_JCFA-East'!AY37</f>
        <v>0</v>
      </c>
      <c r="BA37" s="61">
        <f>-'5C1M_GEO Mid'!AY37</f>
        <v>0</v>
      </c>
      <c r="BB37" s="61">
        <f>-'5C1N_Delta'!AY37</f>
        <v>0</v>
      </c>
      <c r="BC37" s="61">
        <f>-'5C1O_Impact'!AY37</f>
        <v>0</v>
      </c>
      <c r="BD37" s="61">
        <f>-'5C1Q_Advantage'!AY37</f>
        <v>0</v>
      </c>
      <c r="BE37" s="61">
        <f>-'5C1R_Iberville'!AY37</f>
        <v>0</v>
      </c>
      <c r="BF37" s="61">
        <f>-'5C1S_LC Col Prep'!AY37</f>
        <v>0</v>
      </c>
      <c r="BG37" s="61">
        <f>-'5C1T_Northeast'!AY37</f>
        <v>-30</v>
      </c>
      <c r="BH37" s="61">
        <f>-'5C1U_Acadiana Ren'!AY37</f>
        <v>0</v>
      </c>
      <c r="BI37" s="61">
        <f>-'5C1V_Laf Ren'!AY37</f>
        <v>0</v>
      </c>
      <c r="BJ37" s="61">
        <f>-'5C1W_Willow'!AY37</f>
        <v>0</v>
      </c>
      <c r="BK37" s="61">
        <f>-'5C1Y_GEO'!AY37</f>
        <v>0</v>
      </c>
      <c r="BL37" s="61">
        <f>-'5C1Z_Lincoln Prep'!AY37</f>
        <v>-349</v>
      </c>
      <c r="BM37" s="61">
        <f>-'5C1AD_Greater'!AY37</f>
        <v>0</v>
      </c>
      <c r="BN37" s="61">
        <f>-'5C1AE_Noble Minds'!AY37</f>
        <v>0</v>
      </c>
      <c r="BO37" s="61">
        <f>-'5C1AF_JCFA-Laf'!AY37</f>
        <v>0</v>
      </c>
      <c r="BP37" s="61">
        <f>-'5C1AG_Collegiate'!AY37</f>
        <v>0</v>
      </c>
      <c r="BQ37" s="61">
        <f>-'5C1AH_BRUP'!AY37</f>
        <v>0</v>
      </c>
      <c r="BR37" s="61">
        <f>-'5C1AI_Harmony'!$AY37</f>
        <v>0</v>
      </c>
      <c r="BS37" s="61">
        <f>-'5C1AJ_Athlos'!$AY37</f>
        <v>0</v>
      </c>
      <c r="BT37" s="61">
        <f>-'5C1AK_NxtGen'!$AY37</f>
        <v>0</v>
      </c>
      <c r="BU37" s="61">
        <f>-'5C1AL_Red River'!$AY37</f>
        <v>0</v>
      </c>
      <c r="BV37" s="61">
        <f>-'5C2_LAVCA'!AZ37</f>
        <v>-3</v>
      </c>
      <c r="BW37" s="61">
        <f>-'5C3_UnvView'!AZ37</f>
        <v>30</v>
      </c>
      <c r="BX37" s="61">
        <f t="shared" si="5"/>
        <v>-373</v>
      </c>
      <c r="BY37" s="371">
        <f t="shared" si="6"/>
        <v>2256219</v>
      </c>
    </row>
    <row r="38" spans="1:77" s="7" customFormat="1" ht="15.75" customHeight="1" x14ac:dyDescent="0.2">
      <c r="A38" s="368">
        <v>32</v>
      </c>
      <c r="B38" s="369" t="s">
        <v>36</v>
      </c>
      <c r="C38" s="61">
        <f>'2_State Distrib and Adjs'!AZ38</f>
        <v>14547006</v>
      </c>
      <c r="D38" s="61">
        <f>-'5A3_OJJ'!S38</f>
        <v>-170</v>
      </c>
      <c r="E38" s="61"/>
      <c r="F38" s="61">
        <f>-'5C1A_Madison'!AS38</f>
        <v>-1593</v>
      </c>
      <c r="G38" s="61">
        <f>-'5C1B_DArbonne'!AS38</f>
        <v>0</v>
      </c>
      <c r="H38" s="61">
        <f>-'5C1C_Intl High'!AS38</f>
        <v>0</v>
      </c>
      <c r="I38" s="61">
        <f>-'5C1D_NOMMA'!AS38</f>
        <v>0</v>
      </c>
      <c r="J38" s="61">
        <f>-'5C1E_LFNO'!AS38</f>
        <v>0</v>
      </c>
      <c r="K38" s="61">
        <f>-'5C1F_L.C. Charter'!AS38</f>
        <v>0</v>
      </c>
      <c r="L38" s="61">
        <f>-'5C1G_JS Clark'!AS38</f>
        <v>0</v>
      </c>
      <c r="M38" s="61">
        <f>-'5C1H_Southwest'!AS38</f>
        <v>0</v>
      </c>
      <c r="N38" s="61">
        <f>-'5C1I_LA Key'!AS38</f>
        <v>-4403</v>
      </c>
      <c r="O38" s="61">
        <f>-'5C1J_JCFA-East'!AS38</f>
        <v>0</v>
      </c>
      <c r="P38" s="61">
        <f>-'5C1M_GEO Mid'!AS38</f>
        <v>-2631</v>
      </c>
      <c r="Q38" s="61">
        <f>-'5C1N_Delta'!AS38</f>
        <v>0</v>
      </c>
      <c r="R38" s="61">
        <f>-'5C1O_Impact'!AS38</f>
        <v>0</v>
      </c>
      <c r="S38" s="61">
        <f>-'5C1Q_Advantage'!AS38</f>
        <v>0</v>
      </c>
      <c r="T38" s="61">
        <f>-'5C1R_Iberville'!AS38</f>
        <v>-329</v>
      </c>
      <c r="U38" s="61">
        <f>-'5C1S_LC Col Prep'!AS38</f>
        <v>0</v>
      </c>
      <c r="V38" s="61">
        <f>-'5C1T_Northeast'!AS38</f>
        <v>0</v>
      </c>
      <c r="W38" s="61">
        <f>-'5C1U_Acadiana Ren'!AS38</f>
        <v>0</v>
      </c>
      <c r="X38" s="61">
        <f>-'5C1V_Laf Ren'!AS38</f>
        <v>0</v>
      </c>
      <c r="Y38" s="61">
        <f>-'5C1W_Willow'!AS38</f>
        <v>0</v>
      </c>
      <c r="Z38" s="61">
        <f>-'5C1Y_GEO'!AS38</f>
        <v>-1618</v>
      </c>
      <c r="AA38" s="61">
        <f>-'5C1Z_Lincoln Prep'!AS38</f>
        <v>0</v>
      </c>
      <c r="AB38" s="61">
        <f>-'5C1AD_Greater'!$AS38</f>
        <v>0</v>
      </c>
      <c r="AC38" s="61">
        <f>-'5C1AE_Noble Minds'!$AS38</f>
        <v>0</v>
      </c>
      <c r="AD38" s="61">
        <f>-'5C1AF_JCFA-Laf'!$AS38</f>
        <v>0</v>
      </c>
      <c r="AE38" s="61">
        <f>-'5C1AG_Collegiate'!$AS38</f>
        <v>0</v>
      </c>
      <c r="AF38" s="61">
        <f>-'5C1AH_BRUP'!$AS38</f>
        <v>0</v>
      </c>
      <c r="AG38" s="61">
        <f>-'5C1AI_Harmony'!$AS38</f>
        <v>0</v>
      </c>
      <c r="AH38" s="61">
        <f>-'5C1AJ_Athlos'!$AS38</f>
        <v>0</v>
      </c>
      <c r="AI38" s="61">
        <f>-'5C1AK_NxtGen'!$AS38</f>
        <v>0</v>
      </c>
      <c r="AJ38" s="61">
        <f>-'5C1AL_Red River'!$AS38</f>
        <v>0</v>
      </c>
      <c r="AK38" s="61">
        <f>-'5C2_LAVCA'!AT38</f>
        <v>-18179</v>
      </c>
      <c r="AL38" s="61">
        <f>-'5C3_UnvView'!AT38</f>
        <v>-68202</v>
      </c>
      <c r="AM38" s="370">
        <f t="shared" si="3"/>
        <v>-97125</v>
      </c>
      <c r="AN38" s="371">
        <f t="shared" si="4"/>
        <v>14449881</v>
      </c>
      <c r="AO38" s="61"/>
      <c r="AP38" s="61"/>
      <c r="AQ38" s="61">
        <f>-'5C1A_Madison'!AY38</f>
        <v>-3</v>
      </c>
      <c r="AR38" s="61">
        <f>-'5C1B_DArbonne'!AY38</f>
        <v>0</v>
      </c>
      <c r="AS38" s="61">
        <f>-'5C1C_Intl High'!AY38</f>
        <v>0</v>
      </c>
      <c r="AT38" s="61">
        <f>-'5C1D_NOMMA'!AY38</f>
        <v>0</v>
      </c>
      <c r="AU38" s="61">
        <f>-'5C1E_LFNO'!AY38</f>
        <v>0</v>
      </c>
      <c r="AV38" s="61">
        <f>-'5C1F_L.C. Charter'!AY38</f>
        <v>0</v>
      </c>
      <c r="AW38" s="61">
        <f>-'5C1G_JS Clark'!AY38</f>
        <v>0</v>
      </c>
      <c r="AX38" s="61">
        <f>-'5C1H_Southwest'!AY38</f>
        <v>0</v>
      </c>
      <c r="AY38" s="61">
        <f>-'5C1I_LA Key'!AY38</f>
        <v>3</v>
      </c>
      <c r="AZ38" s="61">
        <f>-'5C1J_JCFA-East'!AY38</f>
        <v>0</v>
      </c>
      <c r="BA38" s="61">
        <f>-'5C1M_GEO Mid'!AY38</f>
        <v>-26</v>
      </c>
      <c r="BB38" s="61">
        <f>-'5C1N_Delta'!AY38</f>
        <v>0</v>
      </c>
      <c r="BC38" s="61">
        <f>-'5C1O_Impact'!AY38</f>
        <v>0</v>
      </c>
      <c r="BD38" s="61">
        <f>-'5C1Q_Advantage'!AY38</f>
        <v>0</v>
      </c>
      <c r="BE38" s="61">
        <f>-'5C1R_Iberville'!AY38</f>
        <v>-3</v>
      </c>
      <c r="BF38" s="61">
        <f>-'5C1S_LC Col Prep'!AY38</f>
        <v>0</v>
      </c>
      <c r="BG38" s="61">
        <f>-'5C1T_Northeast'!AY38</f>
        <v>0</v>
      </c>
      <c r="BH38" s="61">
        <f>-'5C1U_Acadiana Ren'!AY38</f>
        <v>0</v>
      </c>
      <c r="BI38" s="61">
        <f>-'5C1V_Laf Ren'!AY38</f>
        <v>0</v>
      </c>
      <c r="BJ38" s="61">
        <f>-'5C1W_Willow'!AY38</f>
        <v>0</v>
      </c>
      <c r="BK38" s="61">
        <f>-'5C1Y_GEO'!AY38</f>
        <v>-10</v>
      </c>
      <c r="BL38" s="61">
        <f>-'5C1Z_Lincoln Prep'!AY38</f>
        <v>0</v>
      </c>
      <c r="BM38" s="61">
        <f>-'5C1AD_Greater'!AY38</f>
        <v>0</v>
      </c>
      <c r="BN38" s="61">
        <f>-'5C1AE_Noble Minds'!AY38</f>
        <v>0</v>
      </c>
      <c r="BO38" s="61">
        <f>-'5C1AF_JCFA-Laf'!AY38</f>
        <v>0</v>
      </c>
      <c r="BP38" s="61">
        <f>-'5C1AG_Collegiate'!AY38</f>
        <v>0</v>
      </c>
      <c r="BQ38" s="61">
        <f>-'5C1AH_BRUP'!AY38</f>
        <v>0</v>
      </c>
      <c r="BR38" s="61">
        <f>-'5C1AI_Harmony'!$AY38</f>
        <v>0</v>
      </c>
      <c r="BS38" s="61">
        <f>-'5C1AJ_Athlos'!$AY38</f>
        <v>0</v>
      </c>
      <c r="BT38" s="61">
        <f>-'5C1AK_NxtGen'!$AY38</f>
        <v>0</v>
      </c>
      <c r="BU38" s="61">
        <f>-'5C1AL_Red River'!$AY38</f>
        <v>0</v>
      </c>
      <c r="BV38" s="61">
        <f>-'5C2_LAVCA'!AZ38</f>
        <v>-11</v>
      </c>
      <c r="BW38" s="61">
        <f>-'5C3_UnvView'!AZ38</f>
        <v>-282</v>
      </c>
      <c r="BX38" s="61">
        <f t="shared" si="5"/>
        <v>-332</v>
      </c>
      <c r="BY38" s="371">
        <f t="shared" si="6"/>
        <v>14449549</v>
      </c>
    </row>
    <row r="39" spans="1:77" s="7" customFormat="1" ht="15.75" customHeight="1" x14ac:dyDescent="0.2">
      <c r="A39" s="368">
        <v>33</v>
      </c>
      <c r="B39" s="369" t="s">
        <v>37</v>
      </c>
      <c r="C39" s="61">
        <f>'2_State Distrib and Adjs'!AZ39</f>
        <v>581558</v>
      </c>
      <c r="D39" s="61">
        <f>-'5A3_OJJ'!S39</f>
        <v>-640</v>
      </c>
      <c r="E39" s="61"/>
      <c r="F39" s="61">
        <f>-'5C1A_Madison'!AS39</f>
        <v>0</v>
      </c>
      <c r="G39" s="61">
        <f>-'5C1B_DArbonne'!AS39</f>
        <v>0</v>
      </c>
      <c r="H39" s="61">
        <f>-'5C1C_Intl High'!AS39</f>
        <v>0</v>
      </c>
      <c r="I39" s="61">
        <f>-'5C1D_NOMMA'!AS39</f>
        <v>0</v>
      </c>
      <c r="J39" s="61">
        <f>-'5C1E_LFNO'!AS39</f>
        <v>0</v>
      </c>
      <c r="K39" s="61">
        <f>-'5C1F_L.C. Charter'!AS39</f>
        <v>0</v>
      </c>
      <c r="L39" s="61">
        <f>-'5C1G_JS Clark'!AS39</f>
        <v>0</v>
      </c>
      <c r="M39" s="61">
        <f>-'5C1H_Southwest'!AS39</f>
        <v>0</v>
      </c>
      <c r="N39" s="61">
        <f>-'5C1I_LA Key'!AS39</f>
        <v>0</v>
      </c>
      <c r="O39" s="61">
        <f>-'5C1J_JCFA-East'!AS39</f>
        <v>0</v>
      </c>
      <c r="P39" s="61">
        <f>-'5C1M_GEO Mid'!AS39</f>
        <v>0</v>
      </c>
      <c r="Q39" s="61">
        <f>-'5C1N_Delta'!AS39</f>
        <v>0</v>
      </c>
      <c r="R39" s="61">
        <f>-'5C1O_Impact'!AS39</f>
        <v>0</v>
      </c>
      <c r="S39" s="61">
        <f>-'5C1Q_Advantage'!AS39</f>
        <v>0</v>
      </c>
      <c r="T39" s="61">
        <f>-'5C1R_Iberville'!AS39</f>
        <v>0</v>
      </c>
      <c r="U39" s="61">
        <f>-'5C1S_LC Col Prep'!AS39</f>
        <v>0</v>
      </c>
      <c r="V39" s="61">
        <f>-'5C1T_Northeast'!AS39</f>
        <v>0</v>
      </c>
      <c r="W39" s="61">
        <f>-'5C1U_Acadiana Ren'!AS39</f>
        <v>0</v>
      </c>
      <c r="X39" s="61">
        <f>-'5C1V_Laf Ren'!AS39</f>
        <v>0</v>
      </c>
      <c r="Y39" s="61">
        <f>-'5C1W_Willow'!AS39</f>
        <v>0</v>
      </c>
      <c r="Z39" s="61">
        <f>-'5C1Y_GEO'!AS39</f>
        <v>0</v>
      </c>
      <c r="AA39" s="61">
        <f>-'5C1Z_Lincoln Prep'!AS39</f>
        <v>0</v>
      </c>
      <c r="AB39" s="61">
        <f>-'5C1AD_Greater'!$AS39</f>
        <v>0</v>
      </c>
      <c r="AC39" s="61">
        <f>-'5C1AE_Noble Minds'!$AS39</f>
        <v>0</v>
      </c>
      <c r="AD39" s="61">
        <f>-'5C1AF_JCFA-Laf'!$AS39</f>
        <v>0</v>
      </c>
      <c r="AE39" s="61">
        <f>-'5C1AG_Collegiate'!$AS39</f>
        <v>0</v>
      </c>
      <c r="AF39" s="61">
        <f>-'5C1AH_BRUP'!$AS39</f>
        <v>0</v>
      </c>
      <c r="AG39" s="61">
        <f>-'5C1AI_Harmony'!$AS39</f>
        <v>0</v>
      </c>
      <c r="AH39" s="61">
        <f>-'5C1AJ_Athlos'!$AS39</f>
        <v>0</v>
      </c>
      <c r="AI39" s="61">
        <f>-'5C1AK_NxtGen'!$AS39</f>
        <v>0</v>
      </c>
      <c r="AJ39" s="61">
        <f>-'5C1AL_Red River'!$AS39</f>
        <v>0</v>
      </c>
      <c r="AK39" s="61">
        <f>-'5C2_LAVCA'!AT39</f>
        <v>-1013</v>
      </c>
      <c r="AL39" s="61">
        <f>-'5C3_UnvView'!AT39</f>
        <v>-50452</v>
      </c>
      <c r="AM39" s="370">
        <f t="shared" ref="AM39:AM70" si="7">SUM(D39:AL39)</f>
        <v>-52105</v>
      </c>
      <c r="AN39" s="371">
        <f t="shared" ref="AN39:AN70" si="8">C39+AM39</f>
        <v>529453</v>
      </c>
      <c r="AO39" s="61"/>
      <c r="AP39" s="61"/>
      <c r="AQ39" s="61">
        <f>-'5C1A_Madison'!AY39</f>
        <v>0</v>
      </c>
      <c r="AR39" s="61">
        <f>-'5C1B_DArbonne'!AY39</f>
        <v>0</v>
      </c>
      <c r="AS39" s="61">
        <f>-'5C1C_Intl High'!AY39</f>
        <v>0</v>
      </c>
      <c r="AT39" s="61">
        <f>-'5C1D_NOMMA'!AY39</f>
        <v>0</v>
      </c>
      <c r="AU39" s="61">
        <f>-'5C1E_LFNO'!AY39</f>
        <v>0</v>
      </c>
      <c r="AV39" s="61">
        <f>-'5C1F_L.C. Charter'!AY39</f>
        <v>0</v>
      </c>
      <c r="AW39" s="61">
        <f>-'5C1G_JS Clark'!AY39</f>
        <v>0</v>
      </c>
      <c r="AX39" s="61">
        <f>-'5C1H_Southwest'!AY39</f>
        <v>0</v>
      </c>
      <c r="AY39" s="61">
        <f>-'5C1I_LA Key'!AY39</f>
        <v>0</v>
      </c>
      <c r="AZ39" s="61">
        <f>-'5C1J_JCFA-East'!AY39</f>
        <v>0</v>
      </c>
      <c r="BA39" s="61">
        <f>-'5C1M_GEO Mid'!AY39</f>
        <v>0</v>
      </c>
      <c r="BB39" s="61">
        <f>-'5C1N_Delta'!AY39</f>
        <v>0</v>
      </c>
      <c r="BC39" s="61">
        <f>-'5C1O_Impact'!AY39</f>
        <v>0</v>
      </c>
      <c r="BD39" s="61">
        <f>-'5C1Q_Advantage'!AY39</f>
        <v>0</v>
      </c>
      <c r="BE39" s="61">
        <f>-'5C1R_Iberville'!AY39</f>
        <v>0</v>
      </c>
      <c r="BF39" s="61">
        <f>-'5C1S_LC Col Prep'!AY39</f>
        <v>0</v>
      </c>
      <c r="BG39" s="61">
        <f>-'5C1T_Northeast'!AY39</f>
        <v>0</v>
      </c>
      <c r="BH39" s="61">
        <f>-'5C1U_Acadiana Ren'!AY39</f>
        <v>0</v>
      </c>
      <c r="BI39" s="61">
        <f>-'5C1V_Laf Ren'!AY39</f>
        <v>0</v>
      </c>
      <c r="BJ39" s="61">
        <f>-'5C1W_Willow'!AY39</f>
        <v>0</v>
      </c>
      <c r="BK39" s="61">
        <f>-'5C1Y_GEO'!AY39</f>
        <v>0</v>
      </c>
      <c r="BL39" s="61">
        <f>-'5C1Z_Lincoln Prep'!AY39</f>
        <v>0</v>
      </c>
      <c r="BM39" s="61">
        <f>-'5C1AD_Greater'!AY39</f>
        <v>0</v>
      </c>
      <c r="BN39" s="61">
        <f>-'5C1AE_Noble Minds'!AY39</f>
        <v>0</v>
      </c>
      <c r="BO39" s="61">
        <f>-'5C1AF_JCFA-Laf'!AY39</f>
        <v>0</v>
      </c>
      <c r="BP39" s="61">
        <f>-'5C1AG_Collegiate'!AY39</f>
        <v>0</v>
      </c>
      <c r="BQ39" s="61">
        <f>-'5C1AH_BRUP'!AY39</f>
        <v>0</v>
      </c>
      <c r="BR39" s="61">
        <f>-'5C1AI_Harmony'!$AY39</f>
        <v>0</v>
      </c>
      <c r="BS39" s="61">
        <f>-'5C1AJ_Athlos'!$AY39</f>
        <v>0</v>
      </c>
      <c r="BT39" s="61">
        <f>-'5C1AK_NxtGen'!$AY39</f>
        <v>0</v>
      </c>
      <c r="BU39" s="61">
        <f>-'5C1AL_Red River'!$AY39</f>
        <v>0</v>
      </c>
      <c r="BV39" s="61">
        <f>-'5C2_LAVCA'!AZ39</f>
        <v>-4</v>
      </c>
      <c r="BW39" s="61">
        <f>-'5C3_UnvView'!AZ39</f>
        <v>597</v>
      </c>
      <c r="BX39" s="61">
        <f t="shared" ref="BX39:BX70" si="9">SUM(AP39:BW39)</f>
        <v>593</v>
      </c>
      <c r="BY39" s="371">
        <f t="shared" ref="BY39:BY75" si="10">SUM(AN39:BW39)</f>
        <v>530046</v>
      </c>
    </row>
    <row r="40" spans="1:77" s="7" customFormat="1" ht="15.75" customHeight="1" x14ac:dyDescent="0.2">
      <c r="A40" s="368">
        <v>34</v>
      </c>
      <c r="B40" s="369" t="s">
        <v>38</v>
      </c>
      <c r="C40" s="61">
        <f>'2_State Distrib and Adjs'!AZ40</f>
        <v>2015840</v>
      </c>
      <c r="D40" s="61">
        <f>-'5A3_OJJ'!S40</f>
        <v>-412</v>
      </c>
      <c r="E40" s="61"/>
      <c r="F40" s="61">
        <f>-'5C1A_Madison'!AS40</f>
        <v>0</v>
      </c>
      <c r="G40" s="61">
        <f>-'5C1B_DArbonne'!AS40</f>
        <v>-805</v>
      </c>
      <c r="H40" s="61">
        <f>-'5C1C_Intl High'!AS40</f>
        <v>0</v>
      </c>
      <c r="I40" s="61">
        <f>-'5C1D_NOMMA'!AS40</f>
        <v>0</v>
      </c>
      <c r="J40" s="61">
        <f>-'5C1E_LFNO'!AS40</f>
        <v>0</v>
      </c>
      <c r="K40" s="61">
        <f>-'5C1F_L.C. Charter'!AS40</f>
        <v>0</v>
      </c>
      <c r="L40" s="61">
        <f>-'5C1G_JS Clark'!AS40</f>
        <v>0</v>
      </c>
      <c r="M40" s="61">
        <f>-'5C1H_Southwest'!AS40</f>
        <v>0</v>
      </c>
      <c r="N40" s="61">
        <f>-'5C1I_LA Key'!AS40</f>
        <v>0</v>
      </c>
      <c r="O40" s="61">
        <f>-'5C1J_JCFA-East'!AS40</f>
        <v>0</v>
      </c>
      <c r="P40" s="61">
        <f>-'5C1M_GEO Mid'!AS40</f>
        <v>0</v>
      </c>
      <c r="Q40" s="61">
        <f>-'5C1N_Delta'!AS40</f>
        <v>0</v>
      </c>
      <c r="R40" s="61">
        <f>-'5C1O_Impact'!AS40</f>
        <v>0</v>
      </c>
      <c r="S40" s="61">
        <f>-'5C1Q_Advantage'!AS40</f>
        <v>0</v>
      </c>
      <c r="T40" s="61">
        <f>-'5C1R_Iberville'!AS40</f>
        <v>0</v>
      </c>
      <c r="U40" s="61">
        <f>-'5C1S_LC Col Prep'!AS40</f>
        <v>0</v>
      </c>
      <c r="V40" s="61">
        <f>-'5C1T_Northeast'!AS40</f>
        <v>0</v>
      </c>
      <c r="W40" s="61">
        <f>-'5C1U_Acadiana Ren'!AS40</f>
        <v>0</v>
      </c>
      <c r="X40" s="61">
        <f>-'5C1V_Laf Ren'!AS40</f>
        <v>0</v>
      </c>
      <c r="Y40" s="61">
        <f>-'5C1W_Willow'!AS40</f>
        <v>0</v>
      </c>
      <c r="Z40" s="61">
        <f>-'5C1Y_GEO'!AS40</f>
        <v>0</v>
      </c>
      <c r="AA40" s="61">
        <f>-'5C1Z_Lincoln Prep'!AS40</f>
        <v>0</v>
      </c>
      <c r="AB40" s="61">
        <f>-'5C1AD_Greater'!$AS40</f>
        <v>0</v>
      </c>
      <c r="AC40" s="61">
        <f>-'5C1AE_Noble Minds'!$AS40</f>
        <v>0</v>
      </c>
      <c r="AD40" s="61">
        <f>-'5C1AF_JCFA-Laf'!$AS40</f>
        <v>0</v>
      </c>
      <c r="AE40" s="61">
        <f>-'5C1AG_Collegiate'!$AS40</f>
        <v>0</v>
      </c>
      <c r="AF40" s="61">
        <f>-'5C1AH_BRUP'!$AS40</f>
        <v>0</v>
      </c>
      <c r="AG40" s="61">
        <f>-'5C1AI_Harmony'!$AS40</f>
        <v>0</v>
      </c>
      <c r="AH40" s="61">
        <f>-'5C1AJ_Athlos'!$AS40</f>
        <v>0</v>
      </c>
      <c r="AI40" s="61">
        <f>-'5C1AK_NxtGen'!$AS40</f>
        <v>0</v>
      </c>
      <c r="AJ40" s="61">
        <f>-'5C1AL_Red River'!$AS40</f>
        <v>0</v>
      </c>
      <c r="AK40" s="61">
        <f>-'5C2_LAVCA'!AT40</f>
        <v>-6311</v>
      </c>
      <c r="AL40" s="61">
        <f>-'5C3_UnvView'!AT40</f>
        <v>-6169</v>
      </c>
      <c r="AM40" s="370">
        <f t="shared" si="7"/>
        <v>-13697</v>
      </c>
      <c r="AN40" s="371">
        <f t="shared" si="8"/>
        <v>2002143</v>
      </c>
      <c r="AO40" s="61"/>
      <c r="AP40" s="61"/>
      <c r="AQ40" s="61">
        <f>-'5C1A_Madison'!AY40</f>
        <v>0</v>
      </c>
      <c r="AR40" s="61">
        <f>-'5C1B_DArbonne'!AY40</f>
        <v>-8</v>
      </c>
      <c r="AS40" s="61">
        <f>-'5C1C_Intl High'!AY40</f>
        <v>0</v>
      </c>
      <c r="AT40" s="61">
        <f>-'5C1D_NOMMA'!AY40</f>
        <v>0</v>
      </c>
      <c r="AU40" s="61">
        <f>-'5C1E_LFNO'!AY40</f>
        <v>0</v>
      </c>
      <c r="AV40" s="61">
        <f>-'5C1F_L.C. Charter'!AY40</f>
        <v>0</v>
      </c>
      <c r="AW40" s="61">
        <f>-'5C1G_JS Clark'!AY40</f>
        <v>0</v>
      </c>
      <c r="AX40" s="61">
        <f>-'5C1H_Southwest'!AY40</f>
        <v>0</v>
      </c>
      <c r="AY40" s="61">
        <f>-'5C1I_LA Key'!AY40</f>
        <v>0</v>
      </c>
      <c r="AZ40" s="61">
        <f>-'5C1J_JCFA-East'!AY40</f>
        <v>0</v>
      </c>
      <c r="BA40" s="61">
        <f>-'5C1M_GEO Mid'!AY40</f>
        <v>0</v>
      </c>
      <c r="BB40" s="61">
        <f>-'5C1N_Delta'!AY40</f>
        <v>0</v>
      </c>
      <c r="BC40" s="61">
        <f>-'5C1O_Impact'!AY40</f>
        <v>0</v>
      </c>
      <c r="BD40" s="61">
        <f>-'5C1Q_Advantage'!AY40</f>
        <v>0</v>
      </c>
      <c r="BE40" s="61">
        <f>-'5C1R_Iberville'!AY40</f>
        <v>0</v>
      </c>
      <c r="BF40" s="61">
        <f>-'5C1S_LC Col Prep'!AY40</f>
        <v>0</v>
      </c>
      <c r="BG40" s="61">
        <f>-'5C1T_Northeast'!AY40</f>
        <v>0</v>
      </c>
      <c r="BH40" s="61">
        <f>-'5C1U_Acadiana Ren'!AY40</f>
        <v>0</v>
      </c>
      <c r="BI40" s="61">
        <f>-'5C1V_Laf Ren'!AY40</f>
        <v>0</v>
      </c>
      <c r="BJ40" s="61">
        <f>-'5C1W_Willow'!AY40</f>
        <v>0</v>
      </c>
      <c r="BK40" s="61">
        <f>-'5C1Y_GEO'!AY40</f>
        <v>0</v>
      </c>
      <c r="BL40" s="61">
        <f>-'5C1Z_Lincoln Prep'!AY40</f>
        <v>0</v>
      </c>
      <c r="BM40" s="61">
        <f>-'5C1AD_Greater'!AY40</f>
        <v>0</v>
      </c>
      <c r="BN40" s="61">
        <f>-'5C1AE_Noble Minds'!AY40</f>
        <v>0</v>
      </c>
      <c r="BO40" s="61">
        <f>-'5C1AF_JCFA-Laf'!AY40</f>
        <v>0</v>
      </c>
      <c r="BP40" s="61">
        <f>-'5C1AG_Collegiate'!AY40</f>
        <v>0</v>
      </c>
      <c r="BQ40" s="61">
        <f>-'5C1AH_BRUP'!AY40</f>
        <v>0</v>
      </c>
      <c r="BR40" s="61">
        <f>-'5C1AI_Harmony'!$AY40</f>
        <v>0</v>
      </c>
      <c r="BS40" s="61">
        <f>-'5C1AJ_Athlos'!$AY40</f>
        <v>0</v>
      </c>
      <c r="BT40" s="61">
        <f>-'5C1AK_NxtGen'!$AY40</f>
        <v>0</v>
      </c>
      <c r="BU40" s="61">
        <f>-'5C1AL_Red River'!$AY40</f>
        <v>0</v>
      </c>
      <c r="BV40" s="61">
        <f>-'5C2_LAVCA'!AZ40</f>
        <v>47</v>
      </c>
      <c r="BW40" s="61">
        <f>-'5C3_UnvView'!AZ40</f>
        <v>-10</v>
      </c>
      <c r="BX40" s="61">
        <f t="shared" si="9"/>
        <v>29</v>
      </c>
      <c r="BY40" s="371">
        <f t="shared" si="10"/>
        <v>2002172</v>
      </c>
    </row>
    <row r="41" spans="1:77" s="7" customFormat="1" ht="15.75" customHeight="1" x14ac:dyDescent="0.2">
      <c r="A41" s="358">
        <v>35</v>
      </c>
      <c r="B41" s="359" t="s">
        <v>39</v>
      </c>
      <c r="C41" s="360">
        <f>'2_State Distrib and Adjs'!AZ41</f>
        <v>2576110</v>
      </c>
      <c r="D41" s="360">
        <f>-'5A3_OJJ'!S41</f>
        <v>-155</v>
      </c>
      <c r="E41" s="360"/>
      <c r="F41" s="360">
        <f>-'5C1A_Madison'!AS41</f>
        <v>0</v>
      </c>
      <c r="G41" s="360">
        <f>-'5C1B_DArbonne'!AS41</f>
        <v>0</v>
      </c>
      <c r="H41" s="360">
        <f>-'5C1C_Intl High'!AS41</f>
        <v>0</v>
      </c>
      <c r="I41" s="360">
        <f>-'5C1D_NOMMA'!AS41</f>
        <v>0</v>
      </c>
      <c r="J41" s="360">
        <f>-'5C1E_LFNO'!AS41</f>
        <v>0</v>
      </c>
      <c r="K41" s="360">
        <f>-'5C1F_L.C. Charter'!AS41</f>
        <v>0</v>
      </c>
      <c r="L41" s="360">
        <f>-'5C1G_JS Clark'!AS41</f>
        <v>0</v>
      </c>
      <c r="M41" s="360">
        <f>-'5C1H_Southwest'!AS41</f>
        <v>0</v>
      </c>
      <c r="N41" s="360">
        <f>-'5C1I_LA Key'!AS41</f>
        <v>0</v>
      </c>
      <c r="O41" s="360">
        <f>-'5C1J_JCFA-East'!AS41</f>
        <v>0</v>
      </c>
      <c r="P41" s="360">
        <f>-'5C1M_GEO Mid'!AS41</f>
        <v>0</v>
      </c>
      <c r="Q41" s="360">
        <f>-'5C1N_Delta'!AS41</f>
        <v>0</v>
      </c>
      <c r="R41" s="360">
        <f>-'5C1O_Impact'!AS41</f>
        <v>0</v>
      </c>
      <c r="S41" s="360">
        <f>-'5C1Q_Advantage'!AS41</f>
        <v>0</v>
      </c>
      <c r="T41" s="360">
        <f>-'5C1R_Iberville'!AS41</f>
        <v>0</v>
      </c>
      <c r="U41" s="360">
        <f>-'5C1S_LC Col Prep'!AS41</f>
        <v>0</v>
      </c>
      <c r="V41" s="360">
        <f>-'5C1T_Northeast'!AS41</f>
        <v>0</v>
      </c>
      <c r="W41" s="360">
        <f>-'5C1U_Acadiana Ren'!AS41</f>
        <v>0</v>
      </c>
      <c r="X41" s="360">
        <f>-'5C1V_Laf Ren'!AS41</f>
        <v>0</v>
      </c>
      <c r="Y41" s="360">
        <f>-'5C1W_Willow'!AS41</f>
        <v>0</v>
      </c>
      <c r="Z41" s="360">
        <f>-'5C1Y_GEO'!AS41</f>
        <v>0</v>
      </c>
      <c r="AA41" s="360">
        <f>-'5C1Z_Lincoln Prep'!AS41</f>
        <v>0</v>
      </c>
      <c r="AB41" s="360">
        <f>-'5C1AD_Greater'!$AS41</f>
        <v>0</v>
      </c>
      <c r="AC41" s="360">
        <f>-'5C1AE_Noble Minds'!$AS41</f>
        <v>0</v>
      </c>
      <c r="AD41" s="360">
        <f>-'5C1AF_JCFA-Laf'!$AS41</f>
        <v>0</v>
      </c>
      <c r="AE41" s="360">
        <f>-'5C1AG_Collegiate'!$AS41</f>
        <v>0</v>
      </c>
      <c r="AF41" s="360">
        <f>-'5C1AH_BRUP'!$AS41</f>
        <v>0</v>
      </c>
      <c r="AG41" s="657">
        <f>-'5C1AI_Harmony'!$AS41</f>
        <v>0</v>
      </c>
      <c r="AH41" s="657">
        <f>-'5C1AJ_Athlos'!$AS41</f>
        <v>0</v>
      </c>
      <c r="AI41" s="892">
        <f>-'5C1AK_NxtGen'!$AS41</f>
        <v>0</v>
      </c>
      <c r="AJ41" s="892">
        <f>-'5C1AL_Red River'!$AS41</f>
        <v>0</v>
      </c>
      <c r="AK41" s="360">
        <f>-'5C2_LAVCA'!AT41</f>
        <v>-4939</v>
      </c>
      <c r="AL41" s="360">
        <f>-'5C3_UnvView'!AT41</f>
        <v>2481</v>
      </c>
      <c r="AM41" s="361">
        <f t="shared" si="7"/>
        <v>-2613</v>
      </c>
      <c r="AN41" s="362">
        <f t="shared" si="8"/>
        <v>2573497</v>
      </c>
      <c r="AO41" s="360"/>
      <c r="AP41" s="360"/>
      <c r="AQ41" s="360">
        <f>-'5C1A_Madison'!AY41</f>
        <v>0</v>
      </c>
      <c r="AR41" s="360">
        <f>-'5C1B_DArbonne'!AY41</f>
        <v>0</v>
      </c>
      <c r="AS41" s="360">
        <f>-'5C1C_Intl High'!AY41</f>
        <v>0</v>
      </c>
      <c r="AT41" s="360">
        <f>-'5C1D_NOMMA'!AY41</f>
        <v>0</v>
      </c>
      <c r="AU41" s="360">
        <f>-'5C1E_LFNO'!AY41</f>
        <v>0</v>
      </c>
      <c r="AV41" s="360">
        <f>-'5C1F_L.C. Charter'!AY41</f>
        <v>0</v>
      </c>
      <c r="AW41" s="360">
        <f>-'5C1G_JS Clark'!AY41</f>
        <v>0</v>
      </c>
      <c r="AX41" s="360">
        <f>-'5C1H_Southwest'!AY41</f>
        <v>0</v>
      </c>
      <c r="AY41" s="360">
        <f>-'5C1I_LA Key'!AY41</f>
        <v>0</v>
      </c>
      <c r="AZ41" s="360">
        <f>-'5C1J_JCFA-East'!AY41</f>
        <v>0</v>
      </c>
      <c r="BA41" s="360">
        <f>-'5C1M_GEO Mid'!AY41</f>
        <v>0</v>
      </c>
      <c r="BB41" s="360">
        <f>-'5C1N_Delta'!AY41</f>
        <v>0</v>
      </c>
      <c r="BC41" s="360">
        <f>-'5C1O_Impact'!AY41</f>
        <v>0</v>
      </c>
      <c r="BD41" s="360">
        <f>-'5C1Q_Advantage'!AY41</f>
        <v>0</v>
      </c>
      <c r="BE41" s="360">
        <f>-'5C1R_Iberville'!AY41</f>
        <v>0</v>
      </c>
      <c r="BF41" s="360">
        <f>-'5C1S_LC Col Prep'!AY41</f>
        <v>0</v>
      </c>
      <c r="BG41" s="360">
        <f>-'5C1T_Northeast'!AY41</f>
        <v>0</v>
      </c>
      <c r="BH41" s="360">
        <f>-'5C1U_Acadiana Ren'!AY41</f>
        <v>0</v>
      </c>
      <c r="BI41" s="360">
        <f>-'5C1V_Laf Ren'!AY41</f>
        <v>0</v>
      </c>
      <c r="BJ41" s="360">
        <f>-'5C1W_Willow'!AY41</f>
        <v>0</v>
      </c>
      <c r="BK41" s="360">
        <f>-'5C1Y_GEO'!AY41</f>
        <v>0</v>
      </c>
      <c r="BL41" s="360">
        <f>-'5C1Z_Lincoln Prep'!AY41</f>
        <v>0</v>
      </c>
      <c r="BM41" s="360">
        <f>-'5C1AD_Greater'!AY41</f>
        <v>0</v>
      </c>
      <c r="BN41" s="360">
        <f>-'5C1AE_Noble Minds'!AY41</f>
        <v>0</v>
      </c>
      <c r="BO41" s="360">
        <f>-'5C1AF_JCFA-Laf'!AY41</f>
        <v>0</v>
      </c>
      <c r="BP41" s="360">
        <f>-'5C1AG_Collegiate'!AY41</f>
        <v>0</v>
      </c>
      <c r="BQ41" s="360">
        <f>-'5C1AH_BRUP'!AY41</f>
        <v>0</v>
      </c>
      <c r="BR41" s="657">
        <f>-'5C1AI_Harmony'!$AY41</f>
        <v>0</v>
      </c>
      <c r="BS41" s="657">
        <f>-'5C1AJ_Athlos'!$AY41</f>
        <v>0</v>
      </c>
      <c r="BT41" s="892">
        <f>-'5C1AK_NxtGen'!$AY41</f>
        <v>0</v>
      </c>
      <c r="BU41" s="892">
        <f>-'5C1AL_Red River'!$AY41</f>
        <v>0</v>
      </c>
      <c r="BV41" s="360">
        <f>-'5C2_LAVCA'!AZ41</f>
        <v>10</v>
      </c>
      <c r="BW41" s="360">
        <f>-'5C3_UnvView'!AZ41</f>
        <v>85</v>
      </c>
      <c r="BX41" s="360">
        <f t="shared" si="9"/>
        <v>95</v>
      </c>
      <c r="BY41" s="362">
        <f t="shared" si="10"/>
        <v>2573592</v>
      </c>
    </row>
    <row r="42" spans="1:77" s="7" customFormat="1" ht="15.75" customHeight="1" x14ac:dyDescent="0.2">
      <c r="A42" s="368">
        <v>36</v>
      </c>
      <c r="B42" s="326" t="s">
        <v>40</v>
      </c>
      <c r="C42" s="61">
        <f>'2_State Distrib and Adjs'!AZ42</f>
        <v>17231175</v>
      </c>
      <c r="D42" s="61">
        <f>-'5A3_OJJ'!S42</f>
        <v>-13226</v>
      </c>
      <c r="E42" s="61"/>
      <c r="F42" s="61">
        <f>-'5C1A_Madison'!AS42</f>
        <v>0</v>
      </c>
      <c r="G42" s="61">
        <f>-'5C1B_DArbonne'!AS42</f>
        <v>0</v>
      </c>
      <c r="H42" s="61">
        <f>-'5C1C_Intl High'!AS42</f>
        <v>-158452</v>
      </c>
      <c r="I42" s="61">
        <f>-'5C1D_NOMMA'!AS42</f>
        <v>-124263</v>
      </c>
      <c r="J42" s="61">
        <f>-'5C1E_LFNO'!AS42</f>
        <v>-381477</v>
      </c>
      <c r="K42" s="61">
        <f>-'5C1F_L.C. Charter'!AS42</f>
        <v>0</v>
      </c>
      <c r="L42" s="61">
        <f>-'5C1G_JS Clark'!AS42</f>
        <v>0</v>
      </c>
      <c r="M42" s="61">
        <f>-'5C1H_Southwest'!AS42</f>
        <v>-1643</v>
      </c>
      <c r="N42" s="61">
        <f>-'5C1I_LA Key'!AS42</f>
        <v>0</v>
      </c>
      <c r="O42" s="61">
        <f>-'5C1J_JCFA-East'!AS42</f>
        <v>-18218</v>
      </c>
      <c r="P42" s="61">
        <f>-'5C1M_GEO Mid'!AS42</f>
        <v>0</v>
      </c>
      <c r="Q42" s="61">
        <f>-'5C1N_Delta'!AS42</f>
        <v>0</v>
      </c>
      <c r="R42" s="61">
        <f>-'5C1O_Impact'!AS42</f>
        <v>0</v>
      </c>
      <c r="S42" s="61">
        <f>-'5C1Q_Advantage'!AS42</f>
        <v>0</v>
      </c>
      <c r="T42" s="61">
        <f>-'5C1R_Iberville'!AS42</f>
        <v>-3558</v>
      </c>
      <c r="U42" s="61">
        <f>-'5C1S_LC Col Prep'!AS42</f>
        <v>0</v>
      </c>
      <c r="V42" s="61">
        <f>-'5C1T_Northeast'!AS42</f>
        <v>0</v>
      </c>
      <c r="W42" s="61">
        <f>-'5C1U_Acadiana Ren'!AS42</f>
        <v>0</v>
      </c>
      <c r="X42" s="61">
        <f>-'5C1V_Laf Ren'!AS42</f>
        <v>0</v>
      </c>
      <c r="Y42" s="61">
        <f>-'5C1W_Willow'!AS42</f>
        <v>0</v>
      </c>
      <c r="Z42" s="61">
        <f>-'5C1Y_GEO'!AS42</f>
        <v>0</v>
      </c>
      <c r="AA42" s="61">
        <f>-'5C1Z_Lincoln Prep'!AS42</f>
        <v>0</v>
      </c>
      <c r="AB42" s="61">
        <f>-'5C1AD_Greater'!$AS42</f>
        <v>0</v>
      </c>
      <c r="AC42" s="61">
        <f>-'5C1AE_Noble Minds'!$AS42</f>
        <v>-39613</v>
      </c>
      <c r="AD42" s="61">
        <f>-'5C1AF_JCFA-Laf'!$AS42</f>
        <v>0</v>
      </c>
      <c r="AE42" s="61">
        <f>-'5C1AG_Collegiate'!$AS42</f>
        <v>0</v>
      </c>
      <c r="AF42" s="61">
        <f>-'5C1AH_BRUP'!$AS42</f>
        <v>0</v>
      </c>
      <c r="AG42" s="61">
        <f>-'5C1AI_Harmony'!$AS42</f>
        <v>-62050</v>
      </c>
      <c r="AH42" s="61">
        <f>-'5C1AJ_Athlos'!$AS42</f>
        <v>-51974</v>
      </c>
      <c r="AI42" s="61">
        <f>-'5C1AK_NxtGen'!$AS42</f>
        <v>0</v>
      </c>
      <c r="AJ42" s="61">
        <f>-'5C1AL_Red River'!$AS42</f>
        <v>0</v>
      </c>
      <c r="AK42" s="61">
        <f>-'5C2_LAVCA'!AT42</f>
        <v>-74489</v>
      </c>
      <c r="AL42" s="61">
        <f>-'5C3_UnvView'!AT42</f>
        <v>-22983</v>
      </c>
      <c r="AM42" s="370">
        <f t="shared" si="7"/>
        <v>-951946</v>
      </c>
      <c r="AN42" s="371">
        <f t="shared" si="8"/>
        <v>16279229</v>
      </c>
      <c r="AO42" s="61"/>
      <c r="AP42" s="61"/>
      <c r="AQ42" s="61">
        <f>-'5C1A_Madison'!AY42</f>
        <v>0</v>
      </c>
      <c r="AR42" s="61">
        <f>-'5C1B_DArbonne'!AY42</f>
        <v>0</v>
      </c>
      <c r="AS42" s="61">
        <f>-'5C1C_Intl High'!AY42</f>
        <v>767</v>
      </c>
      <c r="AT42" s="61">
        <f>-'5C1D_NOMMA'!AY42</f>
        <v>168</v>
      </c>
      <c r="AU42" s="61">
        <f>-'5C1E_LFNO'!AY42</f>
        <v>-799</v>
      </c>
      <c r="AV42" s="61">
        <f>-'5C1F_L.C. Charter'!AY42</f>
        <v>0</v>
      </c>
      <c r="AW42" s="61">
        <f>-'5C1G_JS Clark'!AY42</f>
        <v>0</v>
      </c>
      <c r="AX42" s="61">
        <f>-'5C1H_Southwest'!AY42</f>
        <v>-16</v>
      </c>
      <c r="AY42" s="61">
        <f>-'5C1I_LA Key'!AY42</f>
        <v>0</v>
      </c>
      <c r="AZ42" s="61">
        <f>-'5C1J_JCFA-East'!AY42</f>
        <v>117</v>
      </c>
      <c r="BA42" s="61">
        <f>-'5C1M_GEO Mid'!AY42</f>
        <v>0</v>
      </c>
      <c r="BB42" s="61">
        <f>-'5C1N_Delta'!AY42</f>
        <v>0</v>
      </c>
      <c r="BC42" s="61">
        <f>-'5C1O_Impact'!AY42</f>
        <v>0</v>
      </c>
      <c r="BD42" s="61">
        <f>-'5C1Q_Advantage'!AY42</f>
        <v>0</v>
      </c>
      <c r="BE42" s="61">
        <f>-'5C1R_Iberville'!AY42</f>
        <v>-41</v>
      </c>
      <c r="BF42" s="61">
        <f>-'5C1S_LC Col Prep'!AY42</f>
        <v>0</v>
      </c>
      <c r="BG42" s="61">
        <f>-'5C1T_Northeast'!AY42</f>
        <v>0</v>
      </c>
      <c r="BH42" s="61">
        <f>-'5C1U_Acadiana Ren'!AY42</f>
        <v>0</v>
      </c>
      <c r="BI42" s="61">
        <f>-'5C1V_Laf Ren'!AY42</f>
        <v>0</v>
      </c>
      <c r="BJ42" s="61">
        <f>-'5C1W_Willow'!AY42</f>
        <v>0</v>
      </c>
      <c r="BK42" s="61">
        <f>-'5C1Y_GEO'!AY42</f>
        <v>0</v>
      </c>
      <c r="BL42" s="61">
        <f>-'5C1Z_Lincoln Prep'!AY42</f>
        <v>0</v>
      </c>
      <c r="BM42" s="61">
        <f>-'5C1AD_Greater'!AY42</f>
        <v>0</v>
      </c>
      <c r="BN42" s="61">
        <f>-'5C1AE_Noble Minds'!AY42</f>
        <v>-450</v>
      </c>
      <c r="BO42" s="61">
        <f>-'5C1AF_JCFA-Laf'!AY42</f>
        <v>0</v>
      </c>
      <c r="BP42" s="61">
        <f>-'5C1AG_Collegiate'!AY42</f>
        <v>0</v>
      </c>
      <c r="BQ42" s="61">
        <f>-'5C1AH_BRUP'!AY42</f>
        <v>0</v>
      </c>
      <c r="BR42" s="61">
        <f>-'5C1AI_Harmony'!$AY42</f>
        <v>-954</v>
      </c>
      <c r="BS42" s="61">
        <f>-'5C1AJ_Athlos'!$AY42</f>
        <v>-475</v>
      </c>
      <c r="BT42" s="61">
        <f>-'5C1AK_NxtGen'!$AY42</f>
        <v>0</v>
      </c>
      <c r="BU42" s="61">
        <f>-'5C1AL_Red River'!$AY42</f>
        <v>0</v>
      </c>
      <c r="BV42" s="61">
        <f>-'5C2_LAVCA'!AZ42</f>
        <v>-457</v>
      </c>
      <c r="BW42" s="61">
        <f>-'5C3_UnvView'!AZ42</f>
        <v>137</v>
      </c>
      <c r="BX42" s="61">
        <f t="shared" si="9"/>
        <v>-2003</v>
      </c>
      <c r="BY42" s="371">
        <f t="shared" si="10"/>
        <v>16277226</v>
      </c>
    </row>
    <row r="43" spans="1:77" s="7" customFormat="1" ht="15.75" customHeight="1" x14ac:dyDescent="0.2">
      <c r="A43" s="368">
        <v>37</v>
      </c>
      <c r="B43" s="369" t="s">
        <v>41</v>
      </c>
      <c r="C43" s="61">
        <f>'2_State Distrib and Adjs'!AZ43</f>
        <v>10090116</v>
      </c>
      <c r="D43" s="61">
        <f>-'5A3_OJJ'!S43</f>
        <v>-2740</v>
      </c>
      <c r="E43" s="61"/>
      <c r="F43" s="61">
        <f>-'5C1A_Madison'!AS43</f>
        <v>0</v>
      </c>
      <c r="G43" s="61">
        <f>-'5C1B_DArbonne'!AS43</f>
        <v>-5956</v>
      </c>
      <c r="H43" s="61">
        <f>-'5C1C_Intl High'!AS43</f>
        <v>0</v>
      </c>
      <c r="I43" s="61">
        <f>-'5C1D_NOMMA'!AS43</f>
        <v>591</v>
      </c>
      <c r="J43" s="61">
        <f>-'5C1E_LFNO'!AS43</f>
        <v>0</v>
      </c>
      <c r="K43" s="61">
        <f>-'5C1F_L.C. Charter'!AS43</f>
        <v>0</v>
      </c>
      <c r="L43" s="61">
        <f>-'5C1G_JS Clark'!AS43</f>
        <v>0</v>
      </c>
      <c r="M43" s="61">
        <f>-'5C1H_Southwest'!AS43</f>
        <v>0</v>
      </c>
      <c r="N43" s="61">
        <f>-'5C1I_LA Key'!AS43</f>
        <v>0</v>
      </c>
      <c r="O43" s="61">
        <f>-'5C1J_JCFA-East'!AS43</f>
        <v>0</v>
      </c>
      <c r="P43" s="61">
        <f>-'5C1M_GEO Mid'!AS43</f>
        <v>0</v>
      </c>
      <c r="Q43" s="61">
        <f>-'5C1N_Delta'!AS43</f>
        <v>-494</v>
      </c>
      <c r="R43" s="61">
        <f>-'5C1O_Impact'!AS43</f>
        <v>-988</v>
      </c>
      <c r="S43" s="61">
        <f>-'5C1Q_Advantage'!AS43</f>
        <v>0</v>
      </c>
      <c r="T43" s="61">
        <f>-'5C1R_Iberville'!AS43</f>
        <v>0</v>
      </c>
      <c r="U43" s="61">
        <f>-'5C1S_LC Col Prep'!AS43</f>
        <v>0</v>
      </c>
      <c r="V43" s="61">
        <f>-'5C1T_Northeast'!AS43</f>
        <v>0</v>
      </c>
      <c r="W43" s="61">
        <f>-'5C1U_Acadiana Ren'!AS43</f>
        <v>0</v>
      </c>
      <c r="X43" s="61">
        <f>-'5C1V_Laf Ren'!AS43</f>
        <v>0</v>
      </c>
      <c r="Y43" s="61">
        <f>-'5C1W_Willow'!AS43</f>
        <v>0</v>
      </c>
      <c r="Z43" s="61">
        <f>-'5C1Y_GEO'!AS43</f>
        <v>0</v>
      </c>
      <c r="AA43" s="61">
        <f>-'5C1Z_Lincoln Prep'!AS43</f>
        <v>-4792</v>
      </c>
      <c r="AB43" s="61">
        <f>-'5C1AD_Greater'!$AS43</f>
        <v>0</v>
      </c>
      <c r="AC43" s="61">
        <f>-'5C1AE_Noble Minds'!$AS43</f>
        <v>0</v>
      </c>
      <c r="AD43" s="61">
        <f>-'5C1AF_JCFA-Laf'!$AS43</f>
        <v>0</v>
      </c>
      <c r="AE43" s="61">
        <f>-'5C1AG_Collegiate'!$AS43</f>
        <v>0</v>
      </c>
      <c r="AF43" s="61">
        <f>-'5C1AH_BRUP'!$AS43</f>
        <v>0</v>
      </c>
      <c r="AG43" s="61">
        <f>-'5C1AI_Harmony'!$AS43</f>
        <v>0</v>
      </c>
      <c r="AH43" s="61">
        <f>-'5C1AJ_Athlos'!$AS43</f>
        <v>0</v>
      </c>
      <c r="AI43" s="61">
        <f>-'5C1AK_NxtGen'!$AS43</f>
        <v>0</v>
      </c>
      <c r="AJ43" s="61">
        <f>-'5C1AL_Red River'!$AS43</f>
        <v>0</v>
      </c>
      <c r="AK43" s="61">
        <f>-'5C2_LAVCA'!AT43</f>
        <v>-19816</v>
      </c>
      <c r="AL43" s="61">
        <f>-'5C3_UnvView'!AT43</f>
        <v>-26487</v>
      </c>
      <c r="AM43" s="370">
        <f t="shared" si="7"/>
        <v>-60682</v>
      </c>
      <c r="AN43" s="371">
        <f t="shared" si="8"/>
        <v>10029434</v>
      </c>
      <c r="AO43" s="61"/>
      <c r="AP43" s="61"/>
      <c r="AQ43" s="61">
        <f>-'5C1A_Madison'!AY43</f>
        <v>0</v>
      </c>
      <c r="AR43" s="61">
        <f>-'5C1B_DArbonne'!AY43</f>
        <v>-21</v>
      </c>
      <c r="AS43" s="61">
        <f>-'5C1C_Intl High'!AY43</f>
        <v>0</v>
      </c>
      <c r="AT43" s="61">
        <f>-'5C1D_NOMMA'!AY43</f>
        <v>0</v>
      </c>
      <c r="AU43" s="61">
        <f>-'5C1E_LFNO'!AY43</f>
        <v>0</v>
      </c>
      <c r="AV43" s="61">
        <f>-'5C1F_L.C. Charter'!AY43</f>
        <v>0</v>
      </c>
      <c r="AW43" s="61">
        <f>-'5C1G_JS Clark'!AY43</f>
        <v>0</v>
      </c>
      <c r="AX43" s="61">
        <f>-'5C1H_Southwest'!AY43</f>
        <v>0</v>
      </c>
      <c r="AY43" s="61">
        <f>-'5C1I_LA Key'!AY43</f>
        <v>0</v>
      </c>
      <c r="AZ43" s="61">
        <f>-'5C1J_JCFA-East'!AY43</f>
        <v>0</v>
      </c>
      <c r="BA43" s="61">
        <f>-'5C1M_GEO Mid'!AY43</f>
        <v>0</v>
      </c>
      <c r="BB43" s="61">
        <f>-'5C1N_Delta'!AY43</f>
        <v>-5</v>
      </c>
      <c r="BC43" s="61">
        <f>-'5C1O_Impact'!AY43</f>
        <v>-10</v>
      </c>
      <c r="BD43" s="61">
        <f>-'5C1Q_Advantage'!AY43</f>
        <v>0</v>
      </c>
      <c r="BE43" s="61">
        <f>-'5C1R_Iberville'!AY43</f>
        <v>0</v>
      </c>
      <c r="BF43" s="61">
        <f>-'5C1S_LC Col Prep'!AY43</f>
        <v>0</v>
      </c>
      <c r="BG43" s="61">
        <f>-'5C1T_Northeast'!AY43</f>
        <v>0</v>
      </c>
      <c r="BH43" s="61">
        <f>-'5C1U_Acadiana Ren'!AY43</f>
        <v>0</v>
      </c>
      <c r="BI43" s="61">
        <f>-'5C1V_Laf Ren'!AY43</f>
        <v>0</v>
      </c>
      <c r="BJ43" s="61">
        <f>-'5C1W_Willow'!AY43</f>
        <v>0</v>
      </c>
      <c r="BK43" s="61">
        <f>-'5C1Y_GEO'!AY43</f>
        <v>0</v>
      </c>
      <c r="BL43" s="61">
        <f>-'5C1Z_Lincoln Prep'!AY43</f>
        <v>-25</v>
      </c>
      <c r="BM43" s="61">
        <f>-'5C1AD_Greater'!AY43</f>
        <v>0</v>
      </c>
      <c r="BN43" s="61">
        <f>-'5C1AE_Noble Minds'!AY43</f>
        <v>0</v>
      </c>
      <c r="BO43" s="61">
        <f>-'5C1AF_JCFA-Laf'!AY43</f>
        <v>0</v>
      </c>
      <c r="BP43" s="61">
        <f>-'5C1AG_Collegiate'!AY43</f>
        <v>0</v>
      </c>
      <c r="BQ43" s="61">
        <f>-'5C1AH_BRUP'!AY43</f>
        <v>0</v>
      </c>
      <c r="BR43" s="61">
        <f>-'5C1AI_Harmony'!$AY43</f>
        <v>0</v>
      </c>
      <c r="BS43" s="61">
        <f>-'5C1AJ_Athlos'!$AY43</f>
        <v>0</v>
      </c>
      <c r="BT43" s="61">
        <f>-'5C1AK_NxtGen'!$AY43</f>
        <v>0</v>
      </c>
      <c r="BU43" s="61">
        <f>-'5C1AL_Red River'!$AY43</f>
        <v>0</v>
      </c>
      <c r="BV43" s="61">
        <f>-'5C2_LAVCA'!AZ43</f>
        <v>-51</v>
      </c>
      <c r="BW43" s="61">
        <f>-'5C3_UnvView'!AZ43</f>
        <v>-127</v>
      </c>
      <c r="BX43" s="61">
        <f t="shared" si="9"/>
        <v>-239</v>
      </c>
      <c r="BY43" s="371">
        <f t="shared" si="10"/>
        <v>10029195</v>
      </c>
    </row>
    <row r="44" spans="1:77" s="7" customFormat="1" ht="15.75" customHeight="1" x14ac:dyDescent="0.2">
      <c r="A44" s="368">
        <v>38</v>
      </c>
      <c r="B44" s="369" t="s">
        <v>42</v>
      </c>
      <c r="C44" s="61">
        <f>'2_State Distrib and Adjs'!AZ44</f>
        <v>954828</v>
      </c>
      <c r="D44" s="61">
        <f>-'5A3_OJJ'!S44</f>
        <v>0</v>
      </c>
      <c r="E44" s="61"/>
      <c r="F44" s="61">
        <f>-'5C1A_Madison'!AS44</f>
        <v>0</v>
      </c>
      <c r="G44" s="61">
        <f>-'5C1B_DArbonne'!AS44</f>
        <v>0</v>
      </c>
      <c r="H44" s="61">
        <f>-'5C1C_Intl High'!AS44</f>
        <v>0</v>
      </c>
      <c r="I44" s="61">
        <f>-'5C1D_NOMMA'!AS44</f>
        <v>-22143</v>
      </c>
      <c r="J44" s="61">
        <f>-'5C1E_LFNO'!AS44</f>
        <v>-3776</v>
      </c>
      <c r="K44" s="61">
        <f>-'5C1F_L.C. Charter'!AS44</f>
        <v>0</v>
      </c>
      <c r="L44" s="61">
        <f>-'5C1G_JS Clark'!AS44</f>
        <v>0</v>
      </c>
      <c r="M44" s="61">
        <f>-'5C1H_Southwest'!AS44</f>
        <v>0</v>
      </c>
      <c r="N44" s="61">
        <f>-'5C1I_LA Key'!AS44</f>
        <v>0</v>
      </c>
      <c r="O44" s="61">
        <f>-'5C1J_JCFA-East'!AS44</f>
        <v>2706</v>
      </c>
      <c r="P44" s="61">
        <f>-'5C1M_GEO Mid'!AS44</f>
        <v>0</v>
      </c>
      <c r="Q44" s="61">
        <f>-'5C1N_Delta'!AS44</f>
        <v>0</v>
      </c>
      <c r="R44" s="61">
        <f>-'5C1O_Impact'!AS44</f>
        <v>0</v>
      </c>
      <c r="S44" s="61">
        <f>-'5C1Q_Advantage'!AS44</f>
        <v>0</v>
      </c>
      <c r="T44" s="61">
        <f>-'5C1R_Iberville'!AS44</f>
        <v>0</v>
      </c>
      <c r="U44" s="61">
        <f>-'5C1S_LC Col Prep'!AS44</f>
        <v>0</v>
      </c>
      <c r="V44" s="61">
        <f>-'5C1T_Northeast'!AS44</f>
        <v>0</v>
      </c>
      <c r="W44" s="61">
        <f>-'5C1U_Acadiana Ren'!AS44</f>
        <v>0</v>
      </c>
      <c r="X44" s="61">
        <f>-'5C1V_Laf Ren'!AS44</f>
        <v>0</v>
      </c>
      <c r="Y44" s="61">
        <f>-'5C1W_Willow'!AS44</f>
        <v>0</v>
      </c>
      <c r="Z44" s="61">
        <f>-'5C1Y_GEO'!AS44</f>
        <v>0</v>
      </c>
      <c r="AA44" s="61">
        <f>-'5C1Z_Lincoln Prep'!AS44</f>
        <v>0</v>
      </c>
      <c r="AB44" s="61">
        <f>-'5C1AD_Greater'!$AS44</f>
        <v>0</v>
      </c>
      <c r="AC44" s="61">
        <f>-'5C1AE_Noble Minds'!$AS44</f>
        <v>0</v>
      </c>
      <c r="AD44" s="61">
        <f>-'5C1AF_JCFA-Laf'!$AS44</f>
        <v>0</v>
      </c>
      <c r="AE44" s="61">
        <f>-'5C1AG_Collegiate'!$AS44</f>
        <v>0</v>
      </c>
      <c r="AF44" s="61">
        <f>-'5C1AH_BRUP'!$AS44</f>
        <v>0</v>
      </c>
      <c r="AG44" s="61">
        <f>-'5C1AI_Harmony'!$AS44</f>
        <v>-930</v>
      </c>
      <c r="AH44" s="61">
        <f>-'5C1AJ_Athlos'!$AS44</f>
        <v>-3940</v>
      </c>
      <c r="AI44" s="61">
        <f>-'5C1AK_NxtGen'!$AS44</f>
        <v>0</v>
      </c>
      <c r="AJ44" s="61">
        <f>-'5C1AL_Red River'!$AS44</f>
        <v>0</v>
      </c>
      <c r="AK44" s="61">
        <f>-'5C2_LAVCA'!AT44</f>
        <v>-17718</v>
      </c>
      <c r="AL44" s="61">
        <f>-'5C3_UnvView'!AT44</f>
        <v>-6009</v>
      </c>
      <c r="AM44" s="370">
        <f t="shared" si="7"/>
        <v>-51810</v>
      </c>
      <c r="AN44" s="371">
        <f t="shared" si="8"/>
        <v>903018</v>
      </c>
      <c r="AO44" s="61"/>
      <c r="AP44" s="61"/>
      <c r="AQ44" s="61">
        <f>-'5C1A_Madison'!AY44</f>
        <v>0</v>
      </c>
      <c r="AR44" s="61">
        <f>-'5C1B_DArbonne'!AY44</f>
        <v>0</v>
      </c>
      <c r="AS44" s="61">
        <f>-'5C1C_Intl High'!AY44</f>
        <v>0</v>
      </c>
      <c r="AT44" s="61">
        <f>-'5C1D_NOMMA'!AY44</f>
        <v>37</v>
      </c>
      <c r="AU44" s="61">
        <f>-'5C1E_LFNO'!AY44</f>
        <v>26</v>
      </c>
      <c r="AV44" s="61">
        <f>-'5C1F_L.C. Charter'!AY44</f>
        <v>0</v>
      </c>
      <c r="AW44" s="61">
        <f>-'5C1G_JS Clark'!AY44</f>
        <v>0</v>
      </c>
      <c r="AX44" s="61">
        <f>-'5C1H_Southwest'!AY44</f>
        <v>0</v>
      </c>
      <c r="AY44" s="61">
        <f>-'5C1I_LA Key'!AY44</f>
        <v>0</v>
      </c>
      <c r="AZ44" s="61">
        <f>-'5C1J_JCFA-East'!AY44</f>
        <v>81</v>
      </c>
      <c r="BA44" s="61">
        <f>-'5C1M_GEO Mid'!AY44</f>
        <v>0</v>
      </c>
      <c r="BB44" s="61">
        <f>-'5C1N_Delta'!AY44</f>
        <v>0</v>
      </c>
      <c r="BC44" s="61">
        <f>-'5C1O_Impact'!AY44</f>
        <v>0</v>
      </c>
      <c r="BD44" s="61">
        <f>-'5C1Q_Advantage'!AY44</f>
        <v>0</v>
      </c>
      <c r="BE44" s="61">
        <f>-'5C1R_Iberville'!AY44</f>
        <v>0</v>
      </c>
      <c r="BF44" s="61">
        <f>-'5C1S_LC Col Prep'!AY44</f>
        <v>0</v>
      </c>
      <c r="BG44" s="61">
        <f>-'5C1T_Northeast'!AY44</f>
        <v>0</v>
      </c>
      <c r="BH44" s="61">
        <f>-'5C1U_Acadiana Ren'!AY44</f>
        <v>0</v>
      </c>
      <c r="BI44" s="61">
        <f>-'5C1V_Laf Ren'!AY44</f>
        <v>0</v>
      </c>
      <c r="BJ44" s="61">
        <f>-'5C1W_Willow'!AY44</f>
        <v>0</v>
      </c>
      <c r="BK44" s="61">
        <f>-'5C1Y_GEO'!AY44</f>
        <v>0</v>
      </c>
      <c r="BL44" s="61">
        <f>-'5C1Z_Lincoln Prep'!AY44</f>
        <v>0</v>
      </c>
      <c r="BM44" s="61">
        <f>-'5C1AD_Greater'!AY44</f>
        <v>0</v>
      </c>
      <c r="BN44" s="61">
        <f>-'5C1AE_Noble Minds'!AY44</f>
        <v>0</v>
      </c>
      <c r="BO44" s="61">
        <f>-'5C1AF_JCFA-Laf'!AY44</f>
        <v>0</v>
      </c>
      <c r="BP44" s="61">
        <f>-'5C1AG_Collegiate'!AY44</f>
        <v>0</v>
      </c>
      <c r="BQ44" s="61">
        <f>-'5C1AH_BRUP'!AY44</f>
        <v>0</v>
      </c>
      <c r="BR44" s="61">
        <f>-'5C1AI_Harmony'!$AY44</f>
        <v>0</v>
      </c>
      <c r="BS44" s="61">
        <f>-'5C1AJ_Athlos'!$AY44</f>
        <v>66</v>
      </c>
      <c r="BT44" s="61">
        <f>-'5C1AK_NxtGen'!$AY44</f>
        <v>0</v>
      </c>
      <c r="BU44" s="61">
        <f>-'5C1AL_Red River'!$AY44</f>
        <v>0</v>
      </c>
      <c r="BV44" s="61">
        <f>-'5C2_LAVCA'!AZ44</f>
        <v>-137</v>
      </c>
      <c r="BW44" s="61">
        <f>-'5C3_UnvView'!AZ44</f>
        <v>70</v>
      </c>
      <c r="BX44" s="61">
        <f t="shared" si="9"/>
        <v>143</v>
      </c>
      <c r="BY44" s="371">
        <f t="shared" si="10"/>
        <v>903161</v>
      </c>
    </row>
    <row r="45" spans="1:77" s="7" customFormat="1" ht="15.75" customHeight="1" x14ac:dyDescent="0.2">
      <c r="A45" s="368">
        <v>39</v>
      </c>
      <c r="B45" s="369" t="s">
        <v>43</v>
      </c>
      <c r="C45" s="61">
        <f>'2_State Distrib and Adjs'!AZ45</f>
        <v>861416</v>
      </c>
      <c r="D45" s="61">
        <f>-'5A3_OJJ'!S45</f>
        <v>-1610</v>
      </c>
      <c r="E45" s="61"/>
      <c r="F45" s="61">
        <f>-'5C1A_Madison'!AS45</f>
        <v>0</v>
      </c>
      <c r="G45" s="61">
        <f>-'5C1B_DArbonne'!AS45</f>
        <v>0</v>
      </c>
      <c r="H45" s="61">
        <f>-'5C1C_Intl High'!AS45</f>
        <v>0</v>
      </c>
      <c r="I45" s="61">
        <f>-'5C1D_NOMMA'!AS45</f>
        <v>0</v>
      </c>
      <c r="J45" s="61">
        <f>-'5C1E_LFNO'!AS45</f>
        <v>0</v>
      </c>
      <c r="K45" s="61">
        <f>-'5C1F_L.C. Charter'!AS45</f>
        <v>0</v>
      </c>
      <c r="L45" s="61">
        <f>-'5C1G_JS Clark'!AS45</f>
        <v>0</v>
      </c>
      <c r="M45" s="61">
        <f>-'5C1H_Southwest'!AS45</f>
        <v>0</v>
      </c>
      <c r="N45" s="61">
        <f>-'5C1I_LA Key'!AS45</f>
        <v>-3236</v>
      </c>
      <c r="O45" s="61">
        <f>-'5C1J_JCFA-East'!AS45</f>
        <v>0</v>
      </c>
      <c r="P45" s="61">
        <f>-'5C1M_GEO Mid'!AS45</f>
        <v>0</v>
      </c>
      <c r="Q45" s="61">
        <f>-'5C1N_Delta'!AS45</f>
        <v>0</v>
      </c>
      <c r="R45" s="61">
        <f>-'5C1O_Impact'!AS45</f>
        <v>0</v>
      </c>
      <c r="S45" s="61">
        <f>-'5C1Q_Advantage'!AS45</f>
        <v>-3979</v>
      </c>
      <c r="T45" s="61">
        <f>-'5C1R_Iberville'!AS45</f>
        <v>0</v>
      </c>
      <c r="U45" s="61">
        <f>-'5C1S_LC Col Prep'!AS45</f>
        <v>0</v>
      </c>
      <c r="V45" s="61">
        <f>-'5C1T_Northeast'!AS45</f>
        <v>0</v>
      </c>
      <c r="W45" s="61">
        <f>-'5C1U_Acadiana Ren'!AS45</f>
        <v>0</v>
      </c>
      <c r="X45" s="61">
        <f>-'5C1V_Laf Ren'!AS45</f>
        <v>0</v>
      </c>
      <c r="Y45" s="61">
        <f>-'5C1W_Willow'!AS45</f>
        <v>0</v>
      </c>
      <c r="Z45" s="61">
        <f>-'5C1Y_GEO'!AS45</f>
        <v>0</v>
      </c>
      <c r="AA45" s="61">
        <f>-'5C1Z_Lincoln Prep'!AS45</f>
        <v>0</v>
      </c>
      <c r="AB45" s="61">
        <f>-'5C1AD_Greater'!$AS45</f>
        <v>0</v>
      </c>
      <c r="AC45" s="61">
        <f>-'5C1AE_Noble Minds'!$AS45</f>
        <v>0</v>
      </c>
      <c r="AD45" s="61">
        <f>-'5C1AF_JCFA-Laf'!$AS45</f>
        <v>0</v>
      </c>
      <c r="AE45" s="61">
        <f>-'5C1AG_Collegiate'!$AS45</f>
        <v>0</v>
      </c>
      <c r="AF45" s="61">
        <f>-'5C1AH_BRUP'!$AS45</f>
        <v>0</v>
      </c>
      <c r="AG45" s="61">
        <f>-'5C1AI_Harmony'!$AS45</f>
        <v>0</v>
      </c>
      <c r="AH45" s="61">
        <f>-'5C1AJ_Athlos'!$AS45</f>
        <v>0</v>
      </c>
      <c r="AI45" s="61">
        <f>-'5C1AK_NxtGen'!$AS45</f>
        <v>0</v>
      </c>
      <c r="AJ45" s="61">
        <f>-'5C1AL_Red River'!$AS45</f>
        <v>0</v>
      </c>
      <c r="AK45" s="61">
        <f>-'5C2_LAVCA'!AT45</f>
        <v>-8430</v>
      </c>
      <c r="AL45" s="61">
        <f>-'5C3_UnvView'!AT45</f>
        <v>-22</v>
      </c>
      <c r="AM45" s="370">
        <f t="shared" si="7"/>
        <v>-17277</v>
      </c>
      <c r="AN45" s="371">
        <f t="shared" si="8"/>
        <v>844139</v>
      </c>
      <c r="AO45" s="61"/>
      <c r="AP45" s="61"/>
      <c r="AQ45" s="61">
        <f>-'5C1A_Madison'!AY45</f>
        <v>0</v>
      </c>
      <c r="AR45" s="61">
        <f>-'5C1B_DArbonne'!AY45</f>
        <v>0</v>
      </c>
      <c r="AS45" s="61">
        <f>-'5C1C_Intl High'!AY45</f>
        <v>0</v>
      </c>
      <c r="AT45" s="61">
        <f>-'5C1D_NOMMA'!AY45</f>
        <v>0</v>
      </c>
      <c r="AU45" s="61">
        <f>-'5C1E_LFNO'!AY45</f>
        <v>0</v>
      </c>
      <c r="AV45" s="61">
        <f>-'5C1F_L.C. Charter'!AY45</f>
        <v>0</v>
      </c>
      <c r="AW45" s="61">
        <f>-'5C1G_JS Clark'!AY45</f>
        <v>0</v>
      </c>
      <c r="AX45" s="61">
        <f>-'5C1H_Southwest'!AY45</f>
        <v>0</v>
      </c>
      <c r="AY45" s="61">
        <f>-'5C1I_LA Key'!AY45</f>
        <v>35</v>
      </c>
      <c r="AZ45" s="61">
        <f>-'5C1J_JCFA-East'!AY45</f>
        <v>0</v>
      </c>
      <c r="BA45" s="61">
        <f>-'5C1M_GEO Mid'!AY45</f>
        <v>0</v>
      </c>
      <c r="BB45" s="61">
        <f>-'5C1N_Delta'!AY45</f>
        <v>0</v>
      </c>
      <c r="BC45" s="61">
        <f>-'5C1O_Impact'!AY45</f>
        <v>0</v>
      </c>
      <c r="BD45" s="61">
        <f>-'5C1Q_Advantage'!AY45</f>
        <v>-63</v>
      </c>
      <c r="BE45" s="61">
        <f>-'5C1R_Iberville'!AY45</f>
        <v>0</v>
      </c>
      <c r="BF45" s="61">
        <f>-'5C1S_LC Col Prep'!AY45</f>
        <v>0</v>
      </c>
      <c r="BG45" s="61">
        <f>-'5C1T_Northeast'!AY45</f>
        <v>0</v>
      </c>
      <c r="BH45" s="61">
        <f>-'5C1U_Acadiana Ren'!AY45</f>
        <v>0</v>
      </c>
      <c r="BI45" s="61">
        <f>-'5C1V_Laf Ren'!AY45</f>
        <v>0</v>
      </c>
      <c r="BJ45" s="61">
        <f>-'5C1W_Willow'!AY45</f>
        <v>0</v>
      </c>
      <c r="BK45" s="61">
        <f>-'5C1Y_GEO'!AY45</f>
        <v>0</v>
      </c>
      <c r="BL45" s="61">
        <f>-'5C1Z_Lincoln Prep'!AY45</f>
        <v>0</v>
      </c>
      <c r="BM45" s="61">
        <f>-'5C1AD_Greater'!AY45</f>
        <v>0</v>
      </c>
      <c r="BN45" s="61">
        <f>-'5C1AE_Noble Minds'!AY45</f>
        <v>0</v>
      </c>
      <c r="BO45" s="61">
        <f>-'5C1AF_JCFA-Laf'!AY45</f>
        <v>0</v>
      </c>
      <c r="BP45" s="61">
        <f>-'5C1AG_Collegiate'!AY45</f>
        <v>0</v>
      </c>
      <c r="BQ45" s="61">
        <f>-'5C1AH_BRUP'!AY45</f>
        <v>0</v>
      </c>
      <c r="BR45" s="61">
        <f>-'5C1AI_Harmony'!$AY45</f>
        <v>0</v>
      </c>
      <c r="BS45" s="61">
        <f>-'5C1AJ_Athlos'!$AY45</f>
        <v>0</v>
      </c>
      <c r="BT45" s="61">
        <f>-'5C1AK_NxtGen'!$AY45</f>
        <v>0</v>
      </c>
      <c r="BU45" s="61">
        <f>-'5C1AL_Red River'!$AY45</f>
        <v>0</v>
      </c>
      <c r="BV45" s="61">
        <f>-'5C2_LAVCA'!AZ45</f>
        <v>-51</v>
      </c>
      <c r="BW45" s="61">
        <f>-'5C3_UnvView'!AZ45</f>
        <v>89</v>
      </c>
      <c r="BX45" s="61">
        <f t="shared" si="9"/>
        <v>10</v>
      </c>
      <c r="BY45" s="371">
        <f t="shared" si="10"/>
        <v>844149</v>
      </c>
    </row>
    <row r="46" spans="1:77" s="7" customFormat="1" ht="15.75" customHeight="1" x14ac:dyDescent="0.2">
      <c r="A46" s="358">
        <v>40</v>
      </c>
      <c r="B46" s="359" t="s">
        <v>44</v>
      </c>
      <c r="C46" s="360">
        <f>'2_State Distrib and Adjs'!AZ46</f>
        <v>11193626</v>
      </c>
      <c r="D46" s="360">
        <f>-'5A3_OJJ'!S46</f>
        <v>-1696</v>
      </c>
      <c r="E46" s="360"/>
      <c r="F46" s="360">
        <f>-'5C1A_Madison'!AS46</f>
        <v>0</v>
      </c>
      <c r="G46" s="360">
        <f>-'5C1B_DArbonne'!AS46</f>
        <v>0</v>
      </c>
      <c r="H46" s="360">
        <f>-'5C1C_Intl High'!AS46</f>
        <v>0</v>
      </c>
      <c r="I46" s="360">
        <f>-'5C1D_NOMMA'!AS46</f>
        <v>0</v>
      </c>
      <c r="J46" s="360">
        <f>-'5C1E_LFNO'!AS46</f>
        <v>0</v>
      </c>
      <c r="K46" s="360">
        <f>-'5C1F_L.C. Charter'!AS46</f>
        <v>0</v>
      </c>
      <c r="L46" s="360">
        <f>-'5C1G_JS Clark'!AS46</f>
        <v>0</v>
      </c>
      <c r="M46" s="360">
        <f>-'5C1H_Southwest'!AS46</f>
        <v>0</v>
      </c>
      <c r="N46" s="360">
        <f>-'5C1I_LA Key'!AS46</f>
        <v>0</v>
      </c>
      <c r="O46" s="360">
        <f>-'5C1J_JCFA-East'!AS46</f>
        <v>0</v>
      </c>
      <c r="P46" s="360">
        <f>-'5C1M_GEO Mid'!AS46</f>
        <v>0</v>
      </c>
      <c r="Q46" s="360">
        <f>-'5C1N_Delta'!AS46</f>
        <v>0</v>
      </c>
      <c r="R46" s="360">
        <f>-'5C1O_Impact'!AS46</f>
        <v>0</v>
      </c>
      <c r="S46" s="360">
        <f>-'5C1Q_Advantage'!AS46</f>
        <v>0</v>
      </c>
      <c r="T46" s="360">
        <f>-'5C1R_Iberville'!AS46</f>
        <v>0</v>
      </c>
      <c r="U46" s="360">
        <f>-'5C1S_LC Col Prep'!AS46</f>
        <v>0</v>
      </c>
      <c r="V46" s="360">
        <f>-'5C1T_Northeast'!AS46</f>
        <v>0</v>
      </c>
      <c r="W46" s="360">
        <f>-'5C1U_Acadiana Ren'!AS46</f>
        <v>-524</v>
      </c>
      <c r="X46" s="360">
        <f>-'5C1V_Laf Ren'!AS46</f>
        <v>0</v>
      </c>
      <c r="Y46" s="360">
        <f>-'5C1W_Willow'!AS46</f>
        <v>0</v>
      </c>
      <c r="Z46" s="360">
        <f>-'5C1Y_GEO'!AS46</f>
        <v>0</v>
      </c>
      <c r="AA46" s="360">
        <f>-'5C1Z_Lincoln Prep'!AS46</f>
        <v>0</v>
      </c>
      <c r="AB46" s="360">
        <f>-'5C1AD_Greater'!$AS46</f>
        <v>0</v>
      </c>
      <c r="AC46" s="360">
        <f>-'5C1AE_Noble Minds'!$AS46</f>
        <v>0</v>
      </c>
      <c r="AD46" s="360">
        <f>-'5C1AF_JCFA-Laf'!$AS46</f>
        <v>0</v>
      </c>
      <c r="AE46" s="360">
        <f>-'5C1AG_Collegiate'!$AS46</f>
        <v>0</v>
      </c>
      <c r="AF46" s="360">
        <f>-'5C1AH_BRUP'!$AS46</f>
        <v>0</v>
      </c>
      <c r="AG46" s="657">
        <f>-'5C1AI_Harmony'!$AS46</f>
        <v>0</v>
      </c>
      <c r="AH46" s="657">
        <f>-'5C1AJ_Athlos'!$AS46</f>
        <v>0</v>
      </c>
      <c r="AI46" s="892">
        <f>-'5C1AK_NxtGen'!$AS46</f>
        <v>0</v>
      </c>
      <c r="AJ46" s="892">
        <f>-'5C1AL_Red River'!$AS46</f>
        <v>-978</v>
      </c>
      <c r="AK46" s="360">
        <f>-'5C2_LAVCA'!AT46</f>
        <v>-19473</v>
      </c>
      <c r="AL46" s="360">
        <f>-'5C3_UnvView'!AT46</f>
        <v>-38667</v>
      </c>
      <c r="AM46" s="361">
        <f t="shared" si="7"/>
        <v>-61338</v>
      </c>
      <c r="AN46" s="362">
        <f t="shared" si="8"/>
        <v>11132288</v>
      </c>
      <c r="AO46" s="360"/>
      <c r="AP46" s="360"/>
      <c r="AQ46" s="360">
        <f>-'5C1A_Madison'!AY46</f>
        <v>0</v>
      </c>
      <c r="AR46" s="360">
        <f>-'5C1B_DArbonne'!AY46</f>
        <v>0</v>
      </c>
      <c r="AS46" s="360">
        <f>-'5C1C_Intl High'!AY46</f>
        <v>0</v>
      </c>
      <c r="AT46" s="360">
        <f>-'5C1D_NOMMA'!AY46</f>
        <v>0</v>
      </c>
      <c r="AU46" s="360">
        <f>-'5C1E_LFNO'!AY46</f>
        <v>0</v>
      </c>
      <c r="AV46" s="360">
        <f>-'5C1F_L.C. Charter'!AY46</f>
        <v>0</v>
      </c>
      <c r="AW46" s="360">
        <f>-'5C1G_JS Clark'!AY46</f>
        <v>0</v>
      </c>
      <c r="AX46" s="360">
        <f>-'5C1H_Southwest'!AY46</f>
        <v>0</v>
      </c>
      <c r="AY46" s="360">
        <f>-'5C1I_LA Key'!AY46</f>
        <v>0</v>
      </c>
      <c r="AZ46" s="360">
        <f>-'5C1J_JCFA-East'!AY46</f>
        <v>0</v>
      </c>
      <c r="BA46" s="360">
        <f>-'5C1M_GEO Mid'!AY46</f>
        <v>0</v>
      </c>
      <c r="BB46" s="360">
        <f>-'5C1N_Delta'!AY46</f>
        <v>0</v>
      </c>
      <c r="BC46" s="360">
        <f>-'5C1O_Impact'!AY46</f>
        <v>0</v>
      </c>
      <c r="BD46" s="360">
        <f>-'5C1Q_Advantage'!AY46</f>
        <v>0</v>
      </c>
      <c r="BE46" s="360">
        <f>-'5C1R_Iberville'!AY46</f>
        <v>0</v>
      </c>
      <c r="BF46" s="360">
        <f>-'5C1S_LC Col Prep'!AY46</f>
        <v>0</v>
      </c>
      <c r="BG46" s="360">
        <f>-'5C1T_Northeast'!AY46</f>
        <v>0</v>
      </c>
      <c r="BH46" s="360">
        <f>-'5C1U_Acadiana Ren'!AY46</f>
        <v>-5</v>
      </c>
      <c r="BI46" s="360">
        <f>-'5C1V_Laf Ren'!AY46</f>
        <v>0</v>
      </c>
      <c r="BJ46" s="360">
        <f>-'5C1W_Willow'!AY46</f>
        <v>0</v>
      </c>
      <c r="BK46" s="360">
        <f>-'5C1Y_GEO'!AY46</f>
        <v>0</v>
      </c>
      <c r="BL46" s="360">
        <f>-'5C1Z_Lincoln Prep'!AY46</f>
        <v>0</v>
      </c>
      <c r="BM46" s="360">
        <f>-'5C1AD_Greater'!AY46</f>
        <v>0</v>
      </c>
      <c r="BN46" s="360">
        <f>-'5C1AE_Noble Minds'!AY46</f>
        <v>0</v>
      </c>
      <c r="BO46" s="360">
        <f>-'5C1AF_JCFA-Laf'!AY46</f>
        <v>0</v>
      </c>
      <c r="BP46" s="360">
        <f>-'5C1AG_Collegiate'!AY46</f>
        <v>0</v>
      </c>
      <c r="BQ46" s="360">
        <f>-'5C1AH_BRUP'!AY46</f>
        <v>0</v>
      </c>
      <c r="BR46" s="657">
        <f>-'5C1AI_Harmony'!$AY46</f>
        <v>0</v>
      </c>
      <c r="BS46" s="657">
        <f>-'5C1AJ_Athlos'!$AY46</f>
        <v>0</v>
      </c>
      <c r="BT46" s="892">
        <f>-'5C1AK_NxtGen'!$AY46</f>
        <v>0</v>
      </c>
      <c r="BU46" s="892">
        <f>-'5C1AL_Red River'!$AY46</f>
        <v>0</v>
      </c>
      <c r="BV46" s="360">
        <f>-'5C2_LAVCA'!AZ46</f>
        <v>-26</v>
      </c>
      <c r="BW46" s="360">
        <f>-'5C3_UnvView'!AZ46</f>
        <v>-215</v>
      </c>
      <c r="BX46" s="360">
        <f t="shared" si="9"/>
        <v>-246</v>
      </c>
      <c r="BY46" s="362">
        <f t="shared" si="10"/>
        <v>11132042</v>
      </c>
    </row>
    <row r="47" spans="1:77" s="7" customFormat="1" ht="15.75" customHeight="1" x14ac:dyDescent="0.2">
      <c r="A47" s="368">
        <v>41</v>
      </c>
      <c r="B47" s="369" t="s">
        <v>45</v>
      </c>
      <c r="C47" s="61">
        <f>'2_State Distrib and Adjs'!AZ47</f>
        <v>407423</v>
      </c>
      <c r="D47" s="61">
        <f>-'5A3_OJJ'!S47</f>
        <v>-361</v>
      </c>
      <c r="E47" s="61"/>
      <c r="F47" s="61">
        <f>-'5C1A_Madison'!AS47</f>
        <v>0</v>
      </c>
      <c r="G47" s="61">
        <f>-'5C1B_DArbonne'!AS47</f>
        <v>0</v>
      </c>
      <c r="H47" s="61">
        <f>-'5C1C_Intl High'!AS47</f>
        <v>0</v>
      </c>
      <c r="I47" s="61">
        <f>-'5C1D_NOMMA'!AS47</f>
        <v>0</v>
      </c>
      <c r="J47" s="61">
        <f>-'5C1E_LFNO'!AS47</f>
        <v>0</v>
      </c>
      <c r="K47" s="61">
        <f>-'5C1F_L.C. Charter'!AS47</f>
        <v>0</v>
      </c>
      <c r="L47" s="61">
        <f>-'5C1G_JS Clark'!AS47</f>
        <v>0</v>
      </c>
      <c r="M47" s="61">
        <f>-'5C1H_Southwest'!AS47</f>
        <v>0</v>
      </c>
      <c r="N47" s="61">
        <f>-'5C1I_LA Key'!AS47</f>
        <v>0</v>
      </c>
      <c r="O47" s="61">
        <f>-'5C1J_JCFA-East'!AS47</f>
        <v>0</v>
      </c>
      <c r="P47" s="61">
        <f>-'5C1M_GEO Mid'!AS47</f>
        <v>0</v>
      </c>
      <c r="Q47" s="61">
        <f>-'5C1N_Delta'!AS47</f>
        <v>0</v>
      </c>
      <c r="R47" s="61">
        <f>-'5C1O_Impact'!AS47</f>
        <v>0</v>
      </c>
      <c r="S47" s="61">
        <f>-'5C1Q_Advantage'!AS47</f>
        <v>0</v>
      </c>
      <c r="T47" s="61">
        <f>-'5C1R_Iberville'!AS47</f>
        <v>0</v>
      </c>
      <c r="U47" s="61">
        <f>-'5C1S_LC Col Prep'!AS47</f>
        <v>0</v>
      </c>
      <c r="V47" s="61">
        <f>-'5C1T_Northeast'!AS47</f>
        <v>0</v>
      </c>
      <c r="W47" s="61">
        <f>-'5C1U_Acadiana Ren'!AS47</f>
        <v>0</v>
      </c>
      <c r="X47" s="61">
        <f>-'5C1V_Laf Ren'!AS47</f>
        <v>0</v>
      </c>
      <c r="Y47" s="61">
        <f>-'5C1W_Willow'!AS47</f>
        <v>0</v>
      </c>
      <c r="Z47" s="61">
        <f>-'5C1Y_GEO'!AS47</f>
        <v>0</v>
      </c>
      <c r="AA47" s="61">
        <f>-'5C1Z_Lincoln Prep'!AS47</f>
        <v>0</v>
      </c>
      <c r="AB47" s="61">
        <f>-'5C1AD_Greater'!$AS47</f>
        <v>0</v>
      </c>
      <c r="AC47" s="61">
        <f>-'5C1AE_Noble Minds'!$AS47</f>
        <v>0</v>
      </c>
      <c r="AD47" s="61">
        <f>-'5C1AF_JCFA-Laf'!$AS47</f>
        <v>0</v>
      </c>
      <c r="AE47" s="61">
        <f>-'5C1AG_Collegiate'!$AS47</f>
        <v>0</v>
      </c>
      <c r="AF47" s="61">
        <f>-'5C1AH_BRUP'!$AS47</f>
        <v>0</v>
      </c>
      <c r="AG47" s="61">
        <f>-'5C1AI_Harmony'!$AS47</f>
        <v>0</v>
      </c>
      <c r="AH47" s="61">
        <f>-'5C1AJ_Athlos'!$AS47</f>
        <v>0</v>
      </c>
      <c r="AI47" s="61">
        <f>-'5C1AK_NxtGen'!$AS47</f>
        <v>0</v>
      </c>
      <c r="AJ47" s="61">
        <f>-'5C1AL_Red River'!$AS47</f>
        <v>0</v>
      </c>
      <c r="AK47" s="61">
        <f>-'5C2_LAVCA'!AT47</f>
        <v>2142</v>
      </c>
      <c r="AL47" s="61">
        <f>-'5C3_UnvView'!AT47</f>
        <v>1405</v>
      </c>
      <c r="AM47" s="370">
        <f t="shared" si="7"/>
        <v>3186</v>
      </c>
      <c r="AN47" s="371">
        <f t="shared" si="8"/>
        <v>410609</v>
      </c>
      <c r="AO47" s="61"/>
      <c r="AP47" s="61"/>
      <c r="AQ47" s="61">
        <f>-'5C1A_Madison'!AY47</f>
        <v>0</v>
      </c>
      <c r="AR47" s="61">
        <f>-'5C1B_DArbonne'!AY47</f>
        <v>0</v>
      </c>
      <c r="AS47" s="61">
        <f>-'5C1C_Intl High'!AY47</f>
        <v>0</v>
      </c>
      <c r="AT47" s="61">
        <f>-'5C1D_NOMMA'!AY47</f>
        <v>0</v>
      </c>
      <c r="AU47" s="61">
        <f>-'5C1E_LFNO'!AY47</f>
        <v>0</v>
      </c>
      <c r="AV47" s="61">
        <f>-'5C1F_L.C. Charter'!AY47</f>
        <v>0</v>
      </c>
      <c r="AW47" s="61">
        <f>-'5C1G_JS Clark'!AY47</f>
        <v>0</v>
      </c>
      <c r="AX47" s="61">
        <f>-'5C1H_Southwest'!AY47</f>
        <v>0</v>
      </c>
      <c r="AY47" s="61">
        <f>-'5C1I_LA Key'!AY47</f>
        <v>0</v>
      </c>
      <c r="AZ47" s="61">
        <f>-'5C1J_JCFA-East'!AY47</f>
        <v>0</v>
      </c>
      <c r="BA47" s="61">
        <f>-'5C1M_GEO Mid'!AY47</f>
        <v>0</v>
      </c>
      <c r="BB47" s="61">
        <f>-'5C1N_Delta'!AY47</f>
        <v>0</v>
      </c>
      <c r="BC47" s="61">
        <f>-'5C1O_Impact'!AY47</f>
        <v>0</v>
      </c>
      <c r="BD47" s="61">
        <f>-'5C1Q_Advantage'!AY47</f>
        <v>0</v>
      </c>
      <c r="BE47" s="61">
        <f>-'5C1R_Iberville'!AY47</f>
        <v>0</v>
      </c>
      <c r="BF47" s="61">
        <f>-'5C1S_LC Col Prep'!AY47</f>
        <v>0</v>
      </c>
      <c r="BG47" s="61">
        <f>-'5C1T_Northeast'!AY47</f>
        <v>0</v>
      </c>
      <c r="BH47" s="61">
        <f>-'5C1U_Acadiana Ren'!AY47</f>
        <v>0</v>
      </c>
      <c r="BI47" s="61">
        <f>-'5C1V_Laf Ren'!AY47</f>
        <v>0</v>
      </c>
      <c r="BJ47" s="61">
        <f>-'5C1W_Willow'!AY47</f>
        <v>0</v>
      </c>
      <c r="BK47" s="61">
        <f>-'5C1Y_GEO'!AY47</f>
        <v>0</v>
      </c>
      <c r="BL47" s="61">
        <f>-'5C1Z_Lincoln Prep'!AY47</f>
        <v>0</v>
      </c>
      <c r="BM47" s="61">
        <f>-'5C1AD_Greater'!AY47</f>
        <v>0</v>
      </c>
      <c r="BN47" s="61">
        <f>-'5C1AE_Noble Minds'!AY47</f>
        <v>0</v>
      </c>
      <c r="BO47" s="61">
        <f>-'5C1AF_JCFA-Laf'!AY47</f>
        <v>0</v>
      </c>
      <c r="BP47" s="61">
        <f>-'5C1AG_Collegiate'!AY47</f>
        <v>0</v>
      </c>
      <c r="BQ47" s="61">
        <f>-'5C1AH_BRUP'!AY47</f>
        <v>0</v>
      </c>
      <c r="BR47" s="61">
        <f>-'5C1AI_Harmony'!$AY47</f>
        <v>0</v>
      </c>
      <c r="BS47" s="61">
        <f>-'5C1AJ_Athlos'!$AY47</f>
        <v>0</v>
      </c>
      <c r="BT47" s="61">
        <f>-'5C1AK_NxtGen'!$AY47</f>
        <v>0</v>
      </c>
      <c r="BU47" s="61">
        <f>-'5C1AL_Red River'!$AY47</f>
        <v>0</v>
      </c>
      <c r="BV47" s="61">
        <f>-'5C2_LAVCA'!AZ47</f>
        <v>47</v>
      </c>
      <c r="BW47" s="61">
        <f>-'5C3_UnvView'!AZ47</f>
        <v>64</v>
      </c>
      <c r="BX47" s="61">
        <f t="shared" si="9"/>
        <v>111</v>
      </c>
      <c r="BY47" s="371">
        <f t="shared" si="10"/>
        <v>410720</v>
      </c>
    </row>
    <row r="48" spans="1:77" s="7" customFormat="1" ht="15.75" customHeight="1" x14ac:dyDescent="0.2">
      <c r="A48" s="368">
        <v>42</v>
      </c>
      <c r="B48" s="369" t="s">
        <v>46</v>
      </c>
      <c r="C48" s="61">
        <f>'2_State Distrib and Adjs'!AZ48</f>
        <v>1292415</v>
      </c>
      <c r="D48" s="61">
        <f>-'5A3_OJJ'!S48</f>
        <v>-1223</v>
      </c>
      <c r="E48" s="61"/>
      <c r="F48" s="61">
        <f>-'5C1A_Madison'!AS48</f>
        <v>0</v>
      </c>
      <c r="G48" s="61">
        <f>-'5C1B_DArbonne'!AS48</f>
        <v>0</v>
      </c>
      <c r="H48" s="61">
        <f>-'5C1C_Intl High'!AS48</f>
        <v>0</v>
      </c>
      <c r="I48" s="61">
        <f>-'5C1D_NOMMA'!AS48</f>
        <v>0</v>
      </c>
      <c r="J48" s="61">
        <f>-'5C1E_LFNO'!AS48</f>
        <v>0</v>
      </c>
      <c r="K48" s="61">
        <f>-'5C1F_L.C. Charter'!AS48</f>
        <v>0</v>
      </c>
      <c r="L48" s="61">
        <f>-'5C1G_JS Clark'!AS48</f>
        <v>0</v>
      </c>
      <c r="M48" s="61">
        <f>-'5C1H_Southwest'!AS48</f>
        <v>0</v>
      </c>
      <c r="N48" s="61">
        <f>-'5C1I_LA Key'!AS48</f>
        <v>0</v>
      </c>
      <c r="O48" s="61">
        <f>-'5C1J_JCFA-East'!AS48</f>
        <v>0</v>
      </c>
      <c r="P48" s="61">
        <f>-'5C1M_GEO Mid'!AS48</f>
        <v>0</v>
      </c>
      <c r="Q48" s="61">
        <f>-'5C1N_Delta'!AS48</f>
        <v>0</v>
      </c>
      <c r="R48" s="61">
        <f>-'5C1O_Impact'!AS48</f>
        <v>0</v>
      </c>
      <c r="S48" s="61">
        <f>-'5C1Q_Advantage'!AS48</f>
        <v>0</v>
      </c>
      <c r="T48" s="61">
        <f>-'5C1R_Iberville'!AS48</f>
        <v>0</v>
      </c>
      <c r="U48" s="61">
        <f>-'5C1S_LC Col Prep'!AS48</f>
        <v>0</v>
      </c>
      <c r="V48" s="61">
        <f>-'5C1T_Northeast'!AS48</f>
        <v>0</v>
      </c>
      <c r="W48" s="61">
        <f>-'5C1U_Acadiana Ren'!AS48</f>
        <v>0</v>
      </c>
      <c r="X48" s="61">
        <f>-'5C1V_Laf Ren'!AS48</f>
        <v>0</v>
      </c>
      <c r="Y48" s="61">
        <f>-'5C1W_Willow'!AS48</f>
        <v>0</v>
      </c>
      <c r="Z48" s="61">
        <f>-'5C1Y_GEO'!AS48</f>
        <v>0</v>
      </c>
      <c r="AA48" s="61">
        <f>-'5C1Z_Lincoln Prep'!AS48</f>
        <v>0</v>
      </c>
      <c r="AB48" s="61">
        <f>-'5C1AD_Greater'!$AS48</f>
        <v>0</v>
      </c>
      <c r="AC48" s="61">
        <f>-'5C1AE_Noble Minds'!$AS48</f>
        <v>0</v>
      </c>
      <c r="AD48" s="61">
        <f>-'5C1AF_JCFA-Laf'!$AS48</f>
        <v>0</v>
      </c>
      <c r="AE48" s="61">
        <f>-'5C1AG_Collegiate'!$AS48</f>
        <v>0</v>
      </c>
      <c r="AF48" s="61">
        <f>-'5C1AH_BRUP'!$AS48</f>
        <v>0</v>
      </c>
      <c r="AG48" s="61">
        <f>-'5C1AI_Harmony'!$AS48</f>
        <v>0</v>
      </c>
      <c r="AH48" s="61">
        <f>-'5C1AJ_Athlos'!$AS48</f>
        <v>0</v>
      </c>
      <c r="AI48" s="61">
        <f>-'5C1AK_NxtGen'!$AS48</f>
        <v>0</v>
      </c>
      <c r="AJ48" s="61">
        <f>-'5C1AL_Red River'!$AS48</f>
        <v>0</v>
      </c>
      <c r="AK48" s="61">
        <f>-'5C2_LAVCA'!AT48</f>
        <v>1940</v>
      </c>
      <c r="AL48" s="61">
        <f>-'5C3_UnvView'!AT48</f>
        <v>-122</v>
      </c>
      <c r="AM48" s="370">
        <f t="shared" si="7"/>
        <v>595</v>
      </c>
      <c r="AN48" s="371">
        <f t="shared" si="8"/>
        <v>1293010</v>
      </c>
      <c r="AO48" s="61"/>
      <c r="AP48" s="61"/>
      <c r="AQ48" s="61">
        <f>-'5C1A_Madison'!AY48</f>
        <v>0</v>
      </c>
      <c r="AR48" s="61">
        <f>-'5C1B_DArbonne'!AY48</f>
        <v>0</v>
      </c>
      <c r="AS48" s="61">
        <f>-'5C1C_Intl High'!AY48</f>
        <v>0</v>
      </c>
      <c r="AT48" s="61">
        <f>-'5C1D_NOMMA'!AY48</f>
        <v>0</v>
      </c>
      <c r="AU48" s="61">
        <f>-'5C1E_LFNO'!AY48</f>
        <v>0</v>
      </c>
      <c r="AV48" s="61">
        <f>-'5C1F_L.C. Charter'!AY48</f>
        <v>0</v>
      </c>
      <c r="AW48" s="61">
        <f>-'5C1G_JS Clark'!AY48</f>
        <v>0</v>
      </c>
      <c r="AX48" s="61">
        <f>-'5C1H_Southwest'!AY48</f>
        <v>0</v>
      </c>
      <c r="AY48" s="61">
        <f>-'5C1I_LA Key'!AY48</f>
        <v>0</v>
      </c>
      <c r="AZ48" s="61">
        <f>-'5C1J_JCFA-East'!AY48</f>
        <v>0</v>
      </c>
      <c r="BA48" s="61">
        <f>-'5C1M_GEO Mid'!AY48</f>
        <v>0</v>
      </c>
      <c r="BB48" s="61">
        <f>-'5C1N_Delta'!AY48</f>
        <v>0</v>
      </c>
      <c r="BC48" s="61">
        <f>-'5C1O_Impact'!AY48</f>
        <v>0</v>
      </c>
      <c r="BD48" s="61">
        <f>-'5C1Q_Advantage'!AY48</f>
        <v>0</v>
      </c>
      <c r="BE48" s="61">
        <f>-'5C1R_Iberville'!AY48</f>
        <v>0</v>
      </c>
      <c r="BF48" s="61">
        <f>-'5C1S_LC Col Prep'!AY48</f>
        <v>0</v>
      </c>
      <c r="BG48" s="61">
        <f>-'5C1T_Northeast'!AY48</f>
        <v>0</v>
      </c>
      <c r="BH48" s="61">
        <f>-'5C1U_Acadiana Ren'!AY48</f>
        <v>0</v>
      </c>
      <c r="BI48" s="61">
        <f>-'5C1V_Laf Ren'!AY48</f>
        <v>0</v>
      </c>
      <c r="BJ48" s="61">
        <f>-'5C1W_Willow'!AY48</f>
        <v>0</v>
      </c>
      <c r="BK48" s="61">
        <f>-'5C1Y_GEO'!AY48</f>
        <v>0</v>
      </c>
      <c r="BL48" s="61">
        <f>-'5C1Z_Lincoln Prep'!AY48</f>
        <v>0</v>
      </c>
      <c r="BM48" s="61">
        <f>-'5C1AD_Greater'!AY48</f>
        <v>0</v>
      </c>
      <c r="BN48" s="61">
        <f>-'5C1AE_Noble Minds'!AY48</f>
        <v>0</v>
      </c>
      <c r="BO48" s="61">
        <f>-'5C1AF_JCFA-Laf'!AY48</f>
        <v>0</v>
      </c>
      <c r="BP48" s="61">
        <f>-'5C1AG_Collegiate'!AY48</f>
        <v>0</v>
      </c>
      <c r="BQ48" s="61">
        <f>-'5C1AH_BRUP'!AY48</f>
        <v>0</v>
      </c>
      <c r="BR48" s="61">
        <f>-'5C1AI_Harmony'!$AY48</f>
        <v>0</v>
      </c>
      <c r="BS48" s="61">
        <f>-'5C1AJ_Athlos'!$AY48</f>
        <v>0</v>
      </c>
      <c r="BT48" s="61">
        <f>-'5C1AK_NxtGen'!$AY48</f>
        <v>0</v>
      </c>
      <c r="BU48" s="61">
        <f>-'5C1AL_Red River'!$AY48</f>
        <v>0</v>
      </c>
      <c r="BV48" s="61">
        <f>-'5C2_LAVCA'!AZ48</f>
        <v>48</v>
      </c>
      <c r="BW48" s="61">
        <f>-'5C3_UnvView'!AZ48</f>
        <v>96</v>
      </c>
      <c r="BX48" s="61">
        <f t="shared" si="9"/>
        <v>144</v>
      </c>
      <c r="BY48" s="371">
        <f t="shared" si="10"/>
        <v>1293154</v>
      </c>
    </row>
    <row r="49" spans="1:77" s="7" customFormat="1" ht="15.75" customHeight="1" x14ac:dyDescent="0.2">
      <c r="A49" s="368">
        <v>43</v>
      </c>
      <c r="B49" s="369" t="s">
        <v>47</v>
      </c>
      <c r="C49" s="61">
        <f>'2_State Distrib and Adjs'!AZ49</f>
        <v>2279382</v>
      </c>
      <c r="D49" s="61">
        <f>-'5A3_OJJ'!S49</f>
        <v>0</v>
      </c>
      <c r="E49" s="61"/>
      <c r="F49" s="61">
        <f>-'5C1A_Madison'!AS49</f>
        <v>0</v>
      </c>
      <c r="G49" s="61">
        <f>-'5C1B_DArbonne'!AS49</f>
        <v>0</v>
      </c>
      <c r="H49" s="61">
        <f>-'5C1C_Intl High'!AS49</f>
        <v>0</v>
      </c>
      <c r="I49" s="61">
        <f>-'5C1D_NOMMA'!AS49</f>
        <v>0</v>
      </c>
      <c r="J49" s="61">
        <f>-'5C1E_LFNO'!AS49</f>
        <v>0</v>
      </c>
      <c r="K49" s="61">
        <f>-'5C1F_L.C. Charter'!AS49</f>
        <v>0</v>
      </c>
      <c r="L49" s="61">
        <f>-'5C1G_JS Clark'!AS49</f>
        <v>0</v>
      </c>
      <c r="M49" s="61">
        <f>-'5C1H_Southwest'!AS49</f>
        <v>0</v>
      </c>
      <c r="N49" s="61">
        <f>-'5C1I_LA Key'!AS49</f>
        <v>0</v>
      </c>
      <c r="O49" s="61">
        <f>-'5C1J_JCFA-East'!AS49</f>
        <v>0</v>
      </c>
      <c r="P49" s="61">
        <f>-'5C1M_GEO Mid'!AS49</f>
        <v>0</v>
      </c>
      <c r="Q49" s="61">
        <f>-'5C1N_Delta'!AS49</f>
        <v>0</v>
      </c>
      <c r="R49" s="61">
        <f>-'5C1O_Impact'!AS49</f>
        <v>0</v>
      </c>
      <c r="S49" s="61">
        <f>-'5C1Q_Advantage'!AS49</f>
        <v>0</v>
      </c>
      <c r="T49" s="61">
        <f>-'5C1R_Iberville'!AS49</f>
        <v>0</v>
      </c>
      <c r="U49" s="61">
        <f>-'5C1S_LC Col Prep'!AS49</f>
        <v>0</v>
      </c>
      <c r="V49" s="61">
        <f>-'5C1T_Northeast'!AS49</f>
        <v>0</v>
      </c>
      <c r="W49" s="61">
        <f>-'5C1U_Acadiana Ren'!AS49</f>
        <v>0</v>
      </c>
      <c r="X49" s="61">
        <f>-'5C1V_Laf Ren'!AS49</f>
        <v>0</v>
      </c>
      <c r="Y49" s="61">
        <f>-'5C1W_Willow'!AS49</f>
        <v>0</v>
      </c>
      <c r="Z49" s="61">
        <f>-'5C1Y_GEO'!AS49</f>
        <v>0</v>
      </c>
      <c r="AA49" s="61">
        <f>-'5C1Z_Lincoln Prep'!AS49</f>
        <v>0</v>
      </c>
      <c r="AB49" s="61">
        <f>-'5C1AD_Greater'!$AS49</f>
        <v>0</v>
      </c>
      <c r="AC49" s="61">
        <f>-'5C1AE_Noble Minds'!$AS49</f>
        <v>0</v>
      </c>
      <c r="AD49" s="61">
        <f>-'5C1AF_JCFA-Laf'!$AS49</f>
        <v>0</v>
      </c>
      <c r="AE49" s="61">
        <f>-'5C1AG_Collegiate'!$AS49</f>
        <v>0</v>
      </c>
      <c r="AF49" s="61">
        <f>-'5C1AH_BRUP'!$AS49</f>
        <v>0</v>
      </c>
      <c r="AG49" s="61">
        <f>-'5C1AI_Harmony'!$AS49</f>
        <v>0</v>
      </c>
      <c r="AH49" s="61">
        <f>-'5C1AJ_Athlos'!$AS49</f>
        <v>0</v>
      </c>
      <c r="AI49" s="61">
        <f>-'5C1AK_NxtGen'!$AS49</f>
        <v>0</v>
      </c>
      <c r="AJ49" s="61">
        <f>-'5C1AL_Red River'!$AS49</f>
        <v>0</v>
      </c>
      <c r="AK49" s="61">
        <f>-'5C2_LAVCA'!AT49</f>
        <v>-3509</v>
      </c>
      <c r="AL49" s="61">
        <f>-'5C3_UnvView'!AT49</f>
        <v>-4343</v>
      </c>
      <c r="AM49" s="370">
        <f t="shared" si="7"/>
        <v>-7852</v>
      </c>
      <c r="AN49" s="371">
        <f t="shared" si="8"/>
        <v>2271530</v>
      </c>
      <c r="AO49" s="61"/>
      <c r="AP49" s="61"/>
      <c r="AQ49" s="61">
        <f>-'5C1A_Madison'!AY49</f>
        <v>0</v>
      </c>
      <c r="AR49" s="61">
        <f>-'5C1B_DArbonne'!AY49</f>
        <v>0</v>
      </c>
      <c r="AS49" s="61">
        <f>-'5C1C_Intl High'!AY49</f>
        <v>0</v>
      </c>
      <c r="AT49" s="61">
        <f>-'5C1D_NOMMA'!AY49</f>
        <v>0</v>
      </c>
      <c r="AU49" s="61">
        <f>-'5C1E_LFNO'!AY49</f>
        <v>0</v>
      </c>
      <c r="AV49" s="61">
        <f>-'5C1F_L.C. Charter'!AY49</f>
        <v>0</v>
      </c>
      <c r="AW49" s="61">
        <f>-'5C1G_JS Clark'!AY49</f>
        <v>0</v>
      </c>
      <c r="AX49" s="61">
        <f>-'5C1H_Southwest'!AY49</f>
        <v>0</v>
      </c>
      <c r="AY49" s="61">
        <f>-'5C1I_LA Key'!AY49</f>
        <v>0</v>
      </c>
      <c r="AZ49" s="61">
        <f>-'5C1J_JCFA-East'!AY49</f>
        <v>0</v>
      </c>
      <c r="BA49" s="61">
        <f>-'5C1M_GEO Mid'!AY49</f>
        <v>0</v>
      </c>
      <c r="BB49" s="61">
        <f>-'5C1N_Delta'!AY49</f>
        <v>0</v>
      </c>
      <c r="BC49" s="61">
        <f>-'5C1O_Impact'!AY49</f>
        <v>0</v>
      </c>
      <c r="BD49" s="61">
        <f>-'5C1Q_Advantage'!AY49</f>
        <v>0</v>
      </c>
      <c r="BE49" s="61">
        <f>-'5C1R_Iberville'!AY49</f>
        <v>0</v>
      </c>
      <c r="BF49" s="61">
        <f>-'5C1S_LC Col Prep'!AY49</f>
        <v>0</v>
      </c>
      <c r="BG49" s="61">
        <f>-'5C1T_Northeast'!AY49</f>
        <v>0</v>
      </c>
      <c r="BH49" s="61">
        <f>-'5C1U_Acadiana Ren'!AY49</f>
        <v>0</v>
      </c>
      <c r="BI49" s="61">
        <f>-'5C1V_Laf Ren'!AY49</f>
        <v>0</v>
      </c>
      <c r="BJ49" s="61">
        <f>-'5C1W_Willow'!AY49</f>
        <v>0</v>
      </c>
      <c r="BK49" s="61">
        <f>-'5C1Y_GEO'!AY49</f>
        <v>0</v>
      </c>
      <c r="BL49" s="61">
        <f>-'5C1Z_Lincoln Prep'!AY49</f>
        <v>0</v>
      </c>
      <c r="BM49" s="61">
        <f>-'5C1AD_Greater'!AY49</f>
        <v>0</v>
      </c>
      <c r="BN49" s="61">
        <f>-'5C1AE_Noble Minds'!AY49</f>
        <v>0</v>
      </c>
      <c r="BO49" s="61">
        <f>-'5C1AF_JCFA-Laf'!AY49</f>
        <v>0</v>
      </c>
      <c r="BP49" s="61">
        <f>-'5C1AG_Collegiate'!AY49</f>
        <v>0</v>
      </c>
      <c r="BQ49" s="61">
        <f>-'5C1AH_BRUP'!AY49</f>
        <v>0</v>
      </c>
      <c r="BR49" s="61">
        <f>-'5C1AI_Harmony'!$AY49</f>
        <v>0</v>
      </c>
      <c r="BS49" s="61">
        <f>-'5C1AJ_Athlos'!$AY49</f>
        <v>0</v>
      </c>
      <c r="BT49" s="61">
        <f>-'5C1AK_NxtGen'!$AY49</f>
        <v>0</v>
      </c>
      <c r="BU49" s="61">
        <f>-'5C1AL_Red River'!$AY49</f>
        <v>0</v>
      </c>
      <c r="BV49" s="61">
        <f>-'5C2_LAVCA'!AZ49</f>
        <v>-11</v>
      </c>
      <c r="BW49" s="61">
        <f>-'5C3_UnvView'!AZ49</f>
        <v>-28</v>
      </c>
      <c r="BX49" s="61">
        <f t="shared" si="9"/>
        <v>-39</v>
      </c>
      <c r="BY49" s="371">
        <f t="shared" si="10"/>
        <v>2271491</v>
      </c>
    </row>
    <row r="50" spans="1:77" s="7" customFormat="1" ht="15.75" customHeight="1" x14ac:dyDescent="0.2">
      <c r="A50" s="368">
        <v>44</v>
      </c>
      <c r="B50" s="369" t="s">
        <v>48</v>
      </c>
      <c r="C50" s="61">
        <f>'2_State Distrib and Adjs'!AZ50</f>
        <v>3838389</v>
      </c>
      <c r="D50" s="61">
        <f>-'5A3_OJJ'!S50</f>
        <v>-313</v>
      </c>
      <c r="E50" s="61"/>
      <c r="F50" s="61">
        <f>-'5C1A_Madison'!AS50</f>
        <v>0</v>
      </c>
      <c r="G50" s="61">
        <f>-'5C1B_DArbonne'!AS50</f>
        <v>0</v>
      </c>
      <c r="H50" s="61">
        <f>-'5C1C_Intl High'!AS50</f>
        <v>-2203</v>
      </c>
      <c r="I50" s="61">
        <f>-'5C1D_NOMMA'!AS50</f>
        <v>-832</v>
      </c>
      <c r="J50" s="61">
        <f>-'5C1E_LFNO'!AS50</f>
        <v>494</v>
      </c>
      <c r="K50" s="61">
        <f>-'5C1F_L.C. Charter'!AS50</f>
        <v>0</v>
      </c>
      <c r="L50" s="61">
        <f>-'5C1G_JS Clark'!AS50</f>
        <v>0</v>
      </c>
      <c r="M50" s="61">
        <f>-'5C1H_Southwest'!AS50</f>
        <v>0</v>
      </c>
      <c r="N50" s="61">
        <f>-'5C1I_LA Key'!AS50</f>
        <v>0</v>
      </c>
      <c r="O50" s="61">
        <f>-'5C1J_JCFA-East'!AS50</f>
        <v>333</v>
      </c>
      <c r="P50" s="61">
        <f>-'5C1M_GEO Mid'!AS50</f>
        <v>0</v>
      </c>
      <c r="Q50" s="61">
        <f>-'5C1N_Delta'!AS50</f>
        <v>0</v>
      </c>
      <c r="R50" s="61">
        <f>-'5C1O_Impact'!AS50</f>
        <v>0</v>
      </c>
      <c r="S50" s="61">
        <f>-'5C1Q_Advantage'!AS50</f>
        <v>0</v>
      </c>
      <c r="T50" s="61">
        <f>-'5C1R_Iberville'!AS50</f>
        <v>0</v>
      </c>
      <c r="U50" s="61">
        <f>-'5C1S_LC Col Prep'!AS50</f>
        <v>0</v>
      </c>
      <c r="V50" s="61">
        <f>-'5C1T_Northeast'!AS50</f>
        <v>0</v>
      </c>
      <c r="W50" s="61">
        <f>-'5C1U_Acadiana Ren'!AS50</f>
        <v>0</v>
      </c>
      <c r="X50" s="61">
        <f>-'5C1V_Laf Ren'!AS50</f>
        <v>0</v>
      </c>
      <c r="Y50" s="61">
        <f>-'5C1W_Willow'!AS50</f>
        <v>0</v>
      </c>
      <c r="Z50" s="61">
        <f>-'5C1Y_GEO'!AS50</f>
        <v>0</v>
      </c>
      <c r="AA50" s="61">
        <f>-'5C1Z_Lincoln Prep'!AS50</f>
        <v>0</v>
      </c>
      <c r="AB50" s="61">
        <f>-'5C1AD_Greater'!$AS50</f>
        <v>0</v>
      </c>
      <c r="AC50" s="61">
        <f>-'5C1AE_Noble Minds'!$AS50</f>
        <v>-559</v>
      </c>
      <c r="AD50" s="61">
        <f>-'5C1AF_JCFA-Laf'!$AS50</f>
        <v>0</v>
      </c>
      <c r="AE50" s="61">
        <f>-'5C1AG_Collegiate'!$AS50</f>
        <v>0</v>
      </c>
      <c r="AF50" s="61">
        <f>-'5C1AH_BRUP'!$AS50</f>
        <v>0</v>
      </c>
      <c r="AG50" s="61">
        <f>-'5C1AI_Harmony'!$AS50</f>
        <v>0</v>
      </c>
      <c r="AH50" s="61">
        <f>-'5C1AJ_Athlos'!$AS50</f>
        <v>-1841</v>
      </c>
      <c r="AI50" s="61">
        <f>-'5C1AK_NxtGen'!$AS50</f>
        <v>0</v>
      </c>
      <c r="AJ50" s="61">
        <f>-'5C1AL_Red River'!$AS50</f>
        <v>0</v>
      </c>
      <c r="AK50" s="61">
        <f>-'5C2_LAVCA'!AT50</f>
        <v>-10289</v>
      </c>
      <c r="AL50" s="61">
        <f>-'5C3_UnvView'!AT50</f>
        <v>-1908</v>
      </c>
      <c r="AM50" s="370">
        <f t="shared" si="7"/>
        <v>-17118</v>
      </c>
      <c r="AN50" s="371">
        <f t="shared" si="8"/>
        <v>3821271</v>
      </c>
      <c r="AO50" s="61"/>
      <c r="AP50" s="61"/>
      <c r="AQ50" s="61">
        <f>-'5C1A_Madison'!AY50</f>
        <v>0</v>
      </c>
      <c r="AR50" s="61">
        <f>-'5C1B_DArbonne'!AY50</f>
        <v>0</v>
      </c>
      <c r="AS50" s="61">
        <f>-'5C1C_Intl High'!AY50</f>
        <v>-22</v>
      </c>
      <c r="AT50" s="61">
        <f>-'5C1D_NOMMA'!AY50</f>
        <v>26</v>
      </c>
      <c r="AU50" s="61">
        <f>-'5C1E_LFNO'!AY50</f>
        <v>22</v>
      </c>
      <c r="AV50" s="61">
        <f>-'5C1F_L.C. Charter'!AY50</f>
        <v>0</v>
      </c>
      <c r="AW50" s="61">
        <f>-'5C1G_JS Clark'!AY50</f>
        <v>0</v>
      </c>
      <c r="AX50" s="61">
        <f>-'5C1H_Southwest'!AY50</f>
        <v>0</v>
      </c>
      <c r="AY50" s="61">
        <f>-'5C1I_LA Key'!AY50</f>
        <v>0</v>
      </c>
      <c r="AZ50" s="61">
        <f>-'5C1J_JCFA-East'!AY50</f>
        <v>10</v>
      </c>
      <c r="BA50" s="61">
        <f>-'5C1M_GEO Mid'!AY50</f>
        <v>0</v>
      </c>
      <c r="BB50" s="61">
        <f>-'5C1N_Delta'!AY50</f>
        <v>0</v>
      </c>
      <c r="BC50" s="61">
        <f>-'5C1O_Impact'!AY50</f>
        <v>0</v>
      </c>
      <c r="BD50" s="61">
        <f>-'5C1Q_Advantage'!AY50</f>
        <v>0</v>
      </c>
      <c r="BE50" s="61">
        <f>-'5C1R_Iberville'!AY50</f>
        <v>0</v>
      </c>
      <c r="BF50" s="61">
        <f>-'5C1S_LC Col Prep'!AY50</f>
        <v>0</v>
      </c>
      <c r="BG50" s="61">
        <f>-'5C1T_Northeast'!AY50</f>
        <v>0</v>
      </c>
      <c r="BH50" s="61">
        <f>-'5C1U_Acadiana Ren'!AY50</f>
        <v>0</v>
      </c>
      <c r="BI50" s="61">
        <f>-'5C1V_Laf Ren'!AY50</f>
        <v>0</v>
      </c>
      <c r="BJ50" s="61">
        <f>-'5C1W_Willow'!AY50</f>
        <v>0</v>
      </c>
      <c r="BK50" s="61">
        <f>-'5C1Y_GEO'!AY50</f>
        <v>0</v>
      </c>
      <c r="BL50" s="61">
        <f>-'5C1Z_Lincoln Prep'!AY50</f>
        <v>0</v>
      </c>
      <c r="BM50" s="61">
        <f>-'5C1AD_Greater'!AY50</f>
        <v>0</v>
      </c>
      <c r="BN50" s="61">
        <f>-'5C1AE_Noble Minds'!AY50</f>
        <v>-9</v>
      </c>
      <c r="BO50" s="61">
        <f>-'5C1AF_JCFA-Laf'!AY50</f>
        <v>0</v>
      </c>
      <c r="BP50" s="61">
        <f>-'5C1AG_Collegiate'!AY50</f>
        <v>0</v>
      </c>
      <c r="BQ50" s="61">
        <f>-'5C1AH_BRUP'!AY50</f>
        <v>0</v>
      </c>
      <c r="BR50" s="61">
        <f>-'5C1AI_Harmony'!$AY50</f>
        <v>0</v>
      </c>
      <c r="BS50" s="61">
        <f>-'5C1AJ_Athlos'!$AY50</f>
        <v>-37</v>
      </c>
      <c r="BT50" s="61">
        <f>-'5C1AK_NxtGen'!$AY50</f>
        <v>0</v>
      </c>
      <c r="BU50" s="61">
        <f>-'5C1AL_Red River'!$AY50</f>
        <v>0</v>
      </c>
      <c r="BV50" s="61">
        <f>-'5C2_LAVCA'!AZ50</f>
        <v>-31</v>
      </c>
      <c r="BW50" s="61">
        <f>-'5C3_UnvView'!AZ50</f>
        <v>39</v>
      </c>
      <c r="BX50" s="61">
        <f t="shared" si="9"/>
        <v>-2</v>
      </c>
      <c r="BY50" s="371">
        <f t="shared" si="10"/>
        <v>3821269</v>
      </c>
    </row>
    <row r="51" spans="1:77" s="7" customFormat="1" ht="15.75" customHeight="1" x14ac:dyDescent="0.2">
      <c r="A51" s="358">
        <v>45</v>
      </c>
      <c r="B51" s="359" t="s">
        <v>49</v>
      </c>
      <c r="C51" s="360">
        <f>'2_State Distrib and Adjs'!AZ51</f>
        <v>2712614</v>
      </c>
      <c r="D51" s="360">
        <f>-'5A3_OJJ'!S51</f>
        <v>-10</v>
      </c>
      <c r="E51" s="360"/>
      <c r="F51" s="360">
        <f>-'5C1A_Madison'!AS51</f>
        <v>0</v>
      </c>
      <c r="G51" s="360">
        <f>-'5C1B_DArbonne'!AS51</f>
        <v>0</v>
      </c>
      <c r="H51" s="360">
        <f>-'5C1C_Intl High'!AS51</f>
        <v>0</v>
      </c>
      <c r="I51" s="360">
        <f>-'5C1D_NOMMA'!AS51</f>
        <v>-2162</v>
      </c>
      <c r="J51" s="360">
        <f>-'5C1E_LFNO'!AS51</f>
        <v>-4798</v>
      </c>
      <c r="K51" s="360">
        <f>-'5C1F_L.C. Charter'!AS51</f>
        <v>521</v>
      </c>
      <c r="L51" s="360">
        <f>-'5C1G_JS Clark'!AS51</f>
        <v>0</v>
      </c>
      <c r="M51" s="360">
        <f>-'5C1H_Southwest'!AS51</f>
        <v>0</v>
      </c>
      <c r="N51" s="360">
        <f>-'5C1I_LA Key'!AS51</f>
        <v>0</v>
      </c>
      <c r="O51" s="360">
        <f>-'5C1J_JCFA-East'!AS51</f>
        <v>-1200</v>
      </c>
      <c r="P51" s="360">
        <f>-'5C1M_GEO Mid'!AS51</f>
        <v>0</v>
      </c>
      <c r="Q51" s="360">
        <f>-'5C1N_Delta'!AS51</f>
        <v>0</v>
      </c>
      <c r="R51" s="360">
        <f>-'5C1O_Impact'!AS51</f>
        <v>0</v>
      </c>
      <c r="S51" s="360">
        <f>-'5C1Q_Advantage'!AS51</f>
        <v>0</v>
      </c>
      <c r="T51" s="360">
        <f>-'5C1R_Iberville'!AS51</f>
        <v>0</v>
      </c>
      <c r="U51" s="360">
        <f>-'5C1S_LC Col Prep'!AS51</f>
        <v>0</v>
      </c>
      <c r="V51" s="360">
        <f>-'5C1T_Northeast'!AS51</f>
        <v>0</v>
      </c>
      <c r="W51" s="360">
        <f>-'5C1U_Acadiana Ren'!AS51</f>
        <v>0</v>
      </c>
      <c r="X51" s="360">
        <f>-'5C1V_Laf Ren'!AS51</f>
        <v>0</v>
      </c>
      <c r="Y51" s="360">
        <f>-'5C1W_Willow'!AS51</f>
        <v>0</v>
      </c>
      <c r="Z51" s="360">
        <f>-'5C1Y_GEO'!AS51</f>
        <v>0</v>
      </c>
      <c r="AA51" s="360">
        <f>-'5C1Z_Lincoln Prep'!AS51</f>
        <v>0</v>
      </c>
      <c r="AB51" s="360">
        <f>-'5C1AD_Greater'!$AS51</f>
        <v>0</v>
      </c>
      <c r="AC51" s="360">
        <f>-'5C1AE_Noble Minds'!$AS51</f>
        <v>-1788</v>
      </c>
      <c r="AD51" s="360">
        <f>-'5C1AF_JCFA-Laf'!$AS51</f>
        <v>0</v>
      </c>
      <c r="AE51" s="360">
        <f>-'5C1AG_Collegiate'!$AS51</f>
        <v>0</v>
      </c>
      <c r="AF51" s="360">
        <f>-'5C1AH_BRUP'!$AS51</f>
        <v>0</v>
      </c>
      <c r="AG51" s="657">
        <f>-'5C1AI_Harmony'!$AS51</f>
        <v>0</v>
      </c>
      <c r="AH51" s="657">
        <f>-'5C1AJ_Athlos'!$AS51</f>
        <v>-2388</v>
      </c>
      <c r="AI51" s="892">
        <f>-'5C1AK_NxtGen'!$AS51</f>
        <v>0</v>
      </c>
      <c r="AJ51" s="892">
        <f>-'5C1AL_Red River'!$AS51</f>
        <v>0</v>
      </c>
      <c r="AK51" s="360">
        <f>-'5C2_LAVCA'!AT51</f>
        <v>-30696</v>
      </c>
      <c r="AL51" s="360">
        <f>-'5C3_UnvView'!AT51</f>
        <v>10603</v>
      </c>
      <c r="AM51" s="361">
        <f t="shared" si="7"/>
        <v>-31918</v>
      </c>
      <c r="AN51" s="362">
        <f t="shared" si="8"/>
        <v>2680696</v>
      </c>
      <c r="AO51" s="360"/>
      <c r="AP51" s="360"/>
      <c r="AQ51" s="360">
        <f>-'5C1A_Madison'!AY51</f>
        <v>0</v>
      </c>
      <c r="AR51" s="360">
        <f>-'5C1B_DArbonne'!AY51</f>
        <v>0</v>
      </c>
      <c r="AS51" s="360">
        <f>-'5C1C_Intl High'!AY51</f>
        <v>0</v>
      </c>
      <c r="AT51" s="360">
        <f>-'5C1D_NOMMA'!AY51</f>
        <v>35</v>
      </c>
      <c r="AU51" s="360">
        <f>-'5C1E_LFNO'!AY51</f>
        <v>0</v>
      </c>
      <c r="AV51" s="360">
        <f>-'5C1F_L.C. Charter'!AY51</f>
        <v>0</v>
      </c>
      <c r="AW51" s="360">
        <f>-'5C1G_JS Clark'!AY51</f>
        <v>0</v>
      </c>
      <c r="AX51" s="360">
        <f>-'5C1H_Southwest'!AY51</f>
        <v>0</v>
      </c>
      <c r="AY51" s="360">
        <f>-'5C1I_LA Key'!AY51</f>
        <v>0</v>
      </c>
      <c r="AZ51" s="360">
        <f>-'5C1J_JCFA-East'!AY51</f>
        <v>0</v>
      </c>
      <c r="BA51" s="360">
        <f>-'5C1M_GEO Mid'!AY51</f>
        <v>0</v>
      </c>
      <c r="BB51" s="360">
        <f>-'5C1N_Delta'!AY51</f>
        <v>0</v>
      </c>
      <c r="BC51" s="360">
        <f>-'5C1O_Impact'!AY51</f>
        <v>0</v>
      </c>
      <c r="BD51" s="360">
        <f>-'5C1Q_Advantage'!AY51</f>
        <v>0</v>
      </c>
      <c r="BE51" s="360">
        <f>-'5C1R_Iberville'!AY51</f>
        <v>0</v>
      </c>
      <c r="BF51" s="360">
        <f>-'5C1S_LC Col Prep'!AY51</f>
        <v>0</v>
      </c>
      <c r="BG51" s="360">
        <f>-'5C1T_Northeast'!AY51</f>
        <v>0</v>
      </c>
      <c r="BH51" s="360">
        <f>-'5C1U_Acadiana Ren'!AY51</f>
        <v>0</v>
      </c>
      <c r="BI51" s="360">
        <f>-'5C1V_Laf Ren'!AY51</f>
        <v>0</v>
      </c>
      <c r="BJ51" s="360">
        <f>-'5C1W_Willow'!AY51</f>
        <v>0</v>
      </c>
      <c r="BK51" s="360">
        <f>-'5C1Y_GEO'!AY51</f>
        <v>0</v>
      </c>
      <c r="BL51" s="360">
        <f>-'5C1Z_Lincoln Prep'!AY51</f>
        <v>0</v>
      </c>
      <c r="BM51" s="360">
        <f>-'5C1AD_Greater'!AY51</f>
        <v>0</v>
      </c>
      <c r="BN51" s="360">
        <f>-'5C1AE_Noble Minds'!AY51</f>
        <v>-18</v>
      </c>
      <c r="BO51" s="360">
        <f>-'5C1AF_JCFA-Laf'!AY51</f>
        <v>0</v>
      </c>
      <c r="BP51" s="360">
        <f>-'5C1AG_Collegiate'!AY51</f>
        <v>0</v>
      </c>
      <c r="BQ51" s="360">
        <f>-'5C1AH_BRUP'!AY51</f>
        <v>0</v>
      </c>
      <c r="BR51" s="657">
        <f>-'5C1AI_Harmony'!$AY51</f>
        <v>0</v>
      </c>
      <c r="BS51" s="657">
        <f>-'5C1AJ_Athlos'!$AY51</f>
        <v>-36</v>
      </c>
      <c r="BT51" s="892">
        <f>-'5C1AK_NxtGen'!$AY51</f>
        <v>0</v>
      </c>
      <c r="BU51" s="892">
        <f>-'5C1AL_Red River'!$AY51</f>
        <v>0</v>
      </c>
      <c r="BV51" s="360">
        <f>-'5C2_LAVCA'!AZ51</f>
        <v>-115</v>
      </c>
      <c r="BW51" s="360">
        <f>-'5C3_UnvView'!AZ51</f>
        <v>289</v>
      </c>
      <c r="BX51" s="360">
        <f t="shared" si="9"/>
        <v>155</v>
      </c>
      <c r="BY51" s="362">
        <f t="shared" si="10"/>
        <v>2680851</v>
      </c>
    </row>
    <row r="52" spans="1:77" s="7" customFormat="1" ht="15.75" customHeight="1" x14ac:dyDescent="0.2">
      <c r="A52" s="368">
        <v>46</v>
      </c>
      <c r="B52" s="369" t="s">
        <v>50</v>
      </c>
      <c r="C52" s="61">
        <f>'2_State Distrib and Adjs'!AZ52</f>
        <v>793370</v>
      </c>
      <c r="D52" s="61">
        <f>-'5A3_OJJ'!S52</f>
        <v>0</v>
      </c>
      <c r="E52" s="61"/>
      <c r="F52" s="61">
        <f>-'5C1A_Madison'!AS52</f>
        <v>0</v>
      </c>
      <c r="G52" s="61">
        <f>-'5C1B_DArbonne'!AS52</f>
        <v>0</v>
      </c>
      <c r="H52" s="61">
        <f>-'5C1C_Intl High'!AS52</f>
        <v>0</v>
      </c>
      <c r="I52" s="61">
        <f>-'5C1D_NOMMA'!AS52</f>
        <v>0</v>
      </c>
      <c r="J52" s="61">
        <f>-'5C1E_LFNO'!AS52</f>
        <v>0</v>
      </c>
      <c r="K52" s="61">
        <f>-'5C1F_L.C. Charter'!AS52</f>
        <v>0</v>
      </c>
      <c r="L52" s="61">
        <f>-'5C1G_JS Clark'!AS52</f>
        <v>0</v>
      </c>
      <c r="M52" s="61">
        <f>-'5C1H_Southwest'!AS52</f>
        <v>0</v>
      </c>
      <c r="N52" s="61">
        <f>-'5C1I_LA Key'!AS52</f>
        <v>0</v>
      </c>
      <c r="O52" s="61">
        <f>-'5C1J_JCFA-East'!AS52</f>
        <v>0</v>
      </c>
      <c r="P52" s="61">
        <f>-'5C1M_GEO Mid'!AS52</f>
        <v>0</v>
      </c>
      <c r="Q52" s="61">
        <f>-'5C1N_Delta'!AS52</f>
        <v>0</v>
      </c>
      <c r="R52" s="61">
        <f>-'5C1O_Impact'!AS52</f>
        <v>0</v>
      </c>
      <c r="S52" s="61">
        <f>-'5C1Q_Advantage'!AS52</f>
        <v>0</v>
      </c>
      <c r="T52" s="61">
        <f>-'5C1R_Iberville'!AS52</f>
        <v>0</v>
      </c>
      <c r="U52" s="61">
        <f>-'5C1S_LC Col Prep'!AS52</f>
        <v>0</v>
      </c>
      <c r="V52" s="61">
        <f>-'5C1T_Northeast'!AS52</f>
        <v>0</v>
      </c>
      <c r="W52" s="61">
        <f>-'5C1U_Acadiana Ren'!AS52</f>
        <v>0</v>
      </c>
      <c r="X52" s="61">
        <f>-'5C1V_Laf Ren'!AS52</f>
        <v>0</v>
      </c>
      <c r="Y52" s="61">
        <f>-'5C1W_Willow'!AS52</f>
        <v>0</v>
      </c>
      <c r="Z52" s="61">
        <f>-'5C1Y_GEO'!AS52</f>
        <v>0</v>
      </c>
      <c r="AA52" s="61">
        <f>-'5C1Z_Lincoln Prep'!AS52</f>
        <v>0</v>
      </c>
      <c r="AB52" s="61">
        <f>-'5C1AD_Greater'!$AS52</f>
        <v>0</v>
      </c>
      <c r="AC52" s="61">
        <f>-'5C1AE_Noble Minds'!$AS52</f>
        <v>0</v>
      </c>
      <c r="AD52" s="61">
        <f>-'5C1AF_JCFA-Laf'!$AS52</f>
        <v>0</v>
      </c>
      <c r="AE52" s="61">
        <f>-'5C1AG_Collegiate'!$AS52</f>
        <v>0</v>
      </c>
      <c r="AF52" s="61">
        <f>-'5C1AH_BRUP'!$AS52</f>
        <v>0</v>
      </c>
      <c r="AG52" s="61">
        <f>-'5C1AI_Harmony'!$AS52</f>
        <v>0</v>
      </c>
      <c r="AH52" s="61">
        <f>-'5C1AJ_Athlos'!$AS52</f>
        <v>0</v>
      </c>
      <c r="AI52" s="61">
        <f>-'5C1AK_NxtGen'!$AS52</f>
        <v>0</v>
      </c>
      <c r="AJ52" s="61">
        <f>-'5C1AL_Red River'!$AS52</f>
        <v>0</v>
      </c>
      <c r="AK52" s="61">
        <f>-'5C2_LAVCA'!AT52</f>
        <v>-3201</v>
      </c>
      <c r="AL52" s="61">
        <f>-'5C3_UnvView'!AT52</f>
        <v>158</v>
      </c>
      <c r="AM52" s="370">
        <f t="shared" si="7"/>
        <v>-3043</v>
      </c>
      <c r="AN52" s="371">
        <f t="shared" si="8"/>
        <v>790327</v>
      </c>
      <c r="AO52" s="61"/>
      <c r="AP52" s="61"/>
      <c r="AQ52" s="61">
        <f>-'5C1A_Madison'!AY52</f>
        <v>0</v>
      </c>
      <c r="AR52" s="61">
        <f>-'5C1B_DArbonne'!AY52</f>
        <v>0</v>
      </c>
      <c r="AS52" s="61">
        <f>-'5C1C_Intl High'!AY52</f>
        <v>0</v>
      </c>
      <c r="AT52" s="61">
        <f>-'5C1D_NOMMA'!AY52</f>
        <v>0</v>
      </c>
      <c r="AU52" s="61">
        <f>-'5C1E_LFNO'!AY52</f>
        <v>0</v>
      </c>
      <c r="AV52" s="61">
        <f>-'5C1F_L.C. Charter'!AY52</f>
        <v>0</v>
      </c>
      <c r="AW52" s="61">
        <f>-'5C1G_JS Clark'!AY52</f>
        <v>0</v>
      </c>
      <c r="AX52" s="61">
        <f>-'5C1H_Southwest'!AY52</f>
        <v>0</v>
      </c>
      <c r="AY52" s="61">
        <f>-'5C1I_LA Key'!AY52</f>
        <v>0</v>
      </c>
      <c r="AZ52" s="61">
        <f>-'5C1J_JCFA-East'!AY52</f>
        <v>0</v>
      </c>
      <c r="BA52" s="61">
        <f>-'5C1M_GEO Mid'!AY52</f>
        <v>0</v>
      </c>
      <c r="BB52" s="61">
        <f>-'5C1N_Delta'!AY52</f>
        <v>0</v>
      </c>
      <c r="BC52" s="61">
        <f>-'5C1O_Impact'!AY52</f>
        <v>0</v>
      </c>
      <c r="BD52" s="61">
        <f>-'5C1Q_Advantage'!AY52</f>
        <v>0</v>
      </c>
      <c r="BE52" s="61">
        <f>-'5C1R_Iberville'!AY52</f>
        <v>0</v>
      </c>
      <c r="BF52" s="61">
        <f>-'5C1S_LC Col Prep'!AY52</f>
        <v>0</v>
      </c>
      <c r="BG52" s="61">
        <f>-'5C1T_Northeast'!AY52</f>
        <v>0</v>
      </c>
      <c r="BH52" s="61">
        <f>-'5C1U_Acadiana Ren'!AY52</f>
        <v>0</v>
      </c>
      <c r="BI52" s="61">
        <f>-'5C1V_Laf Ren'!AY52</f>
        <v>0</v>
      </c>
      <c r="BJ52" s="61">
        <f>-'5C1W_Willow'!AY52</f>
        <v>0</v>
      </c>
      <c r="BK52" s="61">
        <f>-'5C1Y_GEO'!AY52</f>
        <v>0</v>
      </c>
      <c r="BL52" s="61">
        <f>-'5C1Z_Lincoln Prep'!AY52</f>
        <v>0</v>
      </c>
      <c r="BM52" s="61">
        <f>-'5C1AD_Greater'!AY52</f>
        <v>0</v>
      </c>
      <c r="BN52" s="61">
        <f>-'5C1AE_Noble Minds'!AY52</f>
        <v>0</v>
      </c>
      <c r="BO52" s="61">
        <f>-'5C1AF_JCFA-Laf'!AY52</f>
        <v>0</v>
      </c>
      <c r="BP52" s="61">
        <f>-'5C1AG_Collegiate'!AY52</f>
        <v>0</v>
      </c>
      <c r="BQ52" s="61">
        <f>-'5C1AH_BRUP'!AY52</f>
        <v>0</v>
      </c>
      <c r="BR52" s="61">
        <f>-'5C1AI_Harmony'!$AY52</f>
        <v>0</v>
      </c>
      <c r="BS52" s="61">
        <f>-'5C1AJ_Athlos'!$AY52</f>
        <v>0</v>
      </c>
      <c r="BT52" s="61">
        <f>-'5C1AK_NxtGen'!$AY52</f>
        <v>0</v>
      </c>
      <c r="BU52" s="61">
        <f>-'5C1AL_Red River'!$AY52</f>
        <v>0</v>
      </c>
      <c r="BV52" s="61">
        <f>-'5C2_LAVCA'!AZ52</f>
        <v>-11</v>
      </c>
      <c r="BW52" s="61">
        <f>-'5C3_UnvView'!AZ52</f>
        <v>45</v>
      </c>
      <c r="BX52" s="61">
        <f t="shared" si="9"/>
        <v>34</v>
      </c>
      <c r="BY52" s="371">
        <f t="shared" si="10"/>
        <v>790361</v>
      </c>
    </row>
    <row r="53" spans="1:77" s="7" customFormat="1" ht="15.75" customHeight="1" x14ac:dyDescent="0.2">
      <c r="A53" s="368">
        <v>47</v>
      </c>
      <c r="B53" s="369" t="s">
        <v>51</v>
      </c>
      <c r="C53" s="61">
        <f>'2_State Distrib and Adjs'!AZ53</f>
        <v>1011268</v>
      </c>
      <c r="D53" s="61">
        <f>-'5A3_OJJ'!S53</f>
        <v>0</v>
      </c>
      <c r="E53" s="61"/>
      <c r="F53" s="61">
        <f>-'5C1A_Madison'!AS53</f>
        <v>0</v>
      </c>
      <c r="G53" s="61">
        <f>-'5C1B_DArbonne'!AS53</f>
        <v>0</v>
      </c>
      <c r="H53" s="61">
        <f>-'5C1C_Intl High'!AS53</f>
        <v>0</v>
      </c>
      <c r="I53" s="61">
        <f>-'5C1D_NOMMA'!AS53</f>
        <v>0</v>
      </c>
      <c r="J53" s="61">
        <f>-'5C1E_LFNO'!AS53</f>
        <v>0</v>
      </c>
      <c r="K53" s="61">
        <f>-'5C1F_L.C. Charter'!AS53</f>
        <v>0</v>
      </c>
      <c r="L53" s="61">
        <f>-'5C1G_JS Clark'!AS53</f>
        <v>0</v>
      </c>
      <c r="M53" s="61">
        <f>-'5C1H_Southwest'!AS53</f>
        <v>0</v>
      </c>
      <c r="N53" s="61">
        <f>-'5C1I_LA Key'!AS53</f>
        <v>0</v>
      </c>
      <c r="O53" s="61">
        <f>-'5C1J_JCFA-East'!AS53</f>
        <v>0</v>
      </c>
      <c r="P53" s="61">
        <f>-'5C1M_GEO Mid'!AS53</f>
        <v>0</v>
      </c>
      <c r="Q53" s="61">
        <f>-'5C1N_Delta'!AS53</f>
        <v>0</v>
      </c>
      <c r="R53" s="61">
        <f>-'5C1O_Impact'!AS53</f>
        <v>0</v>
      </c>
      <c r="S53" s="61">
        <f>-'5C1Q_Advantage'!AS53</f>
        <v>0</v>
      </c>
      <c r="T53" s="61">
        <f>-'5C1R_Iberville'!AS53</f>
        <v>-2578</v>
      </c>
      <c r="U53" s="61">
        <f>-'5C1S_LC Col Prep'!AS53</f>
        <v>0</v>
      </c>
      <c r="V53" s="61">
        <f>-'5C1T_Northeast'!AS53</f>
        <v>0</v>
      </c>
      <c r="W53" s="61">
        <f>-'5C1U_Acadiana Ren'!AS53</f>
        <v>0</v>
      </c>
      <c r="X53" s="61">
        <f>-'5C1V_Laf Ren'!AS53</f>
        <v>0</v>
      </c>
      <c r="Y53" s="61">
        <f>-'5C1W_Willow'!AS53</f>
        <v>0</v>
      </c>
      <c r="Z53" s="61">
        <f>-'5C1Y_GEO'!AS53</f>
        <v>0</v>
      </c>
      <c r="AA53" s="61">
        <f>-'5C1Z_Lincoln Prep'!AS53</f>
        <v>0</v>
      </c>
      <c r="AB53" s="61">
        <f>-'5C1AD_Greater'!$AS53</f>
        <v>-42576</v>
      </c>
      <c r="AC53" s="61">
        <f>-'5C1AE_Noble Minds'!$AS53</f>
        <v>0</v>
      </c>
      <c r="AD53" s="61">
        <f>-'5C1AF_JCFA-Laf'!$AS53</f>
        <v>0</v>
      </c>
      <c r="AE53" s="61">
        <f>-'5C1AG_Collegiate'!$AS53</f>
        <v>0</v>
      </c>
      <c r="AF53" s="61">
        <f>-'5C1AH_BRUP'!$AS53</f>
        <v>0</v>
      </c>
      <c r="AG53" s="61">
        <f>-'5C1AI_Harmony'!$AS53</f>
        <v>0</v>
      </c>
      <c r="AH53" s="61">
        <f>-'5C1AJ_Athlos'!$AS53</f>
        <v>0</v>
      </c>
      <c r="AI53" s="61">
        <f>-'5C1AK_NxtGen'!$AS53</f>
        <v>0</v>
      </c>
      <c r="AJ53" s="61">
        <f>-'5C1AL_Red River'!$AS53</f>
        <v>0</v>
      </c>
      <c r="AK53" s="61">
        <f>-'5C2_LAVCA'!AT53</f>
        <v>-5899</v>
      </c>
      <c r="AL53" s="61">
        <f>-'5C3_UnvView'!AT53</f>
        <v>-788</v>
      </c>
      <c r="AM53" s="370">
        <f t="shared" si="7"/>
        <v>-51841</v>
      </c>
      <c r="AN53" s="371">
        <f t="shared" si="8"/>
        <v>959427</v>
      </c>
      <c r="AO53" s="61"/>
      <c r="AP53" s="61"/>
      <c r="AQ53" s="61">
        <f>-'5C1A_Madison'!AY53</f>
        <v>0</v>
      </c>
      <c r="AR53" s="61">
        <f>-'5C1B_DArbonne'!AY53</f>
        <v>0</v>
      </c>
      <c r="AS53" s="61">
        <f>-'5C1C_Intl High'!AY53</f>
        <v>0</v>
      </c>
      <c r="AT53" s="61">
        <f>-'5C1D_NOMMA'!AY53</f>
        <v>0</v>
      </c>
      <c r="AU53" s="61">
        <f>-'5C1E_LFNO'!AY53</f>
        <v>0</v>
      </c>
      <c r="AV53" s="61">
        <f>-'5C1F_L.C. Charter'!AY53</f>
        <v>0</v>
      </c>
      <c r="AW53" s="61">
        <f>-'5C1G_JS Clark'!AY53</f>
        <v>0</v>
      </c>
      <c r="AX53" s="61">
        <f>-'5C1H_Southwest'!AY53</f>
        <v>0</v>
      </c>
      <c r="AY53" s="61">
        <f>-'5C1I_LA Key'!AY53</f>
        <v>0</v>
      </c>
      <c r="AZ53" s="61">
        <f>-'5C1J_JCFA-East'!AY53</f>
        <v>0</v>
      </c>
      <c r="BA53" s="61">
        <f>-'5C1M_GEO Mid'!AY53</f>
        <v>0</v>
      </c>
      <c r="BB53" s="61">
        <f>-'5C1N_Delta'!AY53</f>
        <v>0</v>
      </c>
      <c r="BC53" s="61">
        <f>-'5C1O_Impact'!AY53</f>
        <v>0</v>
      </c>
      <c r="BD53" s="61">
        <f>-'5C1Q_Advantage'!AY53</f>
        <v>0</v>
      </c>
      <c r="BE53" s="61">
        <f>-'5C1R_Iberville'!AY53</f>
        <v>-38</v>
      </c>
      <c r="BF53" s="61">
        <f>-'5C1S_LC Col Prep'!AY53</f>
        <v>0</v>
      </c>
      <c r="BG53" s="61">
        <f>-'5C1T_Northeast'!AY53</f>
        <v>0</v>
      </c>
      <c r="BH53" s="61">
        <f>-'5C1U_Acadiana Ren'!AY53</f>
        <v>0</v>
      </c>
      <c r="BI53" s="61">
        <f>-'5C1V_Laf Ren'!AY53</f>
        <v>0</v>
      </c>
      <c r="BJ53" s="61">
        <f>-'5C1W_Willow'!AY53</f>
        <v>0</v>
      </c>
      <c r="BK53" s="61">
        <f>-'5C1Y_GEO'!AY53</f>
        <v>0</v>
      </c>
      <c r="BL53" s="61">
        <f>-'5C1Z_Lincoln Prep'!AY53</f>
        <v>0</v>
      </c>
      <c r="BM53" s="61">
        <f>-'5C1AD_Greater'!AY53</f>
        <v>283</v>
      </c>
      <c r="BN53" s="61">
        <f>-'5C1AE_Noble Minds'!AY53</f>
        <v>0</v>
      </c>
      <c r="BO53" s="61">
        <f>-'5C1AF_JCFA-Laf'!AY53</f>
        <v>0</v>
      </c>
      <c r="BP53" s="61">
        <f>-'5C1AG_Collegiate'!AY53</f>
        <v>0</v>
      </c>
      <c r="BQ53" s="61">
        <f>-'5C1AH_BRUP'!AY53</f>
        <v>0</v>
      </c>
      <c r="BR53" s="61">
        <f>-'5C1AI_Harmony'!$AY53</f>
        <v>0</v>
      </c>
      <c r="BS53" s="61">
        <f>-'5C1AJ_Athlos'!$AY53</f>
        <v>0</v>
      </c>
      <c r="BT53" s="61">
        <f>-'5C1AK_NxtGen'!$AY53</f>
        <v>0</v>
      </c>
      <c r="BU53" s="61">
        <f>-'5C1AL_Red River'!$AY53</f>
        <v>0</v>
      </c>
      <c r="BV53" s="61">
        <f>-'5C2_LAVCA'!AZ53</f>
        <v>-38</v>
      </c>
      <c r="BW53" s="61">
        <f>-'5C3_UnvView'!AZ53</f>
        <v>56</v>
      </c>
      <c r="BX53" s="61">
        <f t="shared" si="9"/>
        <v>263</v>
      </c>
      <c r="BY53" s="371">
        <f t="shared" si="10"/>
        <v>959690</v>
      </c>
    </row>
    <row r="54" spans="1:77" s="7" customFormat="1" ht="15.75" customHeight="1" x14ac:dyDescent="0.2">
      <c r="A54" s="368">
        <v>48</v>
      </c>
      <c r="B54" s="369" t="s">
        <v>73</v>
      </c>
      <c r="C54" s="61">
        <f>'2_State Distrib and Adjs'!AZ54</f>
        <v>2549425</v>
      </c>
      <c r="D54" s="61">
        <f>-'5A3_OJJ'!S54</f>
        <v>0</v>
      </c>
      <c r="E54" s="61"/>
      <c r="F54" s="61">
        <f>-'5C1A_Madison'!AS54</f>
        <v>0</v>
      </c>
      <c r="G54" s="61">
        <f>-'5C1B_DArbonne'!AS54</f>
        <v>0</v>
      </c>
      <c r="H54" s="61">
        <f>-'5C1C_Intl High'!AS54</f>
        <v>0</v>
      </c>
      <c r="I54" s="61">
        <f>-'5C1D_NOMMA'!AS54</f>
        <v>0</v>
      </c>
      <c r="J54" s="61">
        <f>-'5C1E_LFNO'!AS54</f>
        <v>-1423</v>
      </c>
      <c r="K54" s="61">
        <f>-'5C1F_L.C. Charter'!AS54</f>
        <v>0</v>
      </c>
      <c r="L54" s="61">
        <f>-'5C1G_JS Clark'!AS54</f>
        <v>0</v>
      </c>
      <c r="M54" s="61">
        <f>-'5C1H_Southwest'!AS54</f>
        <v>0</v>
      </c>
      <c r="N54" s="61">
        <f>-'5C1I_LA Key'!AS54</f>
        <v>0</v>
      </c>
      <c r="O54" s="61">
        <f>-'5C1J_JCFA-East'!AS54</f>
        <v>-712</v>
      </c>
      <c r="P54" s="61">
        <f>-'5C1M_GEO Mid'!AS54</f>
        <v>0</v>
      </c>
      <c r="Q54" s="61">
        <f>-'5C1N_Delta'!AS54</f>
        <v>0</v>
      </c>
      <c r="R54" s="61">
        <f>-'5C1O_Impact'!AS54</f>
        <v>0</v>
      </c>
      <c r="S54" s="61">
        <f>-'5C1Q_Advantage'!AS54</f>
        <v>-4269</v>
      </c>
      <c r="T54" s="61">
        <f>-'5C1R_Iberville'!AS54</f>
        <v>-1255</v>
      </c>
      <c r="U54" s="61">
        <f>-'5C1S_LC Col Prep'!AS54</f>
        <v>0</v>
      </c>
      <c r="V54" s="61">
        <f>-'5C1T_Northeast'!AS54</f>
        <v>0</v>
      </c>
      <c r="W54" s="61">
        <f>-'5C1U_Acadiana Ren'!AS54</f>
        <v>0</v>
      </c>
      <c r="X54" s="61">
        <f>-'5C1V_Laf Ren'!AS54</f>
        <v>0</v>
      </c>
      <c r="Y54" s="61">
        <f>-'5C1W_Willow'!AS54</f>
        <v>0</v>
      </c>
      <c r="Z54" s="61">
        <f>-'5C1Y_GEO'!AS54</f>
        <v>0</v>
      </c>
      <c r="AA54" s="61">
        <f>-'5C1Z_Lincoln Prep'!AS54</f>
        <v>0</v>
      </c>
      <c r="AB54" s="61">
        <f>-'5C1AD_Greater'!$AS54</f>
        <v>-21643</v>
      </c>
      <c r="AC54" s="61">
        <f>-'5C1AE_Noble Minds'!$AS54</f>
        <v>0</v>
      </c>
      <c r="AD54" s="61">
        <f>-'5C1AF_JCFA-Laf'!$AS54</f>
        <v>0</v>
      </c>
      <c r="AE54" s="61">
        <f>-'5C1AG_Collegiate'!$AS54</f>
        <v>0</v>
      </c>
      <c r="AF54" s="61">
        <f>-'5C1AH_BRUP'!$AS54</f>
        <v>0</v>
      </c>
      <c r="AG54" s="61">
        <f>-'5C1AI_Harmony'!$AS54</f>
        <v>0</v>
      </c>
      <c r="AH54" s="61">
        <f>-'5C1AJ_Athlos'!$AS54</f>
        <v>0</v>
      </c>
      <c r="AI54" s="61">
        <f>-'5C1AK_NxtGen'!$AS54</f>
        <v>0</v>
      </c>
      <c r="AJ54" s="61">
        <f>-'5C1AL_Red River'!$AS54</f>
        <v>0</v>
      </c>
      <c r="AK54" s="61">
        <f>-'5C2_LAVCA'!AT54</f>
        <v>-13951</v>
      </c>
      <c r="AL54" s="61">
        <f>-'5C3_UnvView'!AT54</f>
        <v>-24970</v>
      </c>
      <c r="AM54" s="370">
        <f t="shared" si="7"/>
        <v>-68223</v>
      </c>
      <c r="AN54" s="371">
        <f t="shared" si="8"/>
        <v>2481202</v>
      </c>
      <c r="AO54" s="61"/>
      <c r="AP54" s="61"/>
      <c r="AQ54" s="61">
        <f>-'5C1A_Madison'!AY54</f>
        <v>0</v>
      </c>
      <c r="AR54" s="61">
        <f>-'5C1B_DArbonne'!AY54</f>
        <v>0</v>
      </c>
      <c r="AS54" s="61">
        <f>-'5C1C_Intl High'!AY54</f>
        <v>0</v>
      </c>
      <c r="AT54" s="61">
        <f>-'5C1D_NOMMA'!AY54</f>
        <v>0</v>
      </c>
      <c r="AU54" s="61">
        <f>-'5C1E_LFNO'!AY54</f>
        <v>-3</v>
      </c>
      <c r="AV54" s="61">
        <f>-'5C1F_L.C. Charter'!AY54</f>
        <v>0</v>
      </c>
      <c r="AW54" s="61">
        <f>-'5C1G_JS Clark'!AY54</f>
        <v>0</v>
      </c>
      <c r="AX54" s="61">
        <f>-'5C1H_Southwest'!AY54</f>
        <v>0</v>
      </c>
      <c r="AY54" s="61">
        <f>-'5C1I_LA Key'!AY54</f>
        <v>0</v>
      </c>
      <c r="AZ54" s="61">
        <f>-'5C1J_JCFA-East'!AY54</f>
        <v>15</v>
      </c>
      <c r="BA54" s="61">
        <f>-'5C1M_GEO Mid'!AY54</f>
        <v>0</v>
      </c>
      <c r="BB54" s="61">
        <f>-'5C1N_Delta'!AY54</f>
        <v>0</v>
      </c>
      <c r="BC54" s="61">
        <f>-'5C1O_Impact'!AY54</f>
        <v>0</v>
      </c>
      <c r="BD54" s="61">
        <f>-'5C1Q_Advantage'!AY54</f>
        <v>-10</v>
      </c>
      <c r="BE54" s="61">
        <f>-'5C1R_Iberville'!AY54</f>
        <v>-18</v>
      </c>
      <c r="BF54" s="61">
        <f>-'5C1S_LC Col Prep'!AY54</f>
        <v>0</v>
      </c>
      <c r="BG54" s="61">
        <f>-'5C1T_Northeast'!AY54</f>
        <v>0</v>
      </c>
      <c r="BH54" s="61">
        <f>-'5C1U_Acadiana Ren'!AY54</f>
        <v>0</v>
      </c>
      <c r="BI54" s="61">
        <f>-'5C1V_Laf Ren'!AY54</f>
        <v>0</v>
      </c>
      <c r="BJ54" s="61">
        <f>-'5C1W_Willow'!AY54</f>
        <v>0</v>
      </c>
      <c r="BK54" s="61">
        <f>-'5C1Y_GEO'!AY54</f>
        <v>0</v>
      </c>
      <c r="BL54" s="61">
        <f>-'5C1Z_Lincoln Prep'!AY54</f>
        <v>0</v>
      </c>
      <c r="BM54" s="61">
        <f>-'5C1AD_Greater'!AY54</f>
        <v>-140</v>
      </c>
      <c r="BN54" s="61">
        <f>-'5C1AE_Noble Minds'!AY54</f>
        <v>0</v>
      </c>
      <c r="BO54" s="61">
        <f>-'5C1AF_JCFA-Laf'!AY54</f>
        <v>0</v>
      </c>
      <c r="BP54" s="61">
        <f>-'5C1AG_Collegiate'!AY54</f>
        <v>0</v>
      </c>
      <c r="BQ54" s="61">
        <f>-'5C1AH_BRUP'!AY54</f>
        <v>0</v>
      </c>
      <c r="BR54" s="61">
        <f>-'5C1AI_Harmony'!$AY54</f>
        <v>0</v>
      </c>
      <c r="BS54" s="61">
        <f>-'5C1AJ_Athlos'!$AY54</f>
        <v>0</v>
      </c>
      <c r="BT54" s="61">
        <f>-'5C1AK_NxtGen'!$AY54</f>
        <v>0</v>
      </c>
      <c r="BU54" s="61">
        <f>-'5C1AL_Red River'!$AY54</f>
        <v>0</v>
      </c>
      <c r="BV54" s="61">
        <f>-'5C2_LAVCA'!AZ54</f>
        <v>-51</v>
      </c>
      <c r="BW54" s="61">
        <f>-'5C3_UnvView'!AZ54</f>
        <v>-60</v>
      </c>
      <c r="BX54" s="61">
        <f t="shared" si="9"/>
        <v>-267</v>
      </c>
      <c r="BY54" s="371">
        <f t="shared" si="10"/>
        <v>2480935</v>
      </c>
    </row>
    <row r="55" spans="1:77" s="7" customFormat="1" ht="15.75" customHeight="1" x14ac:dyDescent="0.2">
      <c r="A55" s="368">
        <v>49</v>
      </c>
      <c r="B55" s="369" t="s">
        <v>52</v>
      </c>
      <c r="C55" s="61">
        <f>'2_State Distrib and Adjs'!AZ55</f>
        <v>5998336</v>
      </c>
      <c r="D55" s="61">
        <f>-'5A3_OJJ'!S55</f>
        <v>-298</v>
      </c>
      <c r="E55" s="61"/>
      <c r="F55" s="61">
        <f>-'5C1A_Madison'!AS55</f>
        <v>0</v>
      </c>
      <c r="G55" s="61">
        <f>-'5C1B_DArbonne'!AS55</f>
        <v>0</v>
      </c>
      <c r="H55" s="61">
        <f>-'5C1C_Intl High'!AS55</f>
        <v>0</v>
      </c>
      <c r="I55" s="61">
        <f>-'5C1D_NOMMA'!AS55</f>
        <v>0</v>
      </c>
      <c r="J55" s="61">
        <f>-'5C1E_LFNO'!AS55</f>
        <v>0</v>
      </c>
      <c r="K55" s="61">
        <f>-'5C1F_L.C. Charter'!AS55</f>
        <v>0</v>
      </c>
      <c r="L55" s="61">
        <f>-'5C1G_JS Clark'!AS55</f>
        <v>-68798</v>
      </c>
      <c r="M55" s="61">
        <f>-'5C1H_Southwest'!AS55</f>
        <v>0</v>
      </c>
      <c r="N55" s="61">
        <f>-'5C1I_LA Key'!AS55</f>
        <v>-239</v>
      </c>
      <c r="O55" s="61">
        <f>-'5C1J_JCFA-East'!AS55</f>
        <v>0</v>
      </c>
      <c r="P55" s="61">
        <f>-'5C1M_GEO Mid'!AS55</f>
        <v>0</v>
      </c>
      <c r="Q55" s="61">
        <f>-'5C1N_Delta'!AS55</f>
        <v>0</v>
      </c>
      <c r="R55" s="61">
        <f>-'5C1O_Impact'!AS55</f>
        <v>0</v>
      </c>
      <c r="S55" s="61">
        <f>-'5C1Q_Advantage'!AS55</f>
        <v>0</v>
      </c>
      <c r="T55" s="61">
        <f>-'5C1R_Iberville'!AS55</f>
        <v>0</v>
      </c>
      <c r="U55" s="61">
        <f>-'5C1S_LC Col Prep'!AS55</f>
        <v>0</v>
      </c>
      <c r="V55" s="61">
        <f>-'5C1T_Northeast'!AS55</f>
        <v>0</v>
      </c>
      <c r="W55" s="61">
        <f>-'5C1U_Acadiana Ren'!AS55</f>
        <v>-1982</v>
      </c>
      <c r="X55" s="61">
        <f>-'5C1V_Laf Ren'!AS55</f>
        <v>-21266</v>
      </c>
      <c r="Y55" s="61">
        <f>-'5C1W_Willow'!AS55</f>
        <v>-9584</v>
      </c>
      <c r="Z55" s="61">
        <f>-'5C1Y_GEO'!AS55</f>
        <v>0</v>
      </c>
      <c r="AA55" s="61">
        <f>-'5C1Z_Lincoln Prep'!AS55</f>
        <v>0</v>
      </c>
      <c r="AB55" s="61">
        <f>-'5C1AD_Greater'!$AS55</f>
        <v>0</v>
      </c>
      <c r="AC55" s="61">
        <f>-'5C1AE_Noble Minds'!$AS55</f>
        <v>0</v>
      </c>
      <c r="AD55" s="61">
        <f>-'5C1AF_JCFA-Laf'!$AS55</f>
        <v>-129</v>
      </c>
      <c r="AE55" s="61">
        <f>-'5C1AG_Collegiate'!$AS55</f>
        <v>0</v>
      </c>
      <c r="AF55" s="61">
        <f>-'5C1AH_BRUP'!$AS55</f>
        <v>0</v>
      </c>
      <c r="AG55" s="61">
        <f>-'5C1AI_Harmony'!$AS55</f>
        <v>0</v>
      </c>
      <c r="AH55" s="61">
        <f>-'5C1AJ_Athlos'!$AS55</f>
        <v>0</v>
      </c>
      <c r="AI55" s="61">
        <f>-'5C1AK_NxtGen'!$AS55</f>
        <v>0</v>
      </c>
      <c r="AJ55" s="61">
        <f>-'5C1AL_Red River'!$AS55</f>
        <v>-285</v>
      </c>
      <c r="AK55" s="61">
        <f>-'5C2_LAVCA'!AT55</f>
        <v>-16558</v>
      </c>
      <c r="AL55" s="61">
        <f>-'5C3_UnvView'!AT55</f>
        <v>-16032</v>
      </c>
      <c r="AM55" s="370">
        <f t="shared" si="7"/>
        <v>-135171</v>
      </c>
      <c r="AN55" s="371">
        <f t="shared" si="8"/>
        <v>5863165</v>
      </c>
      <c r="AO55" s="61"/>
      <c r="AP55" s="61"/>
      <c r="AQ55" s="61">
        <f>-'5C1A_Madison'!AY55</f>
        <v>0</v>
      </c>
      <c r="AR55" s="61">
        <f>-'5C1B_DArbonne'!AY55</f>
        <v>0</v>
      </c>
      <c r="AS55" s="61">
        <f>-'5C1C_Intl High'!AY55</f>
        <v>0</v>
      </c>
      <c r="AT55" s="61">
        <f>-'5C1D_NOMMA'!AY55</f>
        <v>0</v>
      </c>
      <c r="AU55" s="61">
        <f>-'5C1E_LFNO'!AY55</f>
        <v>0</v>
      </c>
      <c r="AV55" s="61">
        <f>-'5C1F_L.C. Charter'!AY55</f>
        <v>0</v>
      </c>
      <c r="AW55" s="61">
        <f>-'5C1G_JS Clark'!AY55</f>
        <v>-182</v>
      </c>
      <c r="AX55" s="61">
        <f>-'5C1H_Southwest'!AY55</f>
        <v>0</v>
      </c>
      <c r="AY55" s="61">
        <f>-'5C1I_LA Key'!AY55</f>
        <v>0</v>
      </c>
      <c r="AZ55" s="61">
        <f>-'5C1J_JCFA-East'!AY55</f>
        <v>0</v>
      </c>
      <c r="BA55" s="61">
        <f>-'5C1M_GEO Mid'!AY55</f>
        <v>0</v>
      </c>
      <c r="BB55" s="61">
        <f>-'5C1N_Delta'!AY55</f>
        <v>0</v>
      </c>
      <c r="BC55" s="61">
        <f>-'5C1O_Impact'!AY55</f>
        <v>0</v>
      </c>
      <c r="BD55" s="61">
        <f>-'5C1Q_Advantage'!AY55</f>
        <v>0</v>
      </c>
      <c r="BE55" s="61">
        <f>-'5C1R_Iberville'!AY55</f>
        <v>0</v>
      </c>
      <c r="BF55" s="61">
        <f>-'5C1S_LC Col Prep'!AY55</f>
        <v>0</v>
      </c>
      <c r="BG55" s="61">
        <f>-'5C1T_Northeast'!AY55</f>
        <v>0</v>
      </c>
      <c r="BH55" s="61">
        <f>-'5C1U_Acadiana Ren'!AY55</f>
        <v>-17</v>
      </c>
      <c r="BI55" s="61">
        <f>-'5C1V_Laf Ren'!AY55</f>
        <v>-2</v>
      </c>
      <c r="BJ55" s="61">
        <f>-'5C1W_Willow'!AY55</f>
        <v>-34</v>
      </c>
      <c r="BK55" s="61">
        <f>-'5C1Y_GEO'!AY55</f>
        <v>0</v>
      </c>
      <c r="BL55" s="61">
        <f>-'5C1Z_Lincoln Prep'!AY55</f>
        <v>0</v>
      </c>
      <c r="BM55" s="61">
        <f>-'5C1AD_Greater'!AY55</f>
        <v>0</v>
      </c>
      <c r="BN55" s="61">
        <f>-'5C1AE_Noble Minds'!AY55</f>
        <v>0</v>
      </c>
      <c r="BO55" s="61">
        <f>-'5C1AF_JCFA-Laf'!AY55</f>
        <v>4</v>
      </c>
      <c r="BP55" s="61">
        <f>-'5C1AG_Collegiate'!AY55</f>
        <v>0</v>
      </c>
      <c r="BQ55" s="61">
        <f>-'5C1AH_BRUP'!AY55</f>
        <v>0</v>
      </c>
      <c r="BR55" s="61">
        <f>-'5C1AI_Harmony'!$AY55</f>
        <v>0</v>
      </c>
      <c r="BS55" s="61">
        <f>-'5C1AJ_Athlos'!$AY55</f>
        <v>0</v>
      </c>
      <c r="BT55" s="61">
        <f>-'5C1AK_NxtGen'!$AY55</f>
        <v>0</v>
      </c>
      <c r="BU55" s="61">
        <f>-'5C1AL_Red River'!$AY55</f>
        <v>-7</v>
      </c>
      <c r="BV55" s="61">
        <f>-'5C2_LAVCA'!AZ55</f>
        <v>-39</v>
      </c>
      <c r="BW55" s="61">
        <f>-'5C3_UnvView'!AZ55</f>
        <v>-45</v>
      </c>
      <c r="BX55" s="61">
        <f t="shared" si="9"/>
        <v>-322</v>
      </c>
      <c r="BY55" s="371">
        <f t="shared" si="10"/>
        <v>5862843</v>
      </c>
    </row>
    <row r="56" spans="1:77" s="7" customFormat="1" ht="15.75" customHeight="1" x14ac:dyDescent="0.2">
      <c r="A56" s="358">
        <v>50</v>
      </c>
      <c r="B56" s="359" t="s">
        <v>53</v>
      </c>
      <c r="C56" s="360">
        <f>'2_State Distrib and Adjs'!AZ56</f>
        <v>3542821</v>
      </c>
      <c r="D56" s="360">
        <f>-'5A3_OJJ'!S56</f>
        <v>0</v>
      </c>
      <c r="E56" s="360"/>
      <c r="F56" s="360">
        <f>-'5C1A_Madison'!AS56</f>
        <v>0</v>
      </c>
      <c r="G56" s="360">
        <f>-'5C1B_DArbonne'!AS56</f>
        <v>0</v>
      </c>
      <c r="H56" s="360">
        <f>-'5C1C_Intl High'!AS56</f>
        <v>0</v>
      </c>
      <c r="I56" s="360">
        <f>-'5C1D_NOMMA'!AS56</f>
        <v>0</v>
      </c>
      <c r="J56" s="360">
        <f>-'5C1E_LFNO'!AS56</f>
        <v>0</v>
      </c>
      <c r="K56" s="360">
        <f>-'5C1F_L.C. Charter'!AS56</f>
        <v>0</v>
      </c>
      <c r="L56" s="360">
        <f>-'5C1G_JS Clark'!AS56</f>
        <v>0</v>
      </c>
      <c r="M56" s="360">
        <f>-'5C1H_Southwest'!AS56</f>
        <v>0</v>
      </c>
      <c r="N56" s="360">
        <f>-'5C1I_LA Key'!AS56</f>
        <v>0</v>
      </c>
      <c r="O56" s="360">
        <f>-'5C1J_JCFA-East'!AS56</f>
        <v>0</v>
      </c>
      <c r="P56" s="360">
        <f>-'5C1M_GEO Mid'!AS56</f>
        <v>0</v>
      </c>
      <c r="Q56" s="360">
        <f>-'5C1N_Delta'!AS56</f>
        <v>0</v>
      </c>
      <c r="R56" s="360">
        <f>-'5C1O_Impact'!AS56</f>
        <v>0</v>
      </c>
      <c r="S56" s="360">
        <f>-'5C1Q_Advantage'!AS56</f>
        <v>0</v>
      </c>
      <c r="T56" s="360">
        <f>-'5C1R_Iberville'!AS56</f>
        <v>0</v>
      </c>
      <c r="U56" s="360">
        <f>-'5C1S_LC Col Prep'!AS56</f>
        <v>0</v>
      </c>
      <c r="V56" s="360">
        <f>-'5C1T_Northeast'!AS56</f>
        <v>0</v>
      </c>
      <c r="W56" s="360">
        <f>-'5C1U_Acadiana Ren'!AS56</f>
        <v>-21978</v>
      </c>
      <c r="X56" s="360">
        <f>-'5C1V_Laf Ren'!AS56</f>
        <v>-14201</v>
      </c>
      <c r="Y56" s="360">
        <f>-'5C1W_Willow'!AS56</f>
        <v>-1132</v>
      </c>
      <c r="Z56" s="360">
        <f>-'5C1Y_GEO'!AS56</f>
        <v>0</v>
      </c>
      <c r="AA56" s="360">
        <f>-'5C1Z_Lincoln Prep'!AS56</f>
        <v>0</v>
      </c>
      <c r="AB56" s="360">
        <f>-'5C1AD_Greater'!$AS56</f>
        <v>0</v>
      </c>
      <c r="AC56" s="360">
        <f>-'5C1AE_Noble Minds'!$AS56</f>
        <v>0</v>
      </c>
      <c r="AD56" s="360">
        <f>-'5C1AF_JCFA-Laf'!$AS56</f>
        <v>-1288</v>
      </c>
      <c r="AE56" s="360">
        <f>-'5C1AG_Collegiate'!$AS56</f>
        <v>0</v>
      </c>
      <c r="AF56" s="360">
        <f>-'5C1AH_BRUP'!$AS56</f>
        <v>0</v>
      </c>
      <c r="AG56" s="657">
        <f>-'5C1AI_Harmony'!$AS56</f>
        <v>0</v>
      </c>
      <c r="AH56" s="657">
        <f>-'5C1AJ_Athlos'!$AS56</f>
        <v>0</v>
      </c>
      <c r="AI56" s="892">
        <f>-'5C1AK_NxtGen'!$AS56</f>
        <v>0</v>
      </c>
      <c r="AJ56" s="892">
        <f>-'5C1AL_Red River'!$AS56</f>
        <v>0</v>
      </c>
      <c r="AK56" s="360">
        <f>-'5C2_LAVCA'!AT56</f>
        <v>-3595</v>
      </c>
      <c r="AL56" s="360">
        <f>-'5C3_UnvView'!AT56</f>
        <v>437</v>
      </c>
      <c r="AM56" s="361">
        <f t="shared" si="7"/>
        <v>-41757</v>
      </c>
      <c r="AN56" s="362">
        <f t="shared" si="8"/>
        <v>3501064</v>
      </c>
      <c r="AO56" s="360"/>
      <c r="AP56" s="360"/>
      <c r="AQ56" s="360">
        <f>-'5C1A_Madison'!AY56</f>
        <v>0</v>
      </c>
      <c r="AR56" s="360">
        <f>-'5C1B_DArbonne'!AY56</f>
        <v>0</v>
      </c>
      <c r="AS56" s="360">
        <f>-'5C1C_Intl High'!AY56</f>
        <v>0</v>
      </c>
      <c r="AT56" s="360">
        <f>-'5C1D_NOMMA'!AY56</f>
        <v>0</v>
      </c>
      <c r="AU56" s="360">
        <f>-'5C1E_LFNO'!AY56</f>
        <v>0</v>
      </c>
      <c r="AV56" s="360">
        <f>-'5C1F_L.C. Charter'!AY56</f>
        <v>0</v>
      </c>
      <c r="AW56" s="360">
        <f>-'5C1G_JS Clark'!AY56</f>
        <v>0</v>
      </c>
      <c r="AX56" s="360">
        <f>-'5C1H_Southwest'!AY56</f>
        <v>0</v>
      </c>
      <c r="AY56" s="360">
        <f>-'5C1I_LA Key'!AY56</f>
        <v>0</v>
      </c>
      <c r="AZ56" s="360">
        <f>-'5C1J_JCFA-East'!AY56</f>
        <v>0</v>
      </c>
      <c r="BA56" s="360">
        <f>-'5C1M_GEO Mid'!AY56</f>
        <v>0</v>
      </c>
      <c r="BB56" s="360">
        <f>-'5C1N_Delta'!AY56</f>
        <v>0</v>
      </c>
      <c r="BC56" s="360">
        <f>-'5C1O_Impact'!AY56</f>
        <v>0</v>
      </c>
      <c r="BD56" s="360">
        <f>-'5C1Q_Advantage'!AY56</f>
        <v>0</v>
      </c>
      <c r="BE56" s="360">
        <f>-'5C1R_Iberville'!AY56</f>
        <v>0</v>
      </c>
      <c r="BF56" s="360">
        <f>-'5C1S_LC Col Prep'!AY56</f>
        <v>0</v>
      </c>
      <c r="BG56" s="360">
        <f>-'5C1T_Northeast'!AY56</f>
        <v>0</v>
      </c>
      <c r="BH56" s="360">
        <f>-'5C1U_Acadiana Ren'!AY56</f>
        <v>-87</v>
      </c>
      <c r="BI56" s="360">
        <f>-'5C1V_Laf Ren'!AY56</f>
        <v>-5</v>
      </c>
      <c r="BJ56" s="360">
        <f>-'5C1W_Willow'!AY56</f>
        <v>89</v>
      </c>
      <c r="BK56" s="360">
        <f>-'5C1Y_GEO'!AY56</f>
        <v>0</v>
      </c>
      <c r="BL56" s="360">
        <f>-'5C1Z_Lincoln Prep'!AY56</f>
        <v>0</v>
      </c>
      <c r="BM56" s="360">
        <f>-'5C1AD_Greater'!AY56</f>
        <v>0</v>
      </c>
      <c r="BN56" s="360">
        <f>-'5C1AE_Noble Minds'!AY56</f>
        <v>0</v>
      </c>
      <c r="BO56" s="360">
        <f>-'5C1AF_JCFA-Laf'!AY56</f>
        <v>-10</v>
      </c>
      <c r="BP56" s="360">
        <f>-'5C1AG_Collegiate'!AY56</f>
        <v>0</v>
      </c>
      <c r="BQ56" s="360">
        <f>-'5C1AH_BRUP'!AY56</f>
        <v>0</v>
      </c>
      <c r="BR56" s="657">
        <f>-'5C1AI_Harmony'!$AY56</f>
        <v>0</v>
      </c>
      <c r="BS56" s="657">
        <f>-'5C1AJ_Athlos'!$AY56</f>
        <v>0</v>
      </c>
      <c r="BT56" s="892">
        <f>-'5C1AK_NxtGen'!$AY56</f>
        <v>0</v>
      </c>
      <c r="BU56" s="892">
        <f>-'5C1AL_Red River'!$AY56</f>
        <v>0</v>
      </c>
      <c r="BV56" s="360">
        <f>-'5C2_LAVCA'!AZ56</f>
        <v>54</v>
      </c>
      <c r="BW56" s="360">
        <f>-'5C3_UnvView'!AZ56</f>
        <v>52</v>
      </c>
      <c r="BX56" s="360">
        <f t="shared" si="9"/>
        <v>93</v>
      </c>
      <c r="BY56" s="362">
        <f t="shared" si="10"/>
        <v>3501157</v>
      </c>
    </row>
    <row r="57" spans="1:77" s="7" customFormat="1" ht="15.75" customHeight="1" x14ac:dyDescent="0.2">
      <c r="A57" s="368">
        <v>51</v>
      </c>
      <c r="B57" s="369" t="s">
        <v>54</v>
      </c>
      <c r="C57" s="61">
        <f>'2_State Distrib and Adjs'!AZ57</f>
        <v>4111382</v>
      </c>
      <c r="D57" s="61">
        <f>-'5A3_OJJ'!S57</f>
        <v>0</v>
      </c>
      <c r="E57" s="61"/>
      <c r="F57" s="61">
        <f>-'5C1A_Madison'!AS57</f>
        <v>0</v>
      </c>
      <c r="G57" s="61">
        <f>-'5C1B_DArbonne'!AS57</f>
        <v>0</v>
      </c>
      <c r="H57" s="61">
        <f>-'5C1C_Intl High'!AS57</f>
        <v>0</v>
      </c>
      <c r="I57" s="61">
        <f>-'5C1D_NOMMA'!AS57</f>
        <v>0</v>
      </c>
      <c r="J57" s="61">
        <f>-'5C1E_LFNO'!AS57</f>
        <v>0</v>
      </c>
      <c r="K57" s="61">
        <f>-'5C1F_L.C. Charter'!AS57</f>
        <v>0</v>
      </c>
      <c r="L57" s="61">
        <f>-'5C1G_JS Clark'!AS57</f>
        <v>0</v>
      </c>
      <c r="M57" s="61">
        <f>-'5C1H_Southwest'!AS57</f>
        <v>0</v>
      </c>
      <c r="N57" s="61">
        <f>-'5C1I_LA Key'!AS57</f>
        <v>0</v>
      </c>
      <c r="O57" s="61">
        <f>-'5C1J_JCFA-East'!AS57</f>
        <v>0</v>
      </c>
      <c r="P57" s="61">
        <f>-'5C1M_GEO Mid'!AS57</f>
        <v>0</v>
      </c>
      <c r="Q57" s="61">
        <f>-'5C1N_Delta'!AS57</f>
        <v>0</v>
      </c>
      <c r="R57" s="61">
        <f>-'5C1O_Impact'!AS57</f>
        <v>0</v>
      </c>
      <c r="S57" s="61">
        <f>-'5C1Q_Advantage'!AS57</f>
        <v>0</v>
      </c>
      <c r="T57" s="61">
        <f>-'5C1R_Iberville'!AS57</f>
        <v>0</v>
      </c>
      <c r="U57" s="61">
        <f>-'5C1S_LC Col Prep'!AS57</f>
        <v>0</v>
      </c>
      <c r="V57" s="61">
        <f>-'5C1T_Northeast'!AS57</f>
        <v>0</v>
      </c>
      <c r="W57" s="61">
        <f>-'5C1U_Acadiana Ren'!AS57</f>
        <v>0</v>
      </c>
      <c r="X57" s="61">
        <f>-'5C1V_Laf Ren'!AS57</f>
        <v>0</v>
      </c>
      <c r="Y57" s="61">
        <f>-'5C1W_Willow'!AS57</f>
        <v>0</v>
      </c>
      <c r="Z57" s="61">
        <f>-'5C1Y_GEO'!AS57</f>
        <v>0</v>
      </c>
      <c r="AA57" s="61">
        <f>-'5C1Z_Lincoln Prep'!AS57</f>
        <v>0</v>
      </c>
      <c r="AB57" s="61">
        <f>-'5C1AD_Greater'!$AS57</f>
        <v>0</v>
      </c>
      <c r="AC57" s="61">
        <f>-'5C1AE_Noble Minds'!$AS57</f>
        <v>0</v>
      </c>
      <c r="AD57" s="61">
        <f>-'5C1AF_JCFA-Laf'!$AS57</f>
        <v>746</v>
      </c>
      <c r="AE57" s="61">
        <f>-'5C1AG_Collegiate'!$AS57</f>
        <v>0</v>
      </c>
      <c r="AF57" s="61">
        <f>-'5C1AH_BRUP'!$AS57</f>
        <v>0</v>
      </c>
      <c r="AG57" s="61">
        <f>-'5C1AI_Harmony'!$AS57</f>
        <v>0</v>
      </c>
      <c r="AH57" s="61">
        <f>-'5C1AJ_Athlos'!$AS57</f>
        <v>0</v>
      </c>
      <c r="AI57" s="61">
        <f>-'5C1AK_NxtGen'!$AS57</f>
        <v>0</v>
      </c>
      <c r="AJ57" s="61">
        <f>-'5C1AL_Red River'!$AS57</f>
        <v>0</v>
      </c>
      <c r="AK57" s="61">
        <f>-'5C2_LAVCA'!AT57</f>
        <v>-808</v>
      </c>
      <c r="AL57" s="61">
        <f>-'5C3_UnvView'!AT57</f>
        <v>-9181</v>
      </c>
      <c r="AM57" s="370">
        <f t="shared" si="7"/>
        <v>-9243</v>
      </c>
      <c r="AN57" s="371">
        <f t="shared" si="8"/>
        <v>4102139</v>
      </c>
      <c r="AO57" s="61"/>
      <c r="AP57" s="61"/>
      <c r="AQ57" s="61">
        <f>-'5C1A_Madison'!AY57</f>
        <v>0</v>
      </c>
      <c r="AR57" s="61">
        <f>-'5C1B_DArbonne'!AY57</f>
        <v>0</v>
      </c>
      <c r="AS57" s="61">
        <f>-'5C1C_Intl High'!AY57</f>
        <v>0</v>
      </c>
      <c r="AT57" s="61">
        <f>-'5C1D_NOMMA'!AY57</f>
        <v>0</v>
      </c>
      <c r="AU57" s="61">
        <f>-'5C1E_LFNO'!AY57</f>
        <v>0</v>
      </c>
      <c r="AV57" s="61">
        <f>-'5C1F_L.C. Charter'!AY57</f>
        <v>0</v>
      </c>
      <c r="AW57" s="61">
        <f>-'5C1G_JS Clark'!AY57</f>
        <v>0</v>
      </c>
      <c r="AX57" s="61">
        <f>-'5C1H_Southwest'!AY57</f>
        <v>0</v>
      </c>
      <c r="AY57" s="61">
        <f>-'5C1I_LA Key'!AY57</f>
        <v>0</v>
      </c>
      <c r="AZ57" s="61">
        <f>-'5C1J_JCFA-East'!AY57</f>
        <v>0</v>
      </c>
      <c r="BA57" s="61">
        <f>-'5C1M_GEO Mid'!AY57</f>
        <v>0</v>
      </c>
      <c r="BB57" s="61">
        <f>-'5C1N_Delta'!AY57</f>
        <v>0</v>
      </c>
      <c r="BC57" s="61">
        <f>-'5C1O_Impact'!AY57</f>
        <v>0</v>
      </c>
      <c r="BD57" s="61">
        <f>-'5C1Q_Advantage'!AY57</f>
        <v>0</v>
      </c>
      <c r="BE57" s="61">
        <f>-'5C1R_Iberville'!AY57</f>
        <v>0</v>
      </c>
      <c r="BF57" s="61">
        <f>-'5C1S_LC Col Prep'!AY57</f>
        <v>0</v>
      </c>
      <c r="BG57" s="61">
        <f>-'5C1T_Northeast'!AY57</f>
        <v>0</v>
      </c>
      <c r="BH57" s="61">
        <f>-'5C1U_Acadiana Ren'!AY57</f>
        <v>0</v>
      </c>
      <c r="BI57" s="61">
        <f>-'5C1V_Laf Ren'!AY57</f>
        <v>0</v>
      </c>
      <c r="BJ57" s="61">
        <f>-'5C1W_Willow'!AY57</f>
        <v>0</v>
      </c>
      <c r="BK57" s="61">
        <f>-'5C1Y_GEO'!AY57</f>
        <v>0</v>
      </c>
      <c r="BL57" s="61">
        <f>-'5C1Z_Lincoln Prep'!AY57</f>
        <v>0</v>
      </c>
      <c r="BM57" s="61">
        <f>-'5C1AD_Greater'!AY57</f>
        <v>0</v>
      </c>
      <c r="BN57" s="61">
        <f>-'5C1AE_Noble Minds'!AY57</f>
        <v>0</v>
      </c>
      <c r="BO57" s="61">
        <f>-'5C1AF_JCFA-Laf'!AY57</f>
        <v>11</v>
      </c>
      <c r="BP57" s="61">
        <f>-'5C1AG_Collegiate'!AY57</f>
        <v>0</v>
      </c>
      <c r="BQ57" s="61">
        <f>-'5C1AH_BRUP'!AY57</f>
        <v>0</v>
      </c>
      <c r="BR57" s="61">
        <f>-'5C1AI_Harmony'!$AY57</f>
        <v>0</v>
      </c>
      <c r="BS57" s="61">
        <f>-'5C1AJ_Athlos'!$AY57</f>
        <v>0</v>
      </c>
      <c r="BT57" s="61">
        <f>-'5C1AK_NxtGen'!$AY57</f>
        <v>0</v>
      </c>
      <c r="BU57" s="61">
        <f>-'5C1AL_Red River'!$AY57</f>
        <v>0</v>
      </c>
      <c r="BV57" s="61">
        <f>-'5C2_LAVCA'!AZ57</f>
        <v>39</v>
      </c>
      <c r="BW57" s="61">
        <f>-'5C3_UnvView'!AZ57</f>
        <v>-33</v>
      </c>
      <c r="BX57" s="61">
        <f t="shared" si="9"/>
        <v>17</v>
      </c>
      <c r="BY57" s="371">
        <f t="shared" si="10"/>
        <v>4102156</v>
      </c>
    </row>
    <row r="58" spans="1:77" s="7" customFormat="1" ht="15.75" customHeight="1" x14ac:dyDescent="0.2">
      <c r="A58" s="368">
        <v>52</v>
      </c>
      <c r="B58" s="369" t="s">
        <v>55</v>
      </c>
      <c r="C58" s="61">
        <f>'2_State Distrib and Adjs'!AZ58</f>
        <v>19170769</v>
      </c>
      <c r="D58" s="61">
        <f>-'5A3_OJJ'!S58</f>
        <v>-854</v>
      </c>
      <c r="E58" s="61"/>
      <c r="F58" s="61">
        <f>-'5C1A_Madison'!AS58</f>
        <v>0</v>
      </c>
      <c r="G58" s="61">
        <f>-'5C1B_DArbonne'!AS58</f>
        <v>0</v>
      </c>
      <c r="H58" s="61">
        <f>-'5C1C_Intl High'!AS58</f>
        <v>-490</v>
      </c>
      <c r="I58" s="61">
        <f>-'5C1D_NOMMA'!AS58</f>
        <v>-842</v>
      </c>
      <c r="J58" s="61">
        <f>-'5C1E_LFNO'!AS58</f>
        <v>-5020</v>
      </c>
      <c r="K58" s="61">
        <f>-'5C1F_L.C. Charter'!AS58</f>
        <v>0</v>
      </c>
      <c r="L58" s="61">
        <f>-'5C1G_JS Clark'!AS58</f>
        <v>0</v>
      </c>
      <c r="M58" s="61">
        <f>-'5C1H_Southwest'!AS58</f>
        <v>0</v>
      </c>
      <c r="N58" s="61">
        <f>-'5C1I_LA Key'!AS58</f>
        <v>-500</v>
      </c>
      <c r="O58" s="61">
        <f>-'5C1J_JCFA-East'!AS58</f>
        <v>-1760</v>
      </c>
      <c r="P58" s="61">
        <f>-'5C1M_GEO Mid'!AS58</f>
        <v>0</v>
      </c>
      <c r="Q58" s="61">
        <f>-'5C1N_Delta'!AS58</f>
        <v>0</v>
      </c>
      <c r="R58" s="61">
        <f>-'5C1O_Impact'!AS58</f>
        <v>0</v>
      </c>
      <c r="S58" s="61">
        <f>-'5C1Q_Advantage'!AS58</f>
        <v>0</v>
      </c>
      <c r="T58" s="61">
        <f>-'5C1R_Iberville'!AS58</f>
        <v>0</v>
      </c>
      <c r="U58" s="61">
        <f>-'5C1S_LC Col Prep'!AS58</f>
        <v>0</v>
      </c>
      <c r="V58" s="61">
        <f>-'5C1T_Northeast'!AS58</f>
        <v>0</v>
      </c>
      <c r="W58" s="61">
        <f>-'5C1U_Acadiana Ren'!AS58</f>
        <v>0</v>
      </c>
      <c r="X58" s="61">
        <f>-'5C1V_Laf Ren'!AS58</f>
        <v>0</v>
      </c>
      <c r="Y58" s="61">
        <f>-'5C1W_Willow'!AS58</f>
        <v>0</v>
      </c>
      <c r="Z58" s="61">
        <f>-'5C1Y_GEO'!AS58</f>
        <v>0</v>
      </c>
      <c r="AA58" s="61">
        <f>-'5C1Z_Lincoln Prep'!AS58</f>
        <v>0</v>
      </c>
      <c r="AB58" s="61">
        <f>-'5C1AD_Greater'!$AS58</f>
        <v>0</v>
      </c>
      <c r="AC58" s="61">
        <f>-'5C1AE_Noble Minds'!$AS58</f>
        <v>0</v>
      </c>
      <c r="AD58" s="61">
        <f>-'5C1AF_JCFA-Laf'!$AS58</f>
        <v>0</v>
      </c>
      <c r="AE58" s="61">
        <f>-'5C1AG_Collegiate'!$AS58</f>
        <v>0</v>
      </c>
      <c r="AF58" s="61">
        <f>-'5C1AH_BRUP'!$AS58</f>
        <v>0</v>
      </c>
      <c r="AG58" s="61">
        <f>-'5C1AI_Harmony'!$AS58</f>
        <v>0</v>
      </c>
      <c r="AH58" s="61">
        <f>-'5C1AJ_Athlos'!$AS58</f>
        <v>0</v>
      </c>
      <c r="AI58" s="61">
        <f>-'5C1AK_NxtGen'!$AS58</f>
        <v>0</v>
      </c>
      <c r="AJ58" s="61">
        <f>-'5C1AL_Red River'!$AS58</f>
        <v>0</v>
      </c>
      <c r="AK58" s="61">
        <f>-'5C2_LAVCA'!AT58</f>
        <v>-58889</v>
      </c>
      <c r="AL58" s="61">
        <f>-'5C3_UnvView'!AT58</f>
        <v>-189173</v>
      </c>
      <c r="AM58" s="370">
        <f t="shared" si="7"/>
        <v>-257528</v>
      </c>
      <c r="AN58" s="371">
        <f t="shared" si="8"/>
        <v>18913241</v>
      </c>
      <c r="AO58" s="61"/>
      <c r="AP58" s="61"/>
      <c r="AQ58" s="61">
        <f>-'5C1A_Madison'!AY58</f>
        <v>0</v>
      </c>
      <c r="AR58" s="61">
        <f>-'5C1B_DArbonne'!AY58</f>
        <v>0</v>
      </c>
      <c r="AS58" s="61">
        <f>-'5C1C_Intl High'!AY58</f>
        <v>16</v>
      </c>
      <c r="AT58" s="61">
        <f>-'5C1D_NOMMA'!AY58</f>
        <v>-7</v>
      </c>
      <c r="AU58" s="61">
        <f>-'5C1E_LFNO'!AY58</f>
        <v>-15</v>
      </c>
      <c r="AV58" s="61">
        <f>-'5C1F_L.C. Charter'!AY58</f>
        <v>0</v>
      </c>
      <c r="AW58" s="61">
        <f>-'5C1G_JS Clark'!AY58</f>
        <v>0</v>
      </c>
      <c r="AX58" s="61">
        <f>-'5C1H_Southwest'!AY58</f>
        <v>0</v>
      </c>
      <c r="AY58" s="61">
        <f>-'5C1I_LA Key'!AY58</f>
        <v>0</v>
      </c>
      <c r="AZ58" s="61">
        <f>-'5C1J_JCFA-East'!AY58</f>
        <v>-7</v>
      </c>
      <c r="BA58" s="61">
        <f>-'5C1M_GEO Mid'!AY58</f>
        <v>0</v>
      </c>
      <c r="BB58" s="61">
        <f>-'5C1N_Delta'!AY58</f>
        <v>0</v>
      </c>
      <c r="BC58" s="61">
        <f>-'5C1O_Impact'!AY58</f>
        <v>0</v>
      </c>
      <c r="BD58" s="61">
        <f>-'5C1Q_Advantage'!AY58</f>
        <v>0</v>
      </c>
      <c r="BE58" s="61">
        <f>-'5C1R_Iberville'!AY58</f>
        <v>0</v>
      </c>
      <c r="BF58" s="61">
        <f>-'5C1S_LC Col Prep'!AY58</f>
        <v>0</v>
      </c>
      <c r="BG58" s="61">
        <f>-'5C1T_Northeast'!AY58</f>
        <v>0</v>
      </c>
      <c r="BH58" s="61">
        <f>-'5C1U_Acadiana Ren'!AY58</f>
        <v>0</v>
      </c>
      <c r="BI58" s="61">
        <f>-'5C1V_Laf Ren'!AY58</f>
        <v>0</v>
      </c>
      <c r="BJ58" s="61">
        <f>-'5C1W_Willow'!AY58</f>
        <v>0</v>
      </c>
      <c r="BK58" s="61">
        <f>-'5C1Y_GEO'!AY58</f>
        <v>0</v>
      </c>
      <c r="BL58" s="61">
        <f>-'5C1Z_Lincoln Prep'!AY58</f>
        <v>0</v>
      </c>
      <c r="BM58" s="61">
        <f>-'5C1AD_Greater'!AY58</f>
        <v>0</v>
      </c>
      <c r="BN58" s="61">
        <f>-'5C1AE_Noble Minds'!AY58</f>
        <v>0</v>
      </c>
      <c r="BO58" s="61">
        <f>-'5C1AF_JCFA-Laf'!AY58</f>
        <v>0</v>
      </c>
      <c r="BP58" s="61">
        <f>-'5C1AG_Collegiate'!AY58</f>
        <v>0</v>
      </c>
      <c r="BQ58" s="61">
        <f>-'5C1AH_BRUP'!AY58</f>
        <v>0</v>
      </c>
      <c r="BR58" s="61">
        <f>-'5C1AI_Harmony'!$AY58</f>
        <v>0</v>
      </c>
      <c r="BS58" s="61">
        <f>-'5C1AJ_Athlos'!$AY58</f>
        <v>0</v>
      </c>
      <c r="BT58" s="61">
        <f>-'5C1AK_NxtGen'!$AY58</f>
        <v>0</v>
      </c>
      <c r="BU58" s="61">
        <f>-'5C1AL_Red River'!$AY58</f>
        <v>0</v>
      </c>
      <c r="BV58" s="61">
        <f>-'5C2_LAVCA'!AZ58</f>
        <v>-121</v>
      </c>
      <c r="BW58" s="61">
        <f>-'5C3_UnvView'!AZ58</f>
        <v>-780</v>
      </c>
      <c r="BX58" s="61">
        <f t="shared" si="9"/>
        <v>-914</v>
      </c>
      <c r="BY58" s="371">
        <f t="shared" si="10"/>
        <v>18912327</v>
      </c>
    </row>
    <row r="59" spans="1:77" s="7" customFormat="1" ht="15.75" customHeight="1" x14ac:dyDescent="0.2">
      <c r="A59" s="368">
        <v>53</v>
      </c>
      <c r="B59" s="369" t="s">
        <v>56</v>
      </c>
      <c r="C59" s="61">
        <f>'2_State Distrib and Adjs'!AZ59</f>
        <v>9581714</v>
      </c>
      <c r="D59" s="61">
        <f>-'5A3_OJJ'!S59</f>
        <v>-234</v>
      </c>
      <c r="E59" s="61"/>
      <c r="F59" s="61">
        <f>-'5C1A_Madison'!AS59</f>
        <v>-223</v>
      </c>
      <c r="G59" s="61">
        <f>-'5C1B_DArbonne'!AS59</f>
        <v>0</v>
      </c>
      <c r="H59" s="61">
        <f>-'5C1C_Intl High'!AS59</f>
        <v>0</v>
      </c>
      <c r="I59" s="61">
        <f>-'5C1D_NOMMA'!AS59</f>
        <v>-336</v>
      </c>
      <c r="J59" s="61">
        <f>-'5C1E_LFNO'!AS59</f>
        <v>0</v>
      </c>
      <c r="K59" s="61">
        <f>-'5C1F_L.C. Charter'!AS59</f>
        <v>0</v>
      </c>
      <c r="L59" s="61">
        <f>-'5C1G_JS Clark'!AS59</f>
        <v>0</v>
      </c>
      <c r="M59" s="61">
        <f>-'5C1H_Southwest'!AS59</f>
        <v>0</v>
      </c>
      <c r="N59" s="61">
        <f>-'5C1I_LA Key'!AS59</f>
        <v>45</v>
      </c>
      <c r="O59" s="61">
        <f>-'5C1J_JCFA-East'!AS59</f>
        <v>0</v>
      </c>
      <c r="P59" s="61">
        <f>-'5C1M_GEO Mid'!AS59</f>
        <v>0</v>
      </c>
      <c r="Q59" s="61">
        <f>-'5C1N_Delta'!AS59</f>
        <v>0</v>
      </c>
      <c r="R59" s="61">
        <f>-'5C1O_Impact'!AS59</f>
        <v>0</v>
      </c>
      <c r="S59" s="61">
        <f>-'5C1Q_Advantage'!AS59</f>
        <v>0</v>
      </c>
      <c r="T59" s="61">
        <f>-'5C1R_Iberville'!AS59</f>
        <v>0</v>
      </c>
      <c r="U59" s="61">
        <f>-'5C1S_LC Col Prep'!AS59</f>
        <v>0</v>
      </c>
      <c r="V59" s="61">
        <f>-'5C1T_Northeast'!AS59</f>
        <v>0</v>
      </c>
      <c r="W59" s="61">
        <f>-'5C1U_Acadiana Ren'!AS59</f>
        <v>0</v>
      </c>
      <c r="X59" s="61">
        <f>-'5C1V_Laf Ren'!AS59</f>
        <v>0</v>
      </c>
      <c r="Y59" s="61">
        <f>-'5C1W_Willow'!AS59</f>
        <v>0</v>
      </c>
      <c r="Z59" s="61">
        <f>-'5C1Y_GEO'!AS59</f>
        <v>0</v>
      </c>
      <c r="AA59" s="61">
        <f>-'5C1Z_Lincoln Prep'!AS59</f>
        <v>0</v>
      </c>
      <c r="AB59" s="61">
        <f>-'5C1AD_Greater'!$AS59</f>
        <v>0</v>
      </c>
      <c r="AC59" s="61">
        <f>-'5C1AE_Noble Minds'!$AS59</f>
        <v>-336</v>
      </c>
      <c r="AD59" s="61">
        <f>-'5C1AF_JCFA-Laf'!$AS59</f>
        <v>0</v>
      </c>
      <c r="AE59" s="61">
        <f>-'5C1AG_Collegiate'!$AS59</f>
        <v>0</v>
      </c>
      <c r="AF59" s="61">
        <f>-'5C1AH_BRUP'!$AS59</f>
        <v>0</v>
      </c>
      <c r="AG59" s="61">
        <f>-'5C1AI_Harmony'!$AS59</f>
        <v>0</v>
      </c>
      <c r="AH59" s="61">
        <f>-'5C1AJ_Athlos'!$AS59</f>
        <v>0</v>
      </c>
      <c r="AI59" s="61">
        <f>-'5C1AK_NxtGen'!$AS59</f>
        <v>0</v>
      </c>
      <c r="AJ59" s="61">
        <f>-'5C1AL_Red River'!$AS59</f>
        <v>0</v>
      </c>
      <c r="AK59" s="61">
        <f>-'5C2_LAVCA'!AT59</f>
        <v>-15647</v>
      </c>
      <c r="AL59" s="61">
        <f>-'5C3_UnvView'!AT59</f>
        <v>-52438</v>
      </c>
      <c r="AM59" s="370">
        <f t="shared" si="7"/>
        <v>-69169</v>
      </c>
      <c r="AN59" s="371">
        <f t="shared" si="8"/>
        <v>9512545</v>
      </c>
      <c r="AO59" s="61"/>
      <c r="AP59" s="61"/>
      <c r="AQ59" s="61">
        <f>-'5C1A_Madison'!AY59</f>
        <v>0</v>
      </c>
      <c r="AR59" s="61">
        <f>-'5C1B_DArbonne'!AY59</f>
        <v>0</v>
      </c>
      <c r="AS59" s="61">
        <f>-'5C1C_Intl High'!AY59</f>
        <v>0</v>
      </c>
      <c r="AT59" s="61">
        <f>-'5C1D_NOMMA'!AY59</f>
        <v>-3</v>
      </c>
      <c r="AU59" s="61">
        <f>-'5C1E_LFNO'!AY59</f>
        <v>0</v>
      </c>
      <c r="AV59" s="61">
        <f>-'5C1F_L.C. Charter'!AY59</f>
        <v>0</v>
      </c>
      <c r="AW59" s="61">
        <f>-'5C1G_JS Clark'!AY59</f>
        <v>0</v>
      </c>
      <c r="AX59" s="61">
        <f>-'5C1H_Southwest'!AY59</f>
        <v>0</v>
      </c>
      <c r="AY59" s="61">
        <f>-'5C1I_LA Key'!AY59</f>
        <v>7</v>
      </c>
      <c r="AZ59" s="61">
        <f>-'5C1J_JCFA-East'!AY59</f>
        <v>0</v>
      </c>
      <c r="BA59" s="61">
        <f>-'5C1M_GEO Mid'!AY59</f>
        <v>0</v>
      </c>
      <c r="BB59" s="61">
        <f>-'5C1N_Delta'!AY59</f>
        <v>0</v>
      </c>
      <c r="BC59" s="61">
        <f>-'5C1O_Impact'!AY59</f>
        <v>0</v>
      </c>
      <c r="BD59" s="61">
        <f>-'5C1Q_Advantage'!AY59</f>
        <v>0</v>
      </c>
      <c r="BE59" s="61">
        <f>-'5C1R_Iberville'!AY59</f>
        <v>0</v>
      </c>
      <c r="BF59" s="61">
        <f>-'5C1S_LC Col Prep'!AY59</f>
        <v>0</v>
      </c>
      <c r="BG59" s="61">
        <f>-'5C1T_Northeast'!AY59</f>
        <v>0</v>
      </c>
      <c r="BH59" s="61">
        <f>-'5C1U_Acadiana Ren'!AY59</f>
        <v>0</v>
      </c>
      <c r="BI59" s="61">
        <f>-'5C1V_Laf Ren'!AY59</f>
        <v>0</v>
      </c>
      <c r="BJ59" s="61">
        <f>-'5C1W_Willow'!AY59</f>
        <v>0</v>
      </c>
      <c r="BK59" s="61">
        <f>-'5C1Y_GEO'!AY59</f>
        <v>0</v>
      </c>
      <c r="BL59" s="61">
        <f>-'5C1Z_Lincoln Prep'!AY59</f>
        <v>0</v>
      </c>
      <c r="BM59" s="61">
        <f>-'5C1AD_Greater'!AY59</f>
        <v>0</v>
      </c>
      <c r="BN59" s="61">
        <f>-'5C1AE_Noble Minds'!AY59</f>
        <v>-3</v>
      </c>
      <c r="BO59" s="61">
        <f>-'5C1AF_JCFA-Laf'!AY59</f>
        <v>0</v>
      </c>
      <c r="BP59" s="61">
        <f>-'5C1AG_Collegiate'!AY59</f>
        <v>0</v>
      </c>
      <c r="BQ59" s="61">
        <f>-'5C1AH_BRUP'!AY59</f>
        <v>0</v>
      </c>
      <c r="BR59" s="61">
        <f>-'5C1AI_Harmony'!$AY59</f>
        <v>0</v>
      </c>
      <c r="BS59" s="61">
        <f>-'5C1AJ_Athlos'!$AY59</f>
        <v>0</v>
      </c>
      <c r="BT59" s="61">
        <f>-'5C1AK_NxtGen'!$AY59</f>
        <v>0</v>
      </c>
      <c r="BU59" s="61">
        <f>-'5C1AL_Red River'!$AY59</f>
        <v>0</v>
      </c>
      <c r="BV59" s="61">
        <f>-'5C2_LAVCA'!AZ59</f>
        <v>-6</v>
      </c>
      <c r="BW59" s="61">
        <f>-'5C3_UnvView'!AZ59</f>
        <v>-185</v>
      </c>
      <c r="BX59" s="61">
        <f t="shared" si="9"/>
        <v>-190</v>
      </c>
      <c r="BY59" s="371">
        <f t="shared" si="10"/>
        <v>9512355</v>
      </c>
    </row>
    <row r="60" spans="1:77" s="7" customFormat="1" ht="15.75" customHeight="1" x14ac:dyDescent="0.2">
      <c r="A60" s="368">
        <v>54</v>
      </c>
      <c r="B60" s="369" t="s">
        <v>57</v>
      </c>
      <c r="C60" s="61">
        <f>'2_State Distrib and Adjs'!AZ60</f>
        <v>208773</v>
      </c>
      <c r="D60" s="61">
        <f>-'5A3_OJJ'!S60</f>
        <v>0</v>
      </c>
      <c r="E60" s="61"/>
      <c r="F60" s="61">
        <f>-'5C1A_Madison'!AS60</f>
        <v>0</v>
      </c>
      <c r="G60" s="61">
        <f>-'5C1B_DArbonne'!AS60</f>
        <v>0</v>
      </c>
      <c r="H60" s="61">
        <f>-'5C1C_Intl High'!AS60</f>
        <v>0</v>
      </c>
      <c r="I60" s="61">
        <f>-'5C1D_NOMMA'!AS60</f>
        <v>0</v>
      </c>
      <c r="J60" s="61">
        <f>-'5C1E_LFNO'!AS60</f>
        <v>0</v>
      </c>
      <c r="K60" s="61">
        <f>-'5C1F_L.C. Charter'!AS60</f>
        <v>0</v>
      </c>
      <c r="L60" s="61">
        <f>-'5C1G_JS Clark'!AS60</f>
        <v>0</v>
      </c>
      <c r="M60" s="61">
        <f>-'5C1H_Southwest'!AS60</f>
        <v>0</v>
      </c>
      <c r="N60" s="61">
        <f>-'5C1I_LA Key'!AS60</f>
        <v>0</v>
      </c>
      <c r="O60" s="61">
        <f>-'5C1J_JCFA-East'!AS60</f>
        <v>0</v>
      </c>
      <c r="P60" s="61">
        <f>-'5C1M_GEO Mid'!AS60</f>
        <v>0</v>
      </c>
      <c r="Q60" s="61">
        <f>-'5C1N_Delta'!AS60</f>
        <v>-29181</v>
      </c>
      <c r="R60" s="61">
        <f>-'5C1O_Impact'!AS60</f>
        <v>0</v>
      </c>
      <c r="S60" s="61">
        <f>-'5C1Q_Advantage'!AS60</f>
        <v>0</v>
      </c>
      <c r="T60" s="61">
        <f>-'5C1R_Iberville'!AS60</f>
        <v>0</v>
      </c>
      <c r="U60" s="61">
        <f>-'5C1S_LC Col Prep'!AS60</f>
        <v>0</v>
      </c>
      <c r="V60" s="61">
        <f>-'5C1T_Northeast'!AS60</f>
        <v>0</v>
      </c>
      <c r="W60" s="61">
        <f>-'5C1U_Acadiana Ren'!AS60</f>
        <v>0</v>
      </c>
      <c r="X60" s="61">
        <f>-'5C1V_Laf Ren'!AS60</f>
        <v>0</v>
      </c>
      <c r="Y60" s="61">
        <f>-'5C1W_Willow'!AS60</f>
        <v>0</v>
      </c>
      <c r="Z60" s="61">
        <f>-'5C1Y_GEO'!AS60</f>
        <v>0</v>
      </c>
      <c r="AA60" s="61">
        <f>-'5C1Z_Lincoln Prep'!AS60</f>
        <v>0</v>
      </c>
      <c r="AB60" s="61">
        <f>-'5C1AD_Greater'!$AS60</f>
        <v>0</v>
      </c>
      <c r="AC60" s="61">
        <f>-'5C1AE_Noble Minds'!$AS60</f>
        <v>0</v>
      </c>
      <c r="AD60" s="61">
        <f>-'5C1AF_JCFA-Laf'!$AS60</f>
        <v>0</v>
      </c>
      <c r="AE60" s="61">
        <f>-'5C1AG_Collegiate'!$AS60</f>
        <v>0</v>
      </c>
      <c r="AF60" s="61">
        <f>-'5C1AH_BRUP'!$AS60</f>
        <v>0</v>
      </c>
      <c r="AG60" s="61">
        <f>-'5C1AI_Harmony'!$AS60</f>
        <v>0</v>
      </c>
      <c r="AH60" s="61">
        <f>-'5C1AJ_Athlos'!$AS60</f>
        <v>0</v>
      </c>
      <c r="AI60" s="61">
        <f>-'5C1AK_NxtGen'!$AS60</f>
        <v>0</v>
      </c>
      <c r="AJ60" s="61">
        <f>-'5C1AL_Red River'!$AS60</f>
        <v>0</v>
      </c>
      <c r="AK60" s="61">
        <f>-'5C2_LAVCA'!AT60</f>
        <v>-4610</v>
      </c>
      <c r="AL60" s="61">
        <f>-'5C3_UnvView'!AT60</f>
        <v>-6394</v>
      </c>
      <c r="AM60" s="370">
        <f t="shared" si="7"/>
        <v>-40185</v>
      </c>
      <c r="AN60" s="371">
        <f t="shared" si="8"/>
        <v>168588</v>
      </c>
      <c r="AO60" s="61"/>
      <c r="AP60" s="61"/>
      <c r="AQ60" s="61">
        <f>-'5C1A_Madison'!AY60</f>
        <v>0</v>
      </c>
      <c r="AR60" s="61">
        <f>-'5C1B_DArbonne'!AY60</f>
        <v>0</v>
      </c>
      <c r="AS60" s="61">
        <f>-'5C1C_Intl High'!AY60</f>
        <v>0</v>
      </c>
      <c r="AT60" s="61">
        <f>-'5C1D_NOMMA'!AY60</f>
        <v>0</v>
      </c>
      <c r="AU60" s="61">
        <f>-'5C1E_LFNO'!AY60</f>
        <v>0</v>
      </c>
      <c r="AV60" s="61">
        <f>-'5C1F_L.C. Charter'!AY60</f>
        <v>0</v>
      </c>
      <c r="AW60" s="61">
        <f>-'5C1G_JS Clark'!AY60</f>
        <v>0</v>
      </c>
      <c r="AX60" s="61">
        <f>-'5C1H_Southwest'!AY60</f>
        <v>0</v>
      </c>
      <c r="AY60" s="61">
        <f>-'5C1I_LA Key'!AY60</f>
        <v>0</v>
      </c>
      <c r="AZ60" s="61">
        <f>-'5C1J_JCFA-East'!AY60</f>
        <v>0</v>
      </c>
      <c r="BA60" s="61">
        <f>-'5C1M_GEO Mid'!AY60</f>
        <v>0</v>
      </c>
      <c r="BB60" s="61">
        <f>-'5C1N_Delta'!AY60</f>
        <v>-96</v>
      </c>
      <c r="BC60" s="61">
        <f>-'5C1O_Impact'!AY60</f>
        <v>0</v>
      </c>
      <c r="BD60" s="61">
        <f>-'5C1Q_Advantage'!AY60</f>
        <v>0</v>
      </c>
      <c r="BE60" s="61">
        <f>-'5C1R_Iberville'!AY60</f>
        <v>0</v>
      </c>
      <c r="BF60" s="61">
        <f>-'5C1S_LC Col Prep'!AY60</f>
        <v>0</v>
      </c>
      <c r="BG60" s="61">
        <f>-'5C1T_Northeast'!AY60</f>
        <v>0</v>
      </c>
      <c r="BH60" s="61">
        <f>-'5C1U_Acadiana Ren'!AY60</f>
        <v>0</v>
      </c>
      <c r="BI60" s="61">
        <f>-'5C1V_Laf Ren'!AY60</f>
        <v>0</v>
      </c>
      <c r="BJ60" s="61">
        <f>-'5C1W_Willow'!AY60</f>
        <v>0</v>
      </c>
      <c r="BK60" s="61">
        <f>-'5C1Y_GEO'!AY60</f>
        <v>0</v>
      </c>
      <c r="BL60" s="61">
        <f>-'5C1Z_Lincoln Prep'!AY60</f>
        <v>0</v>
      </c>
      <c r="BM60" s="61">
        <f>-'5C1AD_Greater'!AY60</f>
        <v>0</v>
      </c>
      <c r="BN60" s="61">
        <f>-'5C1AE_Noble Minds'!AY60</f>
        <v>0</v>
      </c>
      <c r="BO60" s="61">
        <f>-'5C1AF_JCFA-Laf'!AY60</f>
        <v>0</v>
      </c>
      <c r="BP60" s="61">
        <f>-'5C1AG_Collegiate'!AY60</f>
        <v>0</v>
      </c>
      <c r="BQ60" s="61">
        <f>-'5C1AH_BRUP'!AY60</f>
        <v>0</v>
      </c>
      <c r="BR60" s="61">
        <f>-'5C1AI_Harmony'!$AY60</f>
        <v>0</v>
      </c>
      <c r="BS60" s="61">
        <f>-'5C1AJ_Athlos'!$AY60</f>
        <v>0</v>
      </c>
      <c r="BT60" s="61">
        <f>-'5C1AK_NxtGen'!$AY60</f>
        <v>0</v>
      </c>
      <c r="BU60" s="61">
        <f>-'5C1AL_Red River'!$AY60</f>
        <v>0</v>
      </c>
      <c r="BV60" s="61">
        <f>-'5C2_LAVCA'!AZ60</f>
        <v>-34</v>
      </c>
      <c r="BW60" s="61">
        <f>-'5C3_UnvView'!AZ60</f>
        <v>-39</v>
      </c>
      <c r="BX60" s="61">
        <f t="shared" si="9"/>
        <v>-169</v>
      </c>
      <c r="BY60" s="371">
        <f t="shared" si="10"/>
        <v>168419</v>
      </c>
    </row>
    <row r="61" spans="1:77" s="7" customFormat="1" ht="15.75" customHeight="1" x14ac:dyDescent="0.2">
      <c r="A61" s="358">
        <v>55</v>
      </c>
      <c r="B61" s="359" t="s">
        <v>58</v>
      </c>
      <c r="C61" s="360">
        <f>'2_State Distrib and Adjs'!AZ61</f>
        <v>7574780</v>
      </c>
      <c r="D61" s="360">
        <f>-'5A3_OJJ'!S61</f>
        <v>-1517</v>
      </c>
      <c r="E61" s="360"/>
      <c r="F61" s="360">
        <f>-'5C1A_Madison'!AS61</f>
        <v>0</v>
      </c>
      <c r="G61" s="360">
        <f>-'5C1B_DArbonne'!AS61</f>
        <v>0</v>
      </c>
      <c r="H61" s="360">
        <f>-'5C1C_Intl High'!AS61</f>
        <v>0</v>
      </c>
      <c r="I61" s="360">
        <f>-'5C1D_NOMMA'!AS61</f>
        <v>0</v>
      </c>
      <c r="J61" s="360">
        <f>-'5C1E_LFNO'!AS61</f>
        <v>0</v>
      </c>
      <c r="K61" s="360">
        <f>-'5C1F_L.C. Charter'!AS61</f>
        <v>0</v>
      </c>
      <c r="L61" s="360">
        <f>-'5C1G_JS Clark'!AS61</f>
        <v>0</v>
      </c>
      <c r="M61" s="360">
        <f>-'5C1H_Southwest'!AS61</f>
        <v>0</v>
      </c>
      <c r="N61" s="360">
        <f>-'5C1I_LA Key'!AS61</f>
        <v>0</v>
      </c>
      <c r="O61" s="360">
        <f>-'5C1J_JCFA-East'!AS61</f>
        <v>0</v>
      </c>
      <c r="P61" s="360">
        <f>-'5C1M_GEO Mid'!AS61</f>
        <v>0</v>
      </c>
      <c r="Q61" s="360">
        <f>-'5C1N_Delta'!AS61</f>
        <v>0</v>
      </c>
      <c r="R61" s="360">
        <f>-'5C1O_Impact'!AS61</f>
        <v>0</v>
      </c>
      <c r="S61" s="360">
        <f>-'5C1Q_Advantage'!AS61</f>
        <v>0</v>
      </c>
      <c r="T61" s="360">
        <f>-'5C1R_Iberville'!AS61</f>
        <v>-40374</v>
      </c>
      <c r="U61" s="360">
        <f>-'5C1S_LC Col Prep'!AS61</f>
        <v>0</v>
      </c>
      <c r="V61" s="360">
        <f>-'5C1T_Northeast'!AS61</f>
        <v>0</v>
      </c>
      <c r="W61" s="360">
        <f>-'5C1U_Acadiana Ren'!AS61</f>
        <v>-992</v>
      </c>
      <c r="X61" s="360">
        <f>-'5C1V_Laf Ren'!AS61</f>
        <v>0</v>
      </c>
      <c r="Y61" s="360">
        <f>-'5C1W_Willow'!AS61</f>
        <v>0</v>
      </c>
      <c r="Z61" s="360">
        <f>-'5C1Y_GEO'!AS61</f>
        <v>0</v>
      </c>
      <c r="AA61" s="360">
        <f>-'5C1Z_Lincoln Prep'!AS61</f>
        <v>0</v>
      </c>
      <c r="AB61" s="360">
        <f>-'5C1AD_Greater'!$AS61</f>
        <v>0</v>
      </c>
      <c r="AC61" s="360">
        <f>-'5C1AE_Noble Minds'!$AS61</f>
        <v>0</v>
      </c>
      <c r="AD61" s="360">
        <f>-'5C1AF_JCFA-Laf'!$AS61</f>
        <v>0</v>
      </c>
      <c r="AE61" s="360">
        <f>-'5C1AG_Collegiate'!$AS61</f>
        <v>0</v>
      </c>
      <c r="AF61" s="360">
        <f>-'5C1AH_BRUP'!$AS61</f>
        <v>0</v>
      </c>
      <c r="AG61" s="657">
        <f>-'5C1AI_Harmony'!$AS61</f>
        <v>0</v>
      </c>
      <c r="AH61" s="657">
        <f>-'5C1AJ_Athlos'!$AS61</f>
        <v>0</v>
      </c>
      <c r="AI61" s="892">
        <f>-'5C1AK_NxtGen'!$AS61</f>
        <v>0</v>
      </c>
      <c r="AJ61" s="892">
        <f>-'5C1AL_Red River'!$AS61</f>
        <v>0</v>
      </c>
      <c r="AK61" s="360">
        <f>-'5C2_LAVCA'!AT61</f>
        <v>-13545</v>
      </c>
      <c r="AL61" s="360">
        <f>-'5C3_UnvView'!AT61</f>
        <v>-16245</v>
      </c>
      <c r="AM61" s="361">
        <f t="shared" si="7"/>
        <v>-72673</v>
      </c>
      <c r="AN61" s="362">
        <f t="shared" si="8"/>
        <v>7502107</v>
      </c>
      <c r="AO61" s="360"/>
      <c r="AP61" s="360"/>
      <c r="AQ61" s="360">
        <f>-'5C1A_Madison'!AY61</f>
        <v>0</v>
      </c>
      <c r="AR61" s="360">
        <f>-'5C1B_DArbonne'!AY61</f>
        <v>0</v>
      </c>
      <c r="AS61" s="360">
        <f>-'5C1C_Intl High'!AY61</f>
        <v>0</v>
      </c>
      <c r="AT61" s="360">
        <f>-'5C1D_NOMMA'!AY61</f>
        <v>0</v>
      </c>
      <c r="AU61" s="360">
        <f>-'5C1E_LFNO'!AY61</f>
        <v>0</v>
      </c>
      <c r="AV61" s="360">
        <f>-'5C1F_L.C. Charter'!AY61</f>
        <v>0</v>
      </c>
      <c r="AW61" s="360">
        <f>-'5C1G_JS Clark'!AY61</f>
        <v>0</v>
      </c>
      <c r="AX61" s="360">
        <f>-'5C1H_Southwest'!AY61</f>
        <v>0</v>
      </c>
      <c r="AY61" s="360">
        <f>-'5C1I_LA Key'!AY61</f>
        <v>0</v>
      </c>
      <c r="AZ61" s="360">
        <f>-'5C1J_JCFA-East'!AY61</f>
        <v>0</v>
      </c>
      <c r="BA61" s="360">
        <f>-'5C1M_GEO Mid'!AY61</f>
        <v>0</v>
      </c>
      <c r="BB61" s="360">
        <f>-'5C1N_Delta'!AY61</f>
        <v>0</v>
      </c>
      <c r="BC61" s="360">
        <f>-'5C1O_Impact'!AY61</f>
        <v>0</v>
      </c>
      <c r="BD61" s="360">
        <f>-'5C1Q_Advantage'!AY61</f>
        <v>0</v>
      </c>
      <c r="BE61" s="360">
        <f>-'5C1R_Iberville'!AY61</f>
        <v>-587</v>
      </c>
      <c r="BF61" s="360">
        <f>-'5C1S_LC Col Prep'!AY61</f>
        <v>0</v>
      </c>
      <c r="BG61" s="360">
        <f>-'5C1T_Northeast'!AY61</f>
        <v>0</v>
      </c>
      <c r="BH61" s="360">
        <f>-'5C1U_Acadiana Ren'!AY61</f>
        <v>-10</v>
      </c>
      <c r="BI61" s="360">
        <f>-'5C1V_Laf Ren'!AY61</f>
        <v>0</v>
      </c>
      <c r="BJ61" s="360">
        <f>-'5C1W_Willow'!AY61</f>
        <v>0</v>
      </c>
      <c r="BK61" s="360">
        <f>-'5C1Y_GEO'!AY61</f>
        <v>0</v>
      </c>
      <c r="BL61" s="360">
        <f>-'5C1Z_Lincoln Prep'!AY61</f>
        <v>0</v>
      </c>
      <c r="BM61" s="360">
        <f>-'5C1AD_Greater'!AY61</f>
        <v>0</v>
      </c>
      <c r="BN61" s="360">
        <f>-'5C1AE_Noble Minds'!AY61</f>
        <v>0</v>
      </c>
      <c r="BO61" s="360">
        <f>-'5C1AF_JCFA-Laf'!AY61</f>
        <v>0</v>
      </c>
      <c r="BP61" s="360">
        <f>-'5C1AG_Collegiate'!AY61</f>
        <v>0</v>
      </c>
      <c r="BQ61" s="360">
        <f>-'5C1AH_BRUP'!AY61</f>
        <v>0</v>
      </c>
      <c r="BR61" s="657">
        <f>-'5C1AI_Harmony'!$AY61</f>
        <v>0</v>
      </c>
      <c r="BS61" s="657">
        <f>-'5C1AJ_Athlos'!$AY61</f>
        <v>0</v>
      </c>
      <c r="BT61" s="892">
        <f>-'5C1AK_NxtGen'!$AY61</f>
        <v>0</v>
      </c>
      <c r="BU61" s="892">
        <f>-'5C1AL_Red River'!$AY61</f>
        <v>0</v>
      </c>
      <c r="BV61" s="360">
        <f>-'5C2_LAVCA'!AZ61</f>
        <v>52</v>
      </c>
      <c r="BW61" s="360">
        <f>-'5C3_UnvView'!AZ61</f>
        <v>223</v>
      </c>
      <c r="BX61" s="360">
        <f t="shared" si="9"/>
        <v>-322</v>
      </c>
      <c r="BY61" s="362">
        <f t="shared" si="10"/>
        <v>7501785</v>
      </c>
    </row>
    <row r="62" spans="1:77" s="7" customFormat="1" ht="15.75" customHeight="1" x14ac:dyDescent="0.2">
      <c r="A62" s="368">
        <v>56</v>
      </c>
      <c r="B62" s="369" t="s">
        <v>59</v>
      </c>
      <c r="C62" s="61">
        <f>'2_State Distrib and Adjs'!AZ62</f>
        <v>1156948</v>
      </c>
      <c r="D62" s="61">
        <f>-'5A3_OJJ'!S62</f>
        <v>0</v>
      </c>
      <c r="E62" s="61"/>
      <c r="F62" s="61">
        <f>-'5C1A_Madison'!AS62</f>
        <v>0</v>
      </c>
      <c r="G62" s="61">
        <f>-'5C1B_DArbonne'!AS62</f>
        <v>-310302</v>
      </c>
      <c r="H62" s="61">
        <f>-'5C1C_Intl High'!AS62</f>
        <v>0</v>
      </c>
      <c r="I62" s="61">
        <f>-'5C1D_NOMMA'!AS62</f>
        <v>0</v>
      </c>
      <c r="J62" s="61">
        <f>-'5C1E_LFNO'!AS62</f>
        <v>0</v>
      </c>
      <c r="K62" s="61">
        <f>-'5C1F_L.C. Charter'!AS62</f>
        <v>0</v>
      </c>
      <c r="L62" s="61">
        <f>-'5C1G_JS Clark'!AS62</f>
        <v>0</v>
      </c>
      <c r="M62" s="61">
        <f>-'5C1H_Southwest'!AS62</f>
        <v>0</v>
      </c>
      <c r="N62" s="61">
        <f>-'5C1I_LA Key'!AS62</f>
        <v>0</v>
      </c>
      <c r="O62" s="61">
        <f>-'5C1J_JCFA-East'!AS62</f>
        <v>0</v>
      </c>
      <c r="P62" s="61">
        <f>-'5C1M_GEO Mid'!AS62</f>
        <v>0</v>
      </c>
      <c r="Q62" s="61">
        <f>-'5C1N_Delta'!AS62</f>
        <v>0</v>
      </c>
      <c r="R62" s="61">
        <f>-'5C1O_Impact'!AS62</f>
        <v>0</v>
      </c>
      <c r="S62" s="61">
        <f>-'5C1Q_Advantage'!AS62</f>
        <v>0</v>
      </c>
      <c r="T62" s="61">
        <f>-'5C1R_Iberville'!AS62</f>
        <v>0</v>
      </c>
      <c r="U62" s="61">
        <f>-'5C1S_LC Col Prep'!AS62</f>
        <v>0</v>
      </c>
      <c r="V62" s="61">
        <f>-'5C1T_Northeast'!AS62</f>
        <v>-43045</v>
      </c>
      <c r="W62" s="61">
        <f>-'5C1U_Acadiana Ren'!AS62</f>
        <v>0</v>
      </c>
      <c r="X62" s="61">
        <f>-'5C1V_Laf Ren'!AS62</f>
        <v>-526</v>
      </c>
      <c r="Y62" s="61">
        <f>-'5C1W_Willow'!AS62</f>
        <v>0</v>
      </c>
      <c r="Z62" s="61">
        <f>-'5C1Y_GEO'!AS62</f>
        <v>0</v>
      </c>
      <c r="AA62" s="61">
        <f>-'5C1Z_Lincoln Prep'!AS62</f>
        <v>-1749</v>
      </c>
      <c r="AB62" s="61">
        <f>-'5C1AD_Greater'!$AS62</f>
        <v>0</v>
      </c>
      <c r="AC62" s="61">
        <f>-'5C1AE_Noble Minds'!$AS62</f>
        <v>0</v>
      </c>
      <c r="AD62" s="61">
        <f>-'5C1AF_JCFA-Laf'!$AS62</f>
        <v>0</v>
      </c>
      <c r="AE62" s="61">
        <f>-'5C1AG_Collegiate'!$AS62</f>
        <v>0</v>
      </c>
      <c r="AF62" s="61">
        <f>-'5C1AH_BRUP'!$AS62</f>
        <v>0</v>
      </c>
      <c r="AG62" s="61">
        <f>-'5C1AI_Harmony'!$AS62</f>
        <v>0</v>
      </c>
      <c r="AH62" s="61">
        <f>-'5C1AJ_Athlos'!$AS62</f>
        <v>0</v>
      </c>
      <c r="AI62" s="61">
        <f>-'5C1AK_NxtGen'!$AS62</f>
        <v>0</v>
      </c>
      <c r="AJ62" s="61">
        <f>-'5C1AL_Red River'!$AS62</f>
        <v>0</v>
      </c>
      <c r="AK62" s="61">
        <f>-'5C2_LAVCA'!AT62</f>
        <v>1276</v>
      </c>
      <c r="AL62" s="61">
        <f>-'5C3_UnvView'!AT62</f>
        <v>-2642</v>
      </c>
      <c r="AM62" s="370">
        <f t="shared" si="7"/>
        <v>-356988</v>
      </c>
      <c r="AN62" s="371">
        <f t="shared" si="8"/>
        <v>799960</v>
      </c>
      <c r="AO62" s="61"/>
      <c r="AP62" s="61"/>
      <c r="AQ62" s="61">
        <f>-'5C1A_Madison'!AY62</f>
        <v>0</v>
      </c>
      <c r="AR62" s="61">
        <f>-'5C1B_DArbonne'!AY62</f>
        <v>86</v>
      </c>
      <c r="AS62" s="61">
        <f>-'5C1C_Intl High'!AY62</f>
        <v>0</v>
      </c>
      <c r="AT62" s="61">
        <f>-'5C1D_NOMMA'!AY62</f>
        <v>0</v>
      </c>
      <c r="AU62" s="61">
        <f>-'5C1E_LFNO'!AY62</f>
        <v>0</v>
      </c>
      <c r="AV62" s="61">
        <f>-'5C1F_L.C. Charter'!AY62</f>
        <v>0</v>
      </c>
      <c r="AW62" s="61">
        <f>-'5C1G_JS Clark'!AY62</f>
        <v>0</v>
      </c>
      <c r="AX62" s="61">
        <f>-'5C1H_Southwest'!AY62</f>
        <v>0</v>
      </c>
      <c r="AY62" s="61">
        <f>-'5C1I_LA Key'!AY62</f>
        <v>0</v>
      </c>
      <c r="AZ62" s="61">
        <f>-'5C1J_JCFA-East'!AY62</f>
        <v>0</v>
      </c>
      <c r="BA62" s="61">
        <f>-'5C1M_GEO Mid'!AY62</f>
        <v>0</v>
      </c>
      <c r="BB62" s="61">
        <f>-'5C1N_Delta'!AY62</f>
        <v>0</v>
      </c>
      <c r="BC62" s="61">
        <f>-'5C1O_Impact'!AY62</f>
        <v>0</v>
      </c>
      <c r="BD62" s="61">
        <f>-'5C1Q_Advantage'!AY62</f>
        <v>0</v>
      </c>
      <c r="BE62" s="61">
        <f>-'5C1R_Iberville'!AY62</f>
        <v>0</v>
      </c>
      <c r="BF62" s="61">
        <f>-'5C1S_LC Col Prep'!AY62</f>
        <v>0</v>
      </c>
      <c r="BG62" s="61">
        <f>-'5C1T_Northeast'!AY62</f>
        <v>48</v>
      </c>
      <c r="BH62" s="61">
        <f>-'5C1U_Acadiana Ren'!AY62</f>
        <v>0</v>
      </c>
      <c r="BI62" s="61">
        <f>-'5C1V_Laf Ren'!AY62</f>
        <v>-5</v>
      </c>
      <c r="BJ62" s="61">
        <f>-'5C1W_Willow'!AY62</f>
        <v>0</v>
      </c>
      <c r="BK62" s="61">
        <f>-'5C1Y_GEO'!AY62</f>
        <v>0</v>
      </c>
      <c r="BL62" s="61">
        <f>-'5C1Z_Lincoln Prep'!AY62</f>
        <v>114</v>
      </c>
      <c r="BM62" s="61">
        <f>-'5C1AD_Greater'!AY62</f>
        <v>0</v>
      </c>
      <c r="BN62" s="61">
        <f>-'5C1AE_Noble Minds'!AY62</f>
        <v>0</v>
      </c>
      <c r="BO62" s="61">
        <f>-'5C1AF_JCFA-Laf'!AY62</f>
        <v>0</v>
      </c>
      <c r="BP62" s="61">
        <f>-'5C1AG_Collegiate'!AY62</f>
        <v>0</v>
      </c>
      <c r="BQ62" s="61">
        <f>-'5C1AH_BRUP'!AY62</f>
        <v>0</v>
      </c>
      <c r="BR62" s="61">
        <f>-'5C1AI_Harmony'!$AY62</f>
        <v>0</v>
      </c>
      <c r="BS62" s="61">
        <f>-'5C1AJ_Athlos'!$AY62</f>
        <v>0</v>
      </c>
      <c r="BT62" s="61">
        <f>-'5C1AK_NxtGen'!$AY62</f>
        <v>0</v>
      </c>
      <c r="BU62" s="61">
        <f>-'5C1AL_Red River'!$AY62</f>
        <v>0</v>
      </c>
      <c r="BV62" s="61">
        <f>-'5C2_LAVCA'!AZ62</f>
        <v>62</v>
      </c>
      <c r="BW62" s="61">
        <f>-'5C3_UnvView'!AZ62</f>
        <v>3</v>
      </c>
      <c r="BX62" s="61">
        <f t="shared" si="9"/>
        <v>308</v>
      </c>
      <c r="BY62" s="371">
        <f t="shared" si="10"/>
        <v>800268</v>
      </c>
    </row>
    <row r="63" spans="1:77" s="7" customFormat="1" ht="15.75" customHeight="1" x14ac:dyDescent="0.2">
      <c r="A63" s="368">
        <v>57</v>
      </c>
      <c r="B63" s="369" t="s">
        <v>60</v>
      </c>
      <c r="C63" s="61">
        <f>'2_State Distrib and Adjs'!AZ63</f>
        <v>4874921</v>
      </c>
      <c r="D63" s="61">
        <f>-'5A3_OJJ'!S63</f>
        <v>0</v>
      </c>
      <c r="E63" s="61"/>
      <c r="F63" s="61">
        <f>-'5C1A_Madison'!AS63</f>
        <v>0</v>
      </c>
      <c r="G63" s="61">
        <f>-'5C1B_DArbonne'!AS63</f>
        <v>0</v>
      </c>
      <c r="H63" s="61">
        <f>-'5C1C_Intl High'!AS63</f>
        <v>0</v>
      </c>
      <c r="I63" s="61">
        <f>-'5C1D_NOMMA'!AS63</f>
        <v>0</v>
      </c>
      <c r="J63" s="61">
        <f>-'5C1E_LFNO'!AS63</f>
        <v>0</v>
      </c>
      <c r="K63" s="61">
        <f>-'5C1F_L.C. Charter'!AS63</f>
        <v>0</v>
      </c>
      <c r="L63" s="61">
        <f>-'5C1G_JS Clark'!AS63</f>
        <v>0</v>
      </c>
      <c r="M63" s="61">
        <f>-'5C1H_Southwest'!AS63</f>
        <v>0</v>
      </c>
      <c r="N63" s="61">
        <f>-'5C1I_LA Key'!AS63</f>
        <v>0</v>
      </c>
      <c r="O63" s="61">
        <f>-'5C1J_JCFA-East'!AS63</f>
        <v>0</v>
      </c>
      <c r="P63" s="61">
        <f>-'5C1M_GEO Mid'!AS63</f>
        <v>0</v>
      </c>
      <c r="Q63" s="61">
        <f>-'5C1N_Delta'!AS63</f>
        <v>0</v>
      </c>
      <c r="R63" s="61">
        <f>-'5C1O_Impact'!AS63</f>
        <v>0</v>
      </c>
      <c r="S63" s="61">
        <f>-'5C1Q_Advantage'!AS63</f>
        <v>0</v>
      </c>
      <c r="T63" s="61">
        <f>-'5C1R_Iberville'!AS63</f>
        <v>0</v>
      </c>
      <c r="U63" s="61">
        <f>-'5C1S_LC Col Prep'!AS63</f>
        <v>0</v>
      </c>
      <c r="V63" s="61">
        <f>-'5C1T_Northeast'!AS63</f>
        <v>0</v>
      </c>
      <c r="W63" s="61">
        <f>-'5C1U_Acadiana Ren'!AS63</f>
        <v>-4802</v>
      </c>
      <c r="X63" s="61">
        <f>-'5C1V_Laf Ren'!AS63</f>
        <v>1442</v>
      </c>
      <c r="Y63" s="61">
        <f>-'5C1W_Willow'!AS63</f>
        <v>0</v>
      </c>
      <c r="Z63" s="61">
        <f>-'5C1Y_GEO'!AS63</f>
        <v>0</v>
      </c>
      <c r="AA63" s="61">
        <f>-'5C1Z_Lincoln Prep'!AS63</f>
        <v>0</v>
      </c>
      <c r="AB63" s="61">
        <f>-'5C1AD_Greater'!$AS63</f>
        <v>0</v>
      </c>
      <c r="AC63" s="61">
        <f>-'5C1AE_Noble Minds'!$AS63</f>
        <v>0</v>
      </c>
      <c r="AD63" s="61">
        <f>-'5C1AF_JCFA-Laf'!$AS63</f>
        <v>1178</v>
      </c>
      <c r="AE63" s="61">
        <f>-'5C1AG_Collegiate'!$AS63</f>
        <v>0</v>
      </c>
      <c r="AF63" s="61">
        <f>-'5C1AH_BRUP'!$AS63</f>
        <v>0</v>
      </c>
      <c r="AG63" s="61">
        <f>-'5C1AI_Harmony'!$AS63</f>
        <v>0</v>
      </c>
      <c r="AH63" s="61">
        <f>-'5C1AJ_Athlos'!$AS63</f>
        <v>0</v>
      </c>
      <c r="AI63" s="61">
        <f>-'5C1AK_NxtGen'!$AS63</f>
        <v>0</v>
      </c>
      <c r="AJ63" s="61">
        <f>-'5C1AL_Red River'!$AS63</f>
        <v>0</v>
      </c>
      <c r="AK63" s="61">
        <f>-'5C2_LAVCA'!AT63</f>
        <v>-4668</v>
      </c>
      <c r="AL63" s="61">
        <f>-'5C3_UnvView'!AT63</f>
        <v>-3434</v>
      </c>
      <c r="AM63" s="370">
        <f t="shared" si="7"/>
        <v>-10284</v>
      </c>
      <c r="AN63" s="371">
        <f t="shared" si="8"/>
        <v>4864637</v>
      </c>
      <c r="AO63" s="61"/>
      <c r="AP63" s="61"/>
      <c r="AQ63" s="61">
        <f>-'5C1A_Madison'!AY63</f>
        <v>0</v>
      </c>
      <c r="AR63" s="61">
        <f>-'5C1B_DArbonne'!AY63</f>
        <v>0</v>
      </c>
      <c r="AS63" s="61">
        <f>-'5C1C_Intl High'!AY63</f>
        <v>0</v>
      </c>
      <c r="AT63" s="61">
        <f>-'5C1D_NOMMA'!AY63</f>
        <v>0</v>
      </c>
      <c r="AU63" s="61">
        <f>-'5C1E_LFNO'!AY63</f>
        <v>0</v>
      </c>
      <c r="AV63" s="61">
        <f>-'5C1F_L.C. Charter'!AY63</f>
        <v>0</v>
      </c>
      <c r="AW63" s="61">
        <f>-'5C1G_JS Clark'!AY63</f>
        <v>0</v>
      </c>
      <c r="AX63" s="61">
        <f>-'5C1H_Southwest'!AY63</f>
        <v>0</v>
      </c>
      <c r="AY63" s="61">
        <f>-'5C1I_LA Key'!AY63</f>
        <v>0</v>
      </c>
      <c r="AZ63" s="61">
        <f>-'5C1J_JCFA-East'!AY63</f>
        <v>0</v>
      </c>
      <c r="BA63" s="61">
        <f>-'5C1M_GEO Mid'!AY63</f>
        <v>0</v>
      </c>
      <c r="BB63" s="61">
        <f>-'5C1N_Delta'!AY63</f>
        <v>0</v>
      </c>
      <c r="BC63" s="61">
        <f>-'5C1O_Impact'!AY63</f>
        <v>0</v>
      </c>
      <c r="BD63" s="61">
        <f>-'5C1Q_Advantage'!AY63</f>
        <v>0</v>
      </c>
      <c r="BE63" s="61">
        <f>-'5C1R_Iberville'!AY63</f>
        <v>0</v>
      </c>
      <c r="BF63" s="61">
        <f>-'5C1S_LC Col Prep'!AY63</f>
        <v>0</v>
      </c>
      <c r="BG63" s="61">
        <f>-'5C1T_Northeast'!AY63</f>
        <v>0</v>
      </c>
      <c r="BH63" s="61">
        <f>-'5C1U_Acadiana Ren'!AY63</f>
        <v>9</v>
      </c>
      <c r="BI63" s="61">
        <f>-'5C1V_Laf Ren'!AY63</f>
        <v>28</v>
      </c>
      <c r="BJ63" s="61">
        <f>-'5C1W_Willow'!AY63</f>
        <v>0</v>
      </c>
      <c r="BK63" s="61">
        <f>-'5C1Y_GEO'!AY63</f>
        <v>0</v>
      </c>
      <c r="BL63" s="61">
        <f>-'5C1Z_Lincoln Prep'!AY63</f>
        <v>0</v>
      </c>
      <c r="BM63" s="61">
        <f>-'5C1AD_Greater'!AY63</f>
        <v>0</v>
      </c>
      <c r="BN63" s="61">
        <f>-'5C1AE_Noble Minds'!AY63</f>
        <v>0</v>
      </c>
      <c r="BO63" s="61">
        <f>-'5C1AF_JCFA-Laf'!AY63</f>
        <v>20</v>
      </c>
      <c r="BP63" s="61">
        <f>-'5C1AG_Collegiate'!AY63</f>
        <v>0</v>
      </c>
      <c r="BQ63" s="61">
        <f>-'5C1AH_BRUP'!AY63</f>
        <v>0</v>
      </c>
      <c r="BR63" s="61">
        <f>-'5C1AI_Harmony'!$AY63</f>
        <v>0</v>
      </c>
      <c r="BS63" s="61">
        <f>-'5C1AJ_Athlos'!$AY63</f>
        <v>0</v>
      </c>
      <c r="BT63" s="61">
        <f>-'5C1AK_NxtGen'!$AY63</f>
        <v>0</v>
      </c>
      <c r="BU63" s="61">
        <f>-'5C1AL_Red River'!$AY63</f>
        <v>0</v>
      </c>
      <c r="BV63" s="61">
        <f>-'5C2_LAVCA'!AZ63</f>
        <v>9</v>
      </c>
      <c r="BW63" s="61">
        <f>-'5C3_UnvView'!AZ63</f>
        <v>-3</v>
      </c>
      <c r="BX63" s="61">
        <f t="shared" si="9"/>
        <v>63</v>
      </c>
      <c r="BY63" s="371">
        <f t="shared" si="10"/>
        <v>4864700</v>
      </c>
    </row>
    <row r="64" spans="1:77" s="7" customFormat="1" ht="15.75" customHeight="1" x14ac:dyDescent="0.2">
      <c r="A64" s="368">
        <v>58</v>
      </c>
      <c r="B64" s="369" t="s">
        <v>61</v>
      </c>
      <c r="C64" s="61">
        <f>'2_State Distrib and Adjs'!AZ64</f>
        <v>4562620</v>
      </c>
      <c r="D64" s="61">
        <f>-'5A3_OJJ'!S64</f>
        <v>-503</v>
      </c>
      <c r="E64" s="61"/>
      <c r="F64" s="61">
        <f>-'5C1A_Madison'!AS64</f>
        <v>0</v>
      </c>
      <c r="G64" s="61">
        <f>-'5C1B_DArbonne'!AS64</f>
        <v>0</v>
      </c>
      <c r="H64" s="61">
        <f>-'5C1C_Intl High'!AS64</f>
        <v>0</v>
      </c>
      <c r="I64" s="61">
        <f>-'5C1D_NOMMA'!AS64</f>
        <v>0</v>
      </c>
      <c r="J64" s="61">
        <f>-'5C1E_LFNO'!AS64</f>
        <v>0</v>
      </c>
      <c r="K64" s="61">
        <f>-'5C1F_L.C. Charter'!AS64</f>
        <v>0</v>
      </c>
      <c r="L64" s="61">
        <f>-'5C1G_JS Clark'!AS64</f>
        <v>0</v>
      </c>
      <c r="M64" s="61">
        <f>-'5C1H_Southwest'!AS64</f>
        <v>0</v>
      </c>
      <c r="N64" s="61">
        <f>-'5C1I_LA Key'!AS64</f>
        <v>0</v>
      </c>
      <c r="O64" s="61">
        <f>-'5C1J_JCFA-East'!AS64</f>
        <v>0</v>
      </c>
      <c r="P64" s="61">
        <f>-'5C1M_GEO Mid'!AS64</f>
        <v>0</v>
      </c>
      <c r="Q64" s="61">
        <f>-'5C1N_Delta'!AS64</f>
        <v>0</v>
      </c>
      <c r="R64" s="61">
        <f>-'5C1O_Impact'!AS64</f>
        <v>0</v>
      </c>
      <c r="S64" s="61">
        <f>-'5C1Q_Advantage'!AS64</f>
        <v>0</v>
      </c>
      <c r="T64" s="61">
        <f>-'5C1R_Iberville'!AS64</f>
        <v>0</v>
      </c>
      <c r="U64" s="61">
        <f>-'5C1S_LC Col Prep'!AS64</f>
        <v>0</v>
      </c>
      <c r="V64" s="61">
        <f>-'5C1T_Northeast'!AS64</f>
        <v>0</v>
      </c>
      <c r="W64" s="61">
        <f>-'5C1U_Acadiana Ren'!AS64</f>
        <v>0</v>
      </c>
      <c r="X64" s="61">
        <f>-'5C1V_Laf Ren'!AS64</f>
        <v>0</v>
      </c>
      <c r="Y64" s="61">
        <f>-'5C1W_Willow'!AS64</f>
        <v>0</v>
      </c>
      <c r="Z64" s="61">
        <f>-'5C1Y_GEO'!AS64</f>
        <v>0</v>
      </c>
      <c r="AA64" s="61">
        <f>-'5C1Z_Lincoln Prep'!AS64</f>
        <v>0</v>
      </c>
      <c r="AB64" s="61">
        <f>-'5C1AD_Greater'!$AS64</f>
        <v>0</v>
      </c>
      <c r="AC64" s="61">
        <f>-'5C1AE_Noble Minds'!$AS64</f>
        <v>0</v>
      </c>
      <c r="AD64" s="61">
        <f>-'5C1AF_JCFA-Laf'!$AS64</f>
        <v>0</v>
      </c>
      <c r="AE64" s="61">
        <f>-'5C1AG_Collegiate'!$AS64</f>
        <v>0</v>
      </c>
      <c r="AF64" s="61">
        <f>-'5C1AH_BRUP'!$AS64</f>
        <v>0</v>
      </c>
      <c r="AG64" s="61">
        <f>-'5C1AI_Harmony'!$AS64</f>
        <v>0</v>
      </c>
      <c r="AH64" s="61">
        <f>-'5C1AJ_Athlos'!$AS64</f>
        <v>0</v>
      </c>
      <c r="AI64" s="61">
        <f>-'5C1AK_NxtGen'!$AS64</f>
        <v>0</v>
      </c>
      <c r="AJ64" s="61">
        <f>-'5C1AL_Red River'!$AS64</f>
        <v>0</v>
      </c>
      <c r="AK64" s="61">
        <f>-'5C2_LAVCA'!AT64</f>
        <v>-1562</v>
      </c>
      <c r="AL64" s="61">
        <f>-'5C3_UnvView'!AT64</f>
        <v>-4704</v>
      </c>
      <c r="AM64" s="370">
        <f t="shared" si="7"/>
        <v>-6769</v>
      </c>
      <c r="AN64" s="371">
        <f t="shared" si="8"/>
        <v>4555851</v>
      </c>
      <c r="AO64" s="61"/>
      <c r="AP64" s="61"/>
      <c r="AQ64" s="61">
        <f>-'5C1A_Madison'!AY64</f>
        <v>0</v>
      </c>
      <c r="AR64" s="61">
        <f>-'5C1B_DArbonne'!AY64</f>
        <v>0</v>
      </c>
      <c r="AS64" s="61">
        <f>-'5C1C_Intl High'!AY64</f>
        <v>0</v>
      </c>
      <c r="AT64" s="61">
        <f>-'5C1D_NOMMA'!AY64</f>
        <v>0</v>
      </c>
      <c r="AU64" s="61">
        <f>-'5C1E_LFNO'!AY64</f>
        <v>0</v>
      </c>
      <c r="AV64" s="61">
        <f>-'5C1F_L.C. Charter'!AY64</f>
        <v>0</v>
      </c>
      <c r="AW64" s="61">
        <f>-'5C1G_JS Clark'!AY64</f>
        <v>0</v>
      </c>
      <c r="AX64" s="61">
        <f>-'5C1H_Southwest'!AY64</f>
        <v>0</v>
      </c>
      <c r="AY64" s="61">
        <f>-'5C1I_LA Key'!AY64</f>
        <v>0</v>
      </c>
      <c r="AZ64" s="61">
        <f>-'5C1J_JCFA-East'!AY64</f>
        <v>0</v>
      </c>
      <c r="BA64" s="61">
        <f>-'5C1M_GEO Mid'!AY64</f>
        <v>0</v>
      </c>
      <c r="BB64" s="61">
        <f>-'5C1N_Delta'!AY64</f>
        <v>0</v>
      </c>
      <c r="BC64" s="61">
        <f>-'5C1O_Impact'!AY64</f>
        <v>0</v>
      </c>
      <c r="BD64" s="61">
        <f>-'5C1Q_Advantage'!AY64</f>
        <v>0</v>
      </c>
      <c r="BE64" s="61">
        <f>-'5C1R_Iberville'!AY64</f>
        <v>0</v>
      </c>
      <c r="BF64" s="61">
        <f>-'5C1S_LC Col Prep'!AY64</f>
        <v>0</v>
      </c>
      <c r="BG64" s="61">
        <f>-'5C1T_Northeast'!AY64</f>
        <v>0</v>
      </c>
      <c r="BH64" s="61">
        <f>-'5C1U_Acadiana Ren'!AY64</f>
        <v>0</v>
      </c>
      <c r="BI64" s="61">
        <f>-'5C1V_Laf Ren'!AY64</f>
        <v>0</v>
      </c>
      <c r="BJ64" s="61">
        <f>-'5C1W_Willow'!AY64</f>
        <v>0</v>
      </c>
      <c r="BK64" s="61">
        <f>-'5C1Y_GEO'!AY64</f>
        <v>0</v>
      </c>
      <c r="BL64" s="61">
        <f>-'5C1Z_Lincoln Prep'!AY64</f>
        <v>0</v>
      </c>
      <c r="BM64" s="61">
        <f>-'5C1AD_Greater'!AY64</f>
        <v>0</v>
      </c>
      <c r="BN64" s="61">
        <f>-'5C1AE_Noble Minds'!AY64</f>
        <v>0</v>
      </c>
      <c r="BO64" s="61">
        <f>-'5C1AF_JCFA-Laf'!AY64</f>
        <v>0</v>
      </c>
      <c r="BP64" s="61">
        <f>-'5C1AG_Collegiate'!AY64</f>
        <v>0</v>
      </c>
      <c r="BQ64" s="61">
        <f>-'5C1AH_BRUP'!AY64</f>
        <v>0</v>
      </c>
      <c r="BR64" s="61">
        <f>-'5C1AI_Harmony'!$AY64</f>
        <v>0</v>
      </c>
      <c r="BS64" s="61">
        <f>-'5C1AJ_Athlos'!$AY64</f>
        <v>0</v>
      </c>
      <c r="BT64" s="61">
        <f>-'5C1AK_NxtGen'!$AY64</f>
        <v>0</v>
      </c>
      <c r="BU64" s="61">
        <f>-'5C1AL_Red River'!$AY64</f>
        <v>0</v>
      </c>
      <c r="BV64" s="61">
        <f>-'5C2_LAVCA'!AZ64</f>
        <v>42</v>
      </c>
      <c r="BW64" s="61">
        <f>-'5C3_UnvView'!AZ64</f>
        <v>-18</v>
      </c>
      <c r="BX64" s="61">
        <f t="shared" si="9"/>
        <v>24</v>
      </c>
      <c r="BY64" s="371">
        <f t="shared" si="10"/>
        <v>4555875</v>
      </c>
    </row>
    <row r="65" spans="1:77" s="7" customFormat="1" ht="15.75" customHeight="1" x14ac:dyDescent="0.2">
      <c r="A65" s="368">
        <v>59</v>
      </c>
      <c r="B65" s="369" t="s">
        <v>62</v>
      </c>
      <c r="C65" s="61">
        <f>'2_State Distrib and Adjs'!AZ65</f>
        <v>2964178</v>
      </c>
      <c r="D65" s="61">
        <f>-'5A3_OJJ'!S65</f>
        <v>-197</v>
      </c>
      <c r="E65" s="61"/>
      <c r="F65" s="61">
        <f>-'5C1A_Madison'!AS65</f>
        <v>0</v>
      </c>
      <c r="G65" s="61">
        <f>-'5C1B_DArbonne'!AS65</f>
        <v>0</v>
      </c>
      <c r="H65" s="61">
        <f>-'5C1C_Intl High'!AS65</f>
        <v>0</v>
      </c>
      <c r="I65" s="61">
        <f>-'5C1D_NOMMA'!AS65</f>
        <v>0</v>
      </c>
      <c r="J65" s="61">
        <f>-'5C1E_LFNO'!AS65</f>
        <v>0</v>
      </c>
      <c r="K65" s="61">
        <f>-'5C1F_L.C. Charter'!AS65</f>
        <v>0</v>
      </c>
      <c r="L65" s="61">
        <f>-'5C1G_JS Clark'!AS65</f>
        <v>0</v>
      </c>
      <c r="M65" s="61">
        <f>-'5C1H_Southwest'!AS65</f>
        <v>0</v>
      </c>
      <c r="N65" s="61">
        <f>-'5C1I_LA Key'!AS65</f>
        <v>0</v>
      </c>
      <c r="O65" s="61">
        <f>-'5C1J_JCFA-East'!AS65</f>
        <v>0</v>
      </c>
      <c r="P65" s="61">
        <f>-'5C1M_GEO Mid'!AS65</f>
        <v>0</v>
      </c>
      <c r="Q65" s="61">
        <f>-'5C1N_Delta'!AS65</f>
        <v>0</v>
      </c>
      <c r="R65" s="61">
        <f>-'5C1O_Impact'!AS65</f>
        <v>0</v>
      </c>
      <c r="S65" s="61">
        <f>-'5C1Q_Advantage'!AS65</f>
        <v>0</v>
      </c>
      <c r="T65" s="61">
        <f>-'5C1R_Iberville'!AS65</f>
        <v>0</v>
      </c>
      <c r="U65" s="61">
        <f>-'5C1S_LC Col Prep'!AS65</f>
        <v>0</v>
      </c>
      <c r="V65" s="61">
        <f>-'5C1T_Northeast'!AS65</f>
        <v>0</v>
      </c>
      <c r="W65" s="61">
        <f>-'5C1U_Acadiana Ren'!AS65</f>
        <v>0</v>
      </c>
      <c r="X65" s="61">
        <f>-'5C1V_Laf Ren'!AS65</f>
        <v>0</v>
      </c>
      <c r="Y65" s="61">
        <f>-'5C1W_Willow'!AS65</f>
        <v>0</v>
      </c>
      <c r="Z65" s="61">
        <f>-'5C1Y_GEO'!AS65</f>
        <v>0</v>
      </c>
      <c r="AA65" s="61">
        <f>-'5C1Z_Lincoln Prep'!AS65</f>
        <v>0</v>
      </c>
      <c r="AB65" s="61">
        <f>-'5C1AD_Greater'!$AS65</f>
        <v>0</v>
      </c>
      <c r="AC65" s="61">
        <f>-'5C1AE_Noble Minds'!$AS65</f>
        <v>0</v>
      </c>
      <c r="AD65" s="61">
        <f>-'5C1AF_JCFA-Laf'!$AS65</f>
        <v>0</v>
      </c>
      <c r="AE65" s="61">
        <f>-'5C1AG_Collegiate'!$AS65</f>
        <v>0</v>
      </c>
      <c r="AF65" s="61">
        <f>-'5C1AH_BRUP'!$AS65</f>
        <v>0</v>
      </c>
      <c r="AG65" s="61">
        <f>-'5C1AI_Harmony'!$AS65</f>
        <v>0</v>
      </c>
      <c r="AH65" s="61">
        <f>-'5C1AJ_Athlos'!$AS65</f>
        <v>0</v>
      </c>
      <c r="AI65" s="61">
        <f>-'5C1AK_NxtGen'!$AS65</f>
        <v>0</v>
      </c>
      <c r="AJ65" s="61">
        <f>-'5C1AL_Red River'!$AS65</f>
        <v>0</v>
      </c>
      <c r="AK65" s="61">
        <f>-'5C2_LAVCA'!AT65</f>
        <v>-4399</v>
      </c>
      <c r="AL65" s="61">
        <f>-'5C3_UnvView'!AT65</f>
        <v>-8019</v>
      </c>
      <c r="AM65" s="370">
        <f t="shared" si="7"/>
        <v>-12615</v>
      </c>
      <c r="AN65" s="371">
        <f t="shared" si="8"/>
        <v>2951563</v>
      </c>
      <c r="AO65" s="61"/>
      <c r="AP65" s="61"/>
      <c r="AQ65" s="61">
        <f>-'5C1A_Madison'!AY65</f>
        <v>0</v>
      </c>
      <c r="AR65" s="61">
        <f>-'5C1B_DArbonne'!AY65</f>
        <v>0</v>
      </c>
      <c r="AS65" s="61">
        <f>-'5C1C_Intl High'!AY65</f>
        <v>0</v>
      </c>
      <c r="AT65" s="61">
        <f>-'5C1D_NOMMA'!AY65</f>
        <v>0</v>
      </c>
      <c r="AU65" s="61">
        <f>-'5C1E_LFNO'!AY65</f>
        <v>0</v>
      </c>
      <c r="AV65" s="61">
        <f>-'5C1F_L.C. Charter'!AY65</f>
        <v>0</v>
      </c>
      <c r="AW65" s="61">
        <f>-'5C1G_JS Clark'!AY65</f>
        <v>0</v>
      </c>
      <c r="AX65" s="61">
        <f>-'5C1H_Southwest'!AY65</f>
        <v>0</v>
      </c>
      <c r="AY65" s="61">
        <f>-'5C1I_LA Key'!AY65</f>
        <v>0</v>
      </c>
      <c r="AZ65" s="61">
        <f>-'5C1J_JCFA-East'!AY65</f>
        <v>0</v>
      </c>
      <c r="BA65" s="61">
        <f>-'5C1M_GEO Mid'!AY65</f>
        <v>0</v>
      </c>
      <c r="BB65" s="61">
        <f>-'5C1N_Delta'!AY65</f>
        <v>0</v>
      </c>
      <c r="BC65" s="61">
        <f>-'5C1O_Impact'!AY65</f>
        <v>0</v>
      </c>
      <c r="BD65" s="61">
        <f>-'5C1Q_Advantage'!AY65</f>
        <v>0</v>
      </c>
      <c r="BE65" s="61">
        <f>-'5C1R_Iberville'!AY65</f>
        <v>0</v>
      </c>
      <c r="BF65" s="61">
        <f>-'5C1S_LC Col Prep'!AY65</f>
        <v>0</v>
      </c>
      <c r="BG65" s="61">
        <f>-'5C1T_Northeast'!AY65</f>
        <v>0</v>
      </c>
      <c r="BH65" s="61">
        <f>-'5C1U_Acadiana Ren'!AY65</f>
        <v>0</v>
      </c>
      <c r="BI65" s="61">
        <f>-'5C1V_Laf Ren'!AY65</f>
        <v>0</v>
      </c>
      <c r="BJ65" s="61">
        <f>-'5C1W_Willow'!AY65</f>
        <v>0</v>
      </c>
      <c r="BK65" s="61">
        <f>-'5C1Y_GEO'!AY65</f>
        <v>0</v>
      </c>
      <c r="BL65" s="61">
        <f>-'5C1Z_Lincoln Prep'!AY65</f>
        <v>0</v>
      </c>
      <c r="BM65" s="61">
        <f>-'5C1AD_Greater'!AY65</f>
        <v>0</v>
      </c>
      <c r="BN65" s="61">
        <f>-'5C1AE_Noble Minds'!AY65</f>
        <v>0</v>
      </c>
      <c r="BO65" s="61">
        <f>-'5C1AF_JCFA-Laf'!AY65</f>
        <v>0</v>
      </c>
      <c r="BP65" s="61">
        <f>-'5C1AG_Collegiate'!AY65</f>
        <v>0</v>
      </c>
      <c r="BQ65" s="61">
        <f>-'5C1AH_BRUP'!AY65</f>
        <v>0</v>
      </c>
      <c r="BR65" s="61">
        <f>-'5C1AI_Harmony'!$AY65</f>
        <v>0</v>
      </c>
      <c r="BS65" s="61">
        <f>-'5C1AJ_Athlos'!$AY65</f>
        <v>0</v>
      </c>
      <c r="BT65" s="61">
        <f>-'5C1AK_NxtGen'!$AY65</f>
        <v>0</v>
      </c>
      <c r="BU65" s="61">
        <f>-'5C1AL_Red River'!$AY65</f>
        <v>0</v>
      </c>
      <c r="BV65" s="61">
        <f>-'5C2_LAVCA'!AZ65</f>
        <v>-32</v>
      </c>
      <c r="BW65" s="61">
        <f>-'5C3_UnvView'!AZ65</f>
        <v>-50</v>
      </c>
      <c r="BX65" s="61">
        <f t="shared" si="9"/>
        <v>-82</v>
      </c>
      <c r="BY65" s="371">
        <f t="shared" si="10"/>
        <v>2951481</v>
      </c>
    </row>
    <row r="66" spans="1:77" s="7" customFormat="1" ht="15.75" customHeight="1" x14ac:dyDescent="0.2">
      <c r="A66" s="358">
        <v>60</v>
      </c>
      <c r="B66" s="359" t="s">
        <v>63</v>
      </c>
      <c r="C66" s="360">
        <f>'2_State Distrib and Adjs'!AZ66</f>
        <v>2946507</v>
      </c>
      <c r="D66" s="360">
        <f>-'5A3_OJJ'!S66</f>
        <v>-282</v>
      </c>
      <c r="E66" s="360"/>
      <c r="F66" s="360">
        <f>-'5C1A_Madison'!AS66</f>
        <v>0</v>
      </c>
      <c r="G66" s="360">
        <f>-'5C1B_DArbonne'!AS66</f>
        <v>0</v>
      </c>
      <c r="H66" s="360">
        <f>-'5C1C_Intl High'!AS66</f>
        <v>0</v>
      </c>
      <c r="I66" s="360">
        <f>-'5C1D_NOMMA'!AS66</f>
        <v>0</v>
      </c>
      <c r="J66" s="360">
        <f>-'5C1E_LFNO'!AS66</f>
        <v>0</v>
      </c>
      <c r="K66" s="360">
        <f>-'5C1F_L.C. Charter'!AS66</f>
        <v>0</v>
      </c>
      <c r="L66" s="360">
        <f>-'5C1G_JS Clark'!AS66</f>
        <v>0</v>
      </c>
      <c r="M66" s="360">
        <f>-'5C1H_Southwest'!AS66</f>
        <v>0</v>
      </c>
      <c r="N66" s="360">
        <f>-'5C1I_LA Key'!AS66</f>
        <v>0</v>
      </c>
      <c r="O66" s="360">
        <f>-'5C1J_JCFA-East'!AS66</f>
        <v>0</v>
      </c>
      <c r="P66" s="360">
        <f>-'5C1M_GEO Mid'!AS66</f>
        <v>0</v>
      </c>
      <c r="Q66" s="360">
        <f>-'5C1N_Delta'!AS66</f>
        <v>0</v>
      </c>
      <c r="R66" s="360">
        <f>-'5C1O_Impact'!AS66</f>
        <v>0</v>
      </c>
      <c r="S66" s="360">
        <f>-'5C1Q_Advantage'!AS66</f>
        <v>0</v>
      </c>
      <c r="T66" s="360">
        <f>-'5C1R_Iberville'!AS66</f>
        <v>0</v>
      </c>
      <c r="U66" s="360">
        <f>-'5C1S_LC Col Prep'!AS66</f>
        <v>0</v>
      </c>
      <c r="V66" s="360">
        <f>-'5C1T_Northeast'!AS66</f>
        <v>0</v>
      </c>
      <c r="W66" s="360">
        <f>-'5C1U_Acadiana Ren'!AS66</f>
        <v>0</v>
      </c>
      <c r="X66" s="360">
        <f>-'5C1V_Laf Ren'!AS66</f>
        <v>0</v>
      </c>
      <c r="Y66" s="360">
        <f>-'5C1W_Willow'!AS66</f>
        <v>0</v>
      </c>
      <c r="Z66" s="360">
        <f>-'5C1Y_GEO'!AS66</f>
        <v>0</v>
      </c>
      <c r="AA66" s="360">
        <f>-'5C1Z_Lincoln Prep'!AS66</f>
        <v>1909</v>
      </c>
      <c r="AB66" s="360">
        <f>-'5C1AD_Greater'!$AS66</f>
        <v>0</v>
      </c>
      <c r="AC66" s="360">
        <f>-'5C1AE_Noble Minds'!$AS66</f>
        <v>0</v>
      </c>
      <c r="AD66" s="360">
        <f>-'5C1AF_JCFA-Laf'!$AS66</f>
        <v>0</v>
      </c>
      <c r="AE66" s="360">
        <f>-'5C1AG_Collegiate'!$AS66</f>
        <v>0</v>
      </c>
      <c r="AF66" s="360">
        <f>-'5C1AH_BRUP'!$AS66</f>
        <v>0</v>
      </c>
      <c r="AG66" s="657">
        <f>-'5C1AI_Harmony'!$AS66</f>
        <v>0</v>
      </c>
      <c r="AH66" s="657">
        <f>-'5C1AJ_Athlos'!$AS66</f>
        <v>0</v>
      </c>
      <c r="AI66" s="892">
        <f>-'5C1AK_NxtGen'!$AS66</f>
        <v>0</v>
      </c>
      <c r="AJ66" s="892">
        <f>-'5C1AL_Red River'!$AS66</f>
        <v>0</v>
      </c>
      <c r="AK66" s="360">
        <f>-'5C2_LAVCA'!AT66</f>
        <v>-7030</v>
      </c>
      <c r="AL66" s="360">
        <f>-'5C3_UnvView'!AT66</f>
        <v>-9246</v>
      </c>
      <c r="AM66" s="361">
        <f t="shared" si="7"/>
        <v>-14649</v>
      </c>
      <c r="AN66" s="362">
        <f t="shared" si="8"/>
        <v>2931858</v>
      </c>
      <c r="AO66" s="360"/>
      <c r="AP66" s="360"/>
      <c r="AQ66" s="360">
        <f>-'5C1A_Madison'!AY66</f>
        <v>0</v>
      </c>
      <c r="AR66" s="360">
        <f>-'5C1B_DArbonne'!AY66</f>
        <v>0</v>
      </c>
      <c r="AS66" s="360">
        <f>-'5C1C_Intl High'!AY66</f>
        <v>0</v>
      </c>
      <c r="AT66" s="360">
        <f>-'5C1D_NOMMA'!AY66</f>
        <v>0</v>
      </c>
      <c r="AU66" s="360">
        <f>-'5C1E_LFNO'!AY66</f>
        <v>0</v>
      </c>
      <c r="AV66" s="360">
        <f>-'5C1F_L.C. Charter'!AY66</f>
        <v>0</v>
      </c>
      <c r="AW66" s="360">
        <f>-'5C1G_JS Clark'!AY66</f>
        <v>0</v>
      </c>
      <c r="AX66" s="360">
        <f>-'5C1H_Southwest'!AY66</f>
        <v>0</v>
      </c>
      <c r="AY66" s="360">
        <f>-'5C1I_LA Key'!AY66</f>
        <v>0</v>
      </c>
      <c r="AZ66" s="360">
        <f>-'5C1J_JCFA-East'!AY66</f>
        <v>0</v>
      </c>
      <c r="BA66" s="360">
        <f>-'5C1M_GEO Mid'!AY66</f>
        <v>0</v>
      </c>
      <c r="BB66" s="360">
        <f>-'5C1N_Delta'!AY66</f>
        <v>0</v>
      </c>
      <c r="BC66" s="360">
        <f>-'5C1O_Impact'!AY66</f>
        <v>0</v>
      </c>
      <c r="BD66" s="360">
        <f>-'5C1Q_Advantage'!AY66</f>
        <v>0</v>
      </c>
      <c r="BE66" s="360">
        <f>-'5C1R_Iberville'!AY66</f>
        <v>0</v>
      </c>
      <c r="BF66" s="360">
        <f>-'5C1S_LC Col Prep'!AY66</f>
        <v>0</v>
      </c>
      <c r="BG66" s="360">
        <f>-'5C1T_Northeast'!AY66</f>
        <v>0</v>
      </c>
      <c r="BH66" s="360">
        <f>-'5C1U_Acadiana Ren'!AY66</f>
        <v>0</v>
      </c>
      <c r="BI66" s="360">
        <f>-'5C1V_Laf Ren'!AY66</f>
        <v>0</v>
      </c>
      <c r="BJ66" s="360">
        <f>-'5C1W_Willow'!AY66</f>
        <v>0</v>
      </c>
      <c r="BK66" s="360">
        <f>-'5C1Y_GEO'!AY66</f>
        <v>0</v>
      </c>
      <c r="BL66" s="360">
        <f>-'5C1Z_Lincoln Prep'!AY66</f>
        <v>39</v>
      </c>
      <c r="BM66" s="360">
        <f>-'5C1AD_Greater'!AY66</f>
        <v>0</v>
      </c>
      <c r="BN66" s="360">
        <f>-'5C1AE_Noble Minds'!AY66</f>
        <v>0</v>
      </c>
      <c r="BO66" s="360">
        <f>-'5C1AF_JCFA-Laf'!AY66</f>
        <v>0</v>
      </c>
      <c r="BP66" s="360">
        <f>-'5C1AG_Collegiate'!AY66</f>
        <v>0</v>
      </c>
      <c r="BQ66" s="360">
        <f>-'5C1AH_BRUP'!AY66</f>
        <v>0</v>
      </c>
      <c r="BR66" s="657">
        <f>-'5C1AI_Harmony'!$AY66</f>
        <v>0</v>
      </c>
      <c r="BS66" s="657">
        <f>-'5C1AJ_Athlos'!$AY66</f>
        <v>0</v>
      </c>
      <c r="BT66" s="892">
        <f>-'5C1AK_NxtGen'!$AY66</f>
        <v>0</v>
      </c>
      <c r="BU66" s="892">
        <f>-'5C1AL_Red River'!$AY66</f>
        <v>0</v>
      </c>
      <c r="BV66" s="360">
        <f>-'5C2_LAVCA'!AZ66</f>
        <v>-34</v>
      </c>
      <c r="BW66" s="360">
        <f>-'5C3_UnvView'!AZ66</f>
        <v>-13</v>
      </c>
      <c r="BX66" s="360">
        <f t="shared" si="9"/>
        <v>-8</v>
      </c>
      <c r="BY66" s="362">
        <f t="shared" si="10"/>
        <v>2931850</v>
      </c>
    </row>
    <row r="67" spans="1:77" s="7" customFormat="1" ht="15.75" customHeight="1" x14ac:dyDescent="0.2">
      <c r="A67" s="368">
        <v>61</v>
      </c>
      <c r="B67" s="369" t="s">
        <v>64</v>
      </c>
      <c r="C67" s="61">
        <f>'2_State Distrib and Adjs'!AZ67</f>
        <v>1288054</v>
      </c>
      <c r="D67" s="61">
        <f>-'5A3_OJJ'!S67</f>
        <v>-278</v>
      </c>
      <c r="E67" s="61"/>
      <c r="F67" s="61">
        <f>-'5C1A_Madison'!AS67</f>
        <v>1855</v>
      </c>
      <c r="G67" s="61">
        <f>-'5C1B_DArbonne'!AS67</f>
        <v>0</v>
      </c>
      <c r="H67" s="61">
        <f>-'5C1C_Intl High'!AS67</f>
        <v>0</v>
      </c>
      <c r="I67" s="61">
        <f>-'5C1D_NOMMA'!AS67</f>
        <v>0</v>
      </c>
      <c r="J67" s="61">
        <f>-'5C1E_LFNO'!AS67</f>
        <v>0</v>
      </c>
      <c r="K67" s="61">
        <f>-'5C1F_L.C. Charter'!AS67</f>
        <v>0</v>
      </c>
      <c r="L67" s="61">
        <f>-'5C1G_JS Clark'!AS67</f>
        <v>0</v>
      </c>
      <c r="M67" s="61">
        <f>-'5C1H_Southwest'!AS67</f>
        <v>0</v>
      </c>
      <c r="N67" s="61">
        <f>-'5C1I_LA Key'!AS67</f>
        <v>-14431</v>
      </c>
      <c r="O67" s="61">
        <f>-'5C1J_JCFA-East'!AS67</f>
        <v>0</v>
      </c>
      <c r="P67" s="61">
        <f>-'5C1M_GEO Mid'!AS67</f>
        <v>-1043</v>
      </c>
      <c r="Q67" s="61">
        <f>-'5C1N_Delta'!AS67</f>
        <v>0</v>
      </c>
      <c r="R67" s="61">
        <f>-'5C1O_Impact'!AS67</f>
        <v>0</v>
      </c>
      <c r="S67" s="61">
        <f>-'5C1Q_Advantage'!AS67</f>
        <v>-7086</v>
      </c>
      <c r="T67" s="61">
        <f>-'5C1R_Iberville'!AS67</f>
        <v>-27994</v>
      </c>
      <c r="U67" s="61">
        <f>-'5C1S_LC Col Prep'!AS67</f>
        <v>0</v>
      </c>
      <c r="V67" s="61">
        <f>-'5C1T_Northeast'!AS67</f>
        <v>0</v>
      </c>
      <c r="W67" s="61">
        <f>-'5C1U_Acadiana Ren'!AS67</f>
        <v>0</v>
      </c>
      <c r="X67" s="61">
        <f>-'5C1V_Laf Ren'!AS67</f>
        <v>0</v>
      </c>
      <c r="Y67" s="61">
        <f>-'5C1W_Willow'!AS67</f>
        <v>0</v>
      </c>
      <c r="Z67" s="61">
        <f>-'5C1Y_GEO'!AS67</f>
        <v>-733</v>
      </c>
      <c r="AA67" s="61">
        <f>-'5C1Z_Lincoln Prep'!AS67</f>
        <v>0</v>
      </c>
      <c r="AB67" s="61">
        <f>-'5C1AD_Greater'!$AS67</f>
        <v>0</v>
      </c>
      <c r="AC67" s="61">
        <f>-'5C1AE_Noble Minds'!$AS67</f>
        <v>0</v>
      </c>
      <c r="AD67" s="61">
        <f>-'5C1AF_JCFA-Laf'!$AS67</f>
        <v>0</v>
      </c>
      <c r="AE67" s="61">
        <f>-'5C1AG_Collegiate'!$AS67</f>
        <v>0</v>
      </c>
      <c r="AF67" s="61">
        <f>-'5C1AH_BRUP'!$AS67</f>
        <v>0</v>
      </c>
      <c r="AG67" s="61">
        <f>-'5C1AI_Harmony'!$AS67</f>
        <v>0</v>
      </c>
      <c r="AH67" s="61">
        <f>-'5C1AJ_Athlos'!$AS67</f>
        <v>0</v>
      </c>
      <c r="AI67" s="61">
        <f>-'5C1AK_NxtGen'!$AS67</f>
        <v>0</v>
      </c>
      <c r="AJ67" s="61">
        <f>-'5C1AL_Red River'!$AS67</f>
        <v>0</v>
      </c>
      <c r="AK67" s="61">
        <f>-'5C2_LAVCA'!AT67</f>
        <v>-11817</v>
      </c>
      <c r="AL67" s="61">
        <f>-'5C3_UnvView'!AT67</f>
        <v>-45410</v>
      </c>
      <c r="AM67" s="370">
        <f t="shared" si="7"/>
        <v>-106937</v>
      </c>
      <c r="AN67" s="371">
        <f t="shared" si="8"/>
        <v>1181117</v>
      </c>
      <c r="AO67" s="61"/>
      <c r="AP67" s="61"/>
      <c r="AQ67" s="61">
        <f>-'5C1A_Madison'!AY67</f>
        <v>69</v>
      </c>
      <c r="AR67" s="61">
        <f>-'5C1B_DArbonne'!AY67</f>
        <v>0</v>
      </c>
      <c r="AS67" s="61">
        <f>-'5C1C_Intl High'!AY67</f>
        <v>0</v>
      </c>
      <c r="AT67" s="61">
        <f>-'5C1D_NOMMA'!AY67</f>
        <v>0</v>
      </c>
      <c r="AU67" s="61">
        <f>-'5C1E_LFNO'!AY67</f>
        <v>0</v>
      </c>
      <c r="AV67" s="61">
        <f>-'5C1F_L.C. Charter'!AY67</f>
        <v>0</v>
      </c>
      <c r="AW67" s="61">
        <f>-'5C1G_JS Clark'!AY67</f>
        <v>0</v>
      </c>
      <c r="AX67" s="61">
        <f>-'5C1H_Southwest'!AY67</f>
        <v>0</v>
      </c>
      <c r="AY67" s="61">
        <f>-'5C1I_LA Key'!AY67</f>
        <v>-4</v>
      </c>
      <c r="AZ67" s="61">
        <f>-'5C1J_JCFA-East'!AY67</f>
        <v>0</v>
      </c>
      <c r="BA67" s="61">
        <f>-'5C1M_GEO Mid'!AY67</f>
        <v>-2</v>
      </c>
      <c r="BB67" s="61">
        <f>-'5C1N_Delta'!AY67</f>
        <v>0</v>
      </c>
      <c r="BC67" s="61">
        <f>-'5C1O_Impact'!AY67</f>
        <v>0</v>
      </c>
      <c r="BD67" s="61">
        <f>-'5C1Q_Advantage'!AY67</f>
        <v>-38</v>
      </c>
      <c r="BE67" s="61">
        <f>-'5C1R_Iberville'!AY67</f>
        <v>269</v>
      </c>
      <c r="BF67" s="61">
        <f>-'5C1S_LC Col Prep'!AY67</f>
        <v>0</v>
      </c>
      <c r="BG67" s="61">
        <f>-'5C1T_Northeast'!AY67</f>
        <v>0</v>
      </c>
      <c r="BH67" s="61">
        <f>-'5C1U_Acadiana Ren'!AY67</f>
        <v>0</v>
      </c>
      <c r="BI67" s="61">
        <f>-'5C1V_Laf Ren'!AY67</f>
        <v>0</v>
      </c>
      <c r="BJ67" s="61">
        <f>-'5C1W_Willow'!AY67</f>
        <v>0</v>
      </c>
      <c r="BK67" s="61">
        <f>-'5C1Y_GEO'!AY67</f>
        <v>9</v>
      </c>
      <c r="BL67" s="61">
        <f>-'5C1Z_Lincoln Prep'!AY67</f>
        <v>0</v>
      </c>
      <c r="BM67" s="61">
        <f>-'5C1AD_Greater'!AY67</f>
        <v>0</v>
      </c>
      <c r="BN67" s="61">
        <f>-'5C1AE_Noble Minds'!AY67</f>
        <v>0</v>
      </c>
      <c r="BO67" s="61">
        <f>-'5C1AF_JCFA-Laf'!AY67</f>
        <v>0</v>
      </c>
      <c r="BP67" s="61">
        <f>-'5C1AG_Collegiate'!AY67</f>
        <v>0</v>
      </c>
      <c r="BQ67" s="61">
        <f>-'5C1AH_BRUP'!AY67</f>
        <v>0</v>
      </c>
      <c r="BR67" s="61">
        <f>-'5C1AI_Harmony'!$AY67</f>
        <v>0</v>
      </c>
      <c r="BS67" s="61">
        <f>-'5C1AJ_Athlos'!$AY67</f>
        <v>0</v>
      </c>
      <c r="BT67" s="61">
        <f>-'5C1AK_NxtGen'!$AY67</f>
        <v>0</v>
      </c>
      <c r="BU67" s="61">
        <f>-'5C1AL_Red River'!$AY67</f>
        <v>0</v>
      </c>
      <c r="BV67" s="61">
        <f>-'5C2_LAVCA'!AZ67</f>
        <v>-43</v>
      </c>
      <c r="BW67" s="61">
        <f>-'5C3_UnvView'!AZ67</f>
        <v>-356</v>
      </c>
      <c r="BX67" s="61">
        <f t="shared" si="9"/>
        <v>-96</v>
      </c>
      <c r="BY67" s="371">
        <f t="shared" si="10"/>
        <v>1181021</v>
      </c>
    </row>
    <row r="68" spans="1:77" s="7" customFormat="1" ht="15.75" customHeight="1" x14ac:dyDescent="0.2">
      <c r="A68" s="368">
        <v>62</v>
      </c>
      <c r="B68" s="369" t="s">
        <v>65</v>
      </c>
      <c r="C68" s="61">
        <f>'2_State Distrib and Adjs'!AZ68</f>
        <v>1056835</v>
      </c>
      <c r="D68" s="61">
        <f>-'5A3_OJJ'!S68</f>
        <v>-231</v>
      </c>
      <c r="E68" s="61"/>
      <c r="F68" s="61">
        <f>-'5C1A_Madison'!AS68</f>
        <v>0</v>
      </c>
      <c r="G68" s="61">
        <f>-'5C1B_DArbonne'!AS68</f>
        <v>0</v>
      </c>
      <c r="H68" s="61">
        <f>-'5C1C_Intl High'!AS68</f>
        <v>0</v>
      </c>
      <c r="I68" s="61">
        <f>-'5C1D_NOMMA'!AS68</f>
        <v>0</v>
      </c>
      <c r="J68" s="61">
        <f>-'5C1E_LFNO'!AS68</f>
        <v>0</v>
      </c>
      <c r="K68" s="61">
        <f>-'5C1F_L.C. Charter'!AS68</f>
        <v>0</v>
      </c>
      <c r="L68" s="61">
        <f>-'5C1G_JS Clark'!AS68</f>
        <v>0</v>
      </c>
      <c r="M68" s="61">
        <f>-'5C1H_Southwest'!AS68</f>
        <v>0</v>
      </c>
      <c r="N68" s="61">
        <f>-'5C1I_LA Key'!AS68</f>
        <v>0</v>
      </c>
      <c r="O68" s="61">
        <f>-'5C1J_JCFA-East'!AS68</f>
        <v>0</v>
      </c>
      <c r="P68" s="61">
        <f>-'5C1M_GEO Mid'!AS68</f>
        <v>0</v>
      </c>
      <c r="Q68" s="61">
        <f>-'5C1N_Delta'!AS68</f>
        <v>0</v>
      </c>
      <c r="R68" s="61">
        <f>-'5C1O_Impact'!AS68</f>
        <v>0</v>
      </c>
      <c r="S68" s="61">
        <f>-'5C1Q_Advantage'!AS68</f>
        <v>0</v>
      </c>
      <c r="T68" s="61">
        <f>-'5C1R_Iberville'!AS68</f>
        <v>0</v>
      </c>
      <c r="U68" s="61">
        <f>-'5C1S_LC Col Prep'!AS68</f>
        <v>0</v>
      </c>
      <c r="V68" s="61">
        <f>-'5C1T_Northeast'!AS68</f>
        <v>0</v>
      </c>
      <c r="W68" s="61">
        <f>-'5C1U_Acadiana Ren'!AS68</f>
        <v>0</v>
      </c>
      <c r="X68" s="61">
        <f>-'5C1V_Laf Ren'!AS68</f>
        <v>0</v>
      </c>
      <c r="Y68" s="61">
        <f>-'5C1W_Willow'!AS68</f>
        <v>0</v>
      </c>
      <c r="Z68" s="61">
        <f>-'5C1Y_GEO'!AS68</f>
        <v>0</v>
      </c>
      <c r="AA68" s="61">
        <f>-'5C1Z_Lincoln Prep'!AS68</f>
        <v>0</v>
      </c>
      <c r="AB68" s="61">
        <f>-'5C1AD_Greater'!$AS68</f>
        <v>0</v>
      </c>
      <c r="AC68" s="61">
        <f>-'5C1AE_Noble Minds'!$AS68</f>
        <v>0</v>
      </c>
      <c r="AD68" s="61">
        <f>-'5C1AF_JCFA-Laf'!$AS68</f>
        <v>0</v>
      </c>
      <c r="AE68" s="61">
        <f>-'5C1AG_Collegiate'!$AS68</f>
        <v>0</v>
      </c>
      <c r="AF68" s="61">
        <f>-'5C1AH_BRUP'!$AS68</f>
        <v>0</v>
      </c>
      <c r="AG68" s="61">
        <f>-'5C1AI_Harmony'!$AS68</f>
        <v>0</v>
      </c>
      <c r="AH68" s="61">
        <f>-'5C1AJ_Athlos'!$AS68</f>
        <v>0</v>
      </c>
      <c r="AI68" s="61">
        <f>-'5C1AK_NxtGen'!$AS68</f>
        <v>0</v>
      </c>
      <c r="AJ68" s="61">
        <f>-'5C1AL_Red River'!$AS68</f>
        <v>0</v>
      </c>
      <c r="AK68" s="61">
        <f>-'5C2_LAVCA'!AT68</f>
        <v>-2009</v>
      </c>
      <c r="AL68" s="61">
        <f>-'5C3_UnvView'!AT68</f>
        <v>-2109</v>
      </c>
      <c r="AM68" s="370">
        <f t="shared" si="7"/>
        <v>-4349</v>
      </c>
      <c r="AN68" s="371">
        <f t="shared" si="8"/>
        <v>1052486</v>
      </c>
      <c r="AO68" s="61"/>
      <c r="AP68" s="61"/>
      <c r="AQ68" s="61">
        <f>-'5C1A_Madison'!AY68</f>
        <v>0</v>
      </c>
      <c r="AR68" s="61">
        <f>-'5C1B_DArbonne'!AY68</f>
        <v>0</v>
      </c>
      <c r="AS68" s="61">
        <f>-'5C1C_Intl High'!AY68</f>
        <v>0</v>
      </c>
      <c r="AT68" s="61">
        <f>-'5C1D_NOMMA'!AY68</f>
        <v>0</v>
      </c>
      <c r="AU68" s="61">
        <f>-'5C1E_LFNO'!AY68</f>
        <v>0</v>
      </c>
      <c r="AV68" s="61">
        <f>-'5C1F_L.C. Charter'!AY68</f>
        <v>0</v>
      </c>
      <c r="AW68" s="61">
        <f>-'5C1G_JS Clark'!AY68</f>
        <v>0</v>
      </c>
      <c r="AX68" s="61">
        <f>-'5C1H_Southwest'!AY68</f>
        <v>0</v>
      </c>
      <c r="AY68" s="61">
        <f>-'5C1I_LA Key'!AY68</f>
        <v>0</v>
      </c>
      <c r="AZ68" s="61">
        <f>-'5C1J_JCFA-East'!AY68</f>
        <v>0</v>
      </c>
      <c r="BA68" s="61">
        <f>-'5C1M_GEO Mid'!AY68</f>
        <v>0</v>
      </c>
      <c r="BB68" s="61">
        <f>-'5C1N_Delta'!AY68</f>
        <v>0</v>
      </c>
      <c r="BC68" s="61">
        <f>-'5C1O_Impact'!AY68</f>
        <v>0</v>
      </c>
      <c r="BD68" s="61">
        <f>-'5C1Q_Advantage'!AY68</f>
        <v>0</v>
      </c>
      <c r="BE68" s="61">
        <f>-'5C1R_Iberville'!AY68</f>
        <v>0</v>
      </c>
      <c r="BF68" s="61">
        <f>-'5C1S_LC Col Prep'!AY68</f>
        <v>0</v>
      </c>
      <c r="BG68" s="61">
        <f>-'5C1T_Northeast'!AY68</f>
        <v>0</v>
      </c>
      <c r="BH68" s="61">
        <f>-'5C1U_Acadiana Ren'!AY68</f>
        <v>0</v>
      </c>
      <c r="BI68" s="61">
        <f>-'5C1V_Laf Ren'!AY68</f>
        <v>0</v>
      </c>
      <c r="BJ68" s="61">
        <f>-'5C1W_Willow'!AY68</f>
        <v>0</v>
      </c>
      <c r="BK68" s="61">
        <f>-'5C1Y_GEO'!AY68</f>
        <v>0</v>
      </c>
      <c r="BL68" s="61">
        <f>-'5C1Z_Lincoln Prep'!AY68</f>
        <v>0</v>
      </c>
      <c r="BM68" s="61">
        <f>-'5C1AD_Greater'!AY68</f>
        <v>0</v>
      </c>
      <c r="BN68" s="61">
        <f>-'5C1AE_Noble Minds'!AY68</f>
        <v>0</v>
      </c>
      <c r="BO68" s="61">
        <f>-'5C1AF_JCFA-Laf'!AY68</f>
        <v>0</v>
      </c>
      <c r="BP68" s="61">
        <f>-'5C1AG_Collegiate'!AY68</f>
        <v>0</v>
      </c>
      <c r="BQ68" s="61">
        <f>-'5C1AH_BRUP'!AY68</f>
        <v>0</v>
      </c>
      <c r="BR68" s="61">
        <f>-'5C1AI_Harmony'!$AY68</f>
        <v>0</v>
      </c>
      <c r="BS68" s="61">
        <f>-'5C1AJ_Athlos'!$AY68</f>
        <v>0</v>
      </c>
      <c r="BT68" s="61">
        <f>-'5C1AK_NxtGen'!$AY68</f>
        <v>0</v>
      </c>
      <c r="BU68" s="61">
        <f>-'5C1AL_Red River'!$AY68</f>
        <v>0</v>
      </c>
      <c r="BV68" s="61">
        <f>-'5C2_LAVCA'!AZ68</f>
        <v>-18</v>
      </c>
      <c r="BW68" s="61">
        <f>-'5C3_UnvView'!AZ68</f>
        <v>-3</v>
      </c>
      <c r="BX68" s="61">
        <f t="shared" si="9"/>
        <v>-21</v>
      </c>
      <c r="BY68" s="371">
        <f t="shared" si="10"/>
        <v>1052465</v>
      </c>
    </row>
    <row r="69" spans="1:77" s="7" customFormat="1" ht="15.75" customHeight="1" x14ac:dyDescent="0.2">
      <c r="A69" s="368">
        <v>63</v>
      </c>
      <c r="B69" s="369" t="s">
        <v>66</v>
      </c>
      <c r="C69" s="61">
        <f>'2_State Distrib and Adjs'!AZ69</f>
        <v>850615</v>
      </c>
      <c r="D69" s="61">
        <f>-'5A3_OJJ'!S69</f>
        <v>0</v>
      </c>
      <c r="E69" s="61"/>
      <c r="F69" s="61">
        <f>-'5C1A_Madison'!AS69</f>
        <v>0</v>
      </c>
      <c r="G69" s="61">
        <f>-'5C1B_DArbonne'!AS69</f>
        <v>0</v>
      </c>
      <c r="H69" s="61">
        <f>-'5C1C_Intl High'!AS69</f>
        <v>0</v>
      </c>
      <c r="I69" s="61">
        <f>-'5C1D_NOMMA'!AS69</f>
        <v>0</v>
      </c>
      <c r="J69" s="61">
        <f>-'5C1E_LFNO'!AS69</f>
        <v>0</v>
      </c>
      <c r="K69" s="61">
        <f>-'5C1F_L.C. Charter'!AS69</f>
        <v>0</v>
      </c>
      <c r="L69" s="61">
        <f>-'5C1G_JS Clark'!AS69</f>
        <v>0</v>
      </c>
      <c r="M69" s="61">
        <f>-'5C1H_Southwest'!AS69</f>
        <v>0</v>
      </c>
      <c r="N69" s="61">
        <f>-'5C1I_LA Key'!AS69</f>
        <v>-5801</v>
      </c>
      <c r="O69" s="61">
        <f>-'5C1J_JCFA-East'!AS69</f>
        <v>0</v>
      </c>
      <c r="P69" s="61">
        <f>-'5C1M_GEO Mid'!AS69</f>
        <v>0</v>
      </c>
      <c r="Q69" s="61">
        <f>-'5C1N_Delta'!AS69</f>
        <v>0</v>
      </c>
      <c r="R69" s="61">
        <f>-'5C1O_Impact'!AS69</f>
        <v>0</v>
      </c>
      <c r="S69" s="61">
        <f>-'5C1Q_Advantage'!AS69</f>
        <v>-871</v>
      </c>
      <c r="T69" s="61">
        <f>-'5C1R_Iberville'!AS69</f>
        <v>0</v>
      </c>
      <c r="U69" s="61">
        <f>-'5C1S_LC Col Prep'!AS69</f>
        <v>0</v>
      </c>
      <c r="V69" s="61">
        <f>-'5C1T_Northeast'!AS69</f>
        <v>0</v>
      </c>
      <c r="W69" s="61">
        <f>-'5C1U_Acadiana Ren'!AS69</f>
        <v>0</v>
      </c>
      <c r="X69" s="61">
        <f>-'5C1V_Laf Ren'!AS69</f>
        <v>0</v>
      </c>
      <c r="Y69" s="61">
        <f>-'5C1W_Willow'!AS69</f>
        <v>0</v>
      </c>
      <c r="Z69" s="61">
        <f>-'5C1Y_GEO'!AS69</f>
        <v>0</v>
      </c>
      <c r="AA69" s="61">
        <f>-'5C1Z_Lincoln Prep'!AS69</f>
        <v>0</v>
      </c>
      <c r="AB69" s="61">
        <f>-'5C1AD_Greater'!$AS69</f>
        <v>0</v>
      </c>
      <c r="AC69" s="61">
        <f>-'5C1AE_Noble Minds'!$AS69</f>
        <v>0</v>
      </c>
      <c r="AD69" s="61">
        <f>-'5C1AF_JCFA-Laf'!$AS69</f>
        <v>0</v>
      </c>
      <c r="AE69" s="61">
        <f>-'5C1AG_Collegiate'!$AS69</f>
        <v>0</v>
      </c>
      <c r="AF69" s="61">
        <f>-'5C1AH_BRUP'!$AS69</f>
        <v>0</v>
      </c>
      <c r="AG69" s="61">
        <f>-'5C1AI_Harmony'!$AS69</f>
        <v>0</v>
      </c>
      <c r="AH69" s="61">
        <f>-'5C1AJ_Athlos'!$AS69</f>
        <v>0</v>
      </c>
      <c r="AI69" s="61">
        <f>-'5C1AK_NxtGen'!$AS69</f>
        <v>0</v>
      </c>
      <c r="AJ69" s="61">
        <f>-'5C1AL_Red River'!$AS69</f>
        <v>0</v>
      </c>
      <c r="AK69" s="61">
        <f>-'5C2_LAVCA'!AT69</f>
        <v>-987</v>
      </c>
      <c r="AL69" s="61">
        <f>-'5C3_UnvView'!AT69</f>
        <v>-11650</v>
      </c>
      <c r="AM69" s="370">
        <f t="shared" si="7"/>
        <v>-19309</v>
      </c>
      <c r="AN69" s="371">
        <f t="shared" si="8"/>
        <v>831306</v>
      </c>
      <c r="AO69" s="61"/>
      <c r="AP69" s="61"/>
      <c r="AQ69" s="61">
        <f>-'5C1A_Madison'!AY69</f>
        <v>0</v>
      </c>
      <c r="AR69" s="61">
        <f>-'5C1B_DArbonne'!AY69</f>
        <v>0</v>
      </c>
      <c r="AS69" s="61">
        <f>-'5C1C_Intl High'!AY69</f>
        <v>0</v>
      </c>
      <c r="AT69" s="61">
        <f>-'5C1D_NOMMA'!AY69</f>
        <v>0</v>
      </c>
      <c r="AU69" s="61">
        <f>-'5C1E_LFNO'!AY69</f>
        <v>0</v>
      </c>
      <c r="AV69" s="61">
        <f>-'5C1F_L.C. Charter'!AY69</f>
        <v>0</v>
      </c>
      <c r="AW69" s="61">
        <f>-'5C1G_JS Clark'!AY69</f>
        <v>0</v>
      </c>
      <c r="AX69" s="61">
        <f>-'5C1H_Southwest'!AY69</f>
        <v>0</v>
      </c>
      <c r="AY69" s="61">
        <f>-'5C1I_LA Key'!AY69</f>
        <v>-72</v>
      </c>
      <c r="AZ69" s="61">
        <f>-'5C1J_JCFA-East'!AY69</f>
        <v>0</v>
      </c>
      <c r="BA69" s="61">
        <f>-'5C1M_GEO Mid'!AY69</f>
        <v>0</v>
      </c>
      <c r="BB69" s="61">
        <f>-'5C1N_Delta'!AY69</f>
        <v>0</v>
      </c>
      <c r="BC69" s="61">
        <f>-'5C1O_Impact'!AY69</f>
        <v>0</v>
      </c>
      <c r="BD69" s="61">
        <f>-'5C1Q_Advantage'!AY69</f>
        <v>-1</v>
      </c>
      <c r="BE69" s="61">
        <f>-'5C1R_Iberville'!AY69</f>
        <v>0</v>
      </c>
      <c r="BF69" s="61">
        <f>-'5C1S_LC Col Prep'!AY69</f>
        <v>0</v>
      </c>
      <c r="BG69" s="61">
        <f>-'5C1T_Northeast'!AY69</f>
        <v>0</v>
      </c>
      <c r="BH69" s="61">
        <f>-'5C1U_Acadiana Ren'!AY69</f>
        <v>0</v>
      </c>
      <c r="BI69" s="61">
        <f>-'5C1V_Laf Ren'!AY69</f>
        <v>0</v>
      </c>
      <c r="BJ69" s="61">
        <f>-'5C1W_Willow'!AY69</f>
        <v>0</v>
      </c>
      <c r="BK69" s="61">
        <f>-'5C1Y_GEO'!AY69</f>
        <v>0</v>
      </c>
      <c r="BL69" s="61">
        <f>-'5C1Z_Lincoln Prep'!AY69</f>
        <v>0</v>
      </c>
      <c r="BM69" s="61">
        <f>-'5C1AD_Greater'!AY69</f>
        <v>0</v>
      </c>
      <c r="BN69" s="61">
        <f>-'5C1AE_Noble Minds'!AY69</f>
        <v>0</v>
      </c>
      <c r="BO69" s="61">
        <f>-'5C1AF_JCFA-Laf'!AY69</f>
        <v>0</v>
      </c>
      <c r="BP69" s="61">
        <f>-'5C1AG_Collegiate'!AY69</f>
        <v>0</v>
      </c>
      <c r="BQ69" s="61">
        <f>-'5C1AH_BRUP'!AY69</f>
        <v>0</v>
      </c>
      <c r="BR69" s="61">
        <f>-'5C1AI_Harmony'!$AY69</f>
        <v>0</v>
      </c>
      <c r="BS69" s="61">
        <f>-'5C1AJ_Athlos'!$AY69</f>
        <v>0</v>
      </c>
      <c r="BT69" s="61">
        <f>-'5C1AK_NxtGen'!$AY69</f>
        <v>0</v>
      </c>
      <c r="BU69" s="61">
        <f>-'5C1AL_Red River'!$AY69</f>
        <v>0</v>
      </c>
      <c r="BV69" s="61">
        <f>-'5C2_LAVCA'!AZ69</f>
        <v>17</v>
      </c>
      <c r="BW69" s="61">
        <f>-'5C3_UnvView'!AZ69</f>
        <v>-62</v>
      </c>
      <c r="BX69" s="61">
        <f t="shared" si="9"/>
        <v>-118</v>
      </c>
      <c r="BY69" s="371">
        <f t="shared" si="10"/>
        <v>831188</v>
      </c>
    </row>
    <row r="70" spans="1:77" s="7" customFormat="1" ht="15.75" customHeight="1" x14ac:dyDescent="0.2">
      <c r="A70" s="368">
        <v>64</v>
      </c>
      <c r="B70" s="369" t="s">
        <v>67</v>
      </c>
      <c r="C70" s="61">
        <f>'2_State Distrib and Adjs'!AZ70</f>
        <v>1164941</v>
      </c>
      <c r="D70" s="61">
        <f>-'5A3_OJJ'!S70</f>
        <v>-266</v>
      </c>
      <c r="E70" s="61"/>
      <c r="F70" s="61">
        <f>-'5C1A_Madison'!AS70</f>
        <v>0</v>
      </c>
      <c r="G70" s="61">
        <f>-'5C1B_DArbonne'!AS70</f>
        <v>0</v>
      </c>
      <c r="H70" s="61">
        <f>-'5C1C_Intl High'!AS70</f>
        <v>0</v>
      </c>
      <c r="I70" s="61">
        <f>-'5C1D_NOMMA'!AS70</f>
        <v>0</v>
      </c>
      <c r="J70" s="61">
        <f>-'5C1E_LFNO'!AS70</f>
        <v>0</v>
      </c>
      <c r="K70" s="61">
        <f>-'5C1F_L.C. Charter'!AS70</f>
        <v>0</v>
      </c>
      <c r="L70" s="61">
        <f>-'5C1G_JS Clark'!AS70</f>
        <v>0</v>
      </c>
      <c r="M70" s="61">
        <f>-'5C1H_Southwest'!AS70</f>
        <v>0</v>
      </c>
      <c r="N70" s="61">
        <f>-'5C1I_LA Key'!AS70</f>
        <v>0</v>
      </c>
      <c r="O70" s="61">
        <f>-'5C1J_JCFA-East'!AS70</f>
        <v>0</v>
      </c>
      <c r="P70" s="61">
        <f>-'5C1M_GEO Mid'!AS70</f>
        <v>0</v>
      </c>
      <c r="Q70" s="61">
        <f>-'5C1N_Delta'!AS70</f>
        <v>0</v>
      </c>
      <c r="R70" s="61">
        <f>-'5C1O_Impact'!AS70</f>
        <v>0</v>
      </c>
      <c r="S70" s="61">
        <f>-'5C1Q_Advantage'!AS70</f>
        <v>0</v>
      </c>
      <c r="T70" s="61">
        <f>-'5C1R_Iberville'!AS70</f>
        <v>0</v>
      </c>
      <c r="U70" s="61">
        <f>-'5C1S_LC Col Prep'!AS70</f>
        <v>0</v>
      </c>
      <c r="V70" s="61">
        <f>-'5C1T_Northeast'!AS70</f>
        <v>0</v>
      </c>
      <c r="W70" s="61">
        <f>-'5C1U_Acadiana Ren'!AS70</f>
        <v>0</v>
      </c>
      <c r="X70" s="61">
        <f>-'5C1V_Laf Ren'!AS70</f>
        <v>0</v>
      </c>
      <c r="Y70" s="61">
        <f>-'5C1W_Willow'!AS70</f>
        <v>0</v>
      </c>
      <c r="Z70" s="61">
        <f>-'5C1Y_GEO'!AS70</f>
        <v>0</v>
      </c>
      <c r="AA70" s="61">
        <f>-'5C1Z_Lincoln Prep'!AS70</f>
        <v>-864</v>
      </c>
      <c r="AB70" s="61">
        <f>-'5C1AD_Greater'!$AS70</f>
        <v>0</v>
      </c>
      <c r="AC70" s="61">
        <f>-'5C1AE_Noble Minds'!$AS70</f>
        <v>0</v>
      </c>
      <c r="AD70" s="61">
        <f>-'5C1AF_JCFA-Laf'!$AS70</f>
        <v>0</v>
      </c>
      <c r="AE70" s="61">
        <f>-'5C1AG_Collegiate'!$AS70</f>
        <v>0</v>
      </c>
      <c r="AF70" s="61">
        <f>-'5C1AH_BRUP'!$AS70</f>
        <v>0</v>
      </c>
      <c r="AG70" s="61">
        <f>-'5C1AI_Harmony'!$AS70</f>
        <v>0</v>
      </c>
      <c r="AH70" s="61">
        <f>-'5C1AJ_Athlos'!$AS70</f>
        <v>0</v>
      </c>
      <c r="AI70" s="61">
        <f>-'5C1AK_NxtGen'!$AS70</f>
        <v>0</v>
      </c>
      <c r="AJ70" s="61">
        <f>-'5C1AL_Red River'!$AS70</f>
        <v>0</v>
      </c>
      <c r="AK70" s="61">
        <f>-'5C2_LAVCA'!AT70</f>
        <v>-1838</v>
      </c>
      <c r="AL70" s="61">
        <f>-'5C3_UnvView'!AT70</f>
        <v>-2723</v>
      </c>
      <c r="AM70" s="370">
        <f t="shared" si="7"/>
        <v>-5691</v>
      </c>
      <c r="AN70" s="371">
        <f t="shared" si="8"/>
        <v>1159250</v>
      </c>
      <c r="AO70" s="61"/>
      <c r="AP70" s="61"/>
      <c r="AQ70" s="61">
        <f>-'5C1A_Madison'!AY70</f>
        <v>0</v>
      </c>
      <c r="AR70" s="61">
        <f>-'5C1B_DArbonne'!AY70</f>
        <v>0</v>
      </c>
      <c r="AS70" s="61">
        <f>-'5C1C_Intl High'!AY70</f>
        <v>0</v>
      </c>
      <c r="AT70" s="61">
        <f>-'5C1D_NOMMA'!AY70</f>
        <v>0</v>
      </c>
      <c r="AU70" s="61">
        <f>-'5C1E_LFNO'!AY70</f>
        <v>0</v>
      </c>
      <c r="AV70" s="61">
        <f>-'5C1F_L.C. Charter'!AY70</f>
        <v>0</v>
      </c>
      <c r="AW70" s="61">
        <f>-'5C1G_JS Clark'!AY70</f>
        <v>0</v>
      </c>
      <c r="AX70" s="61">
        <f>-'5C1H_Southwest'!AY70</f>
        <v>0</v>
      </c>
      <c r="AY70" s="61">
        <f>-'5C1I_LA Key'!AY70</f>
        <v>0</v>
      </c>
      <c r="AZ70" s="61">
        <f>-'5C1J_JCFA-East'!AY70</f>
        <v>0</v>
      </c>
      <c r="BA70" s="61">
        <f>-'5C1M_GEO Mid'!AY70</f>
        <v>0</v>
      </c>
      <c r="BB70" s="61">
        <f>-'5C1N_Delta'!AY70</f>
        <v>0</v>
      </c>
      <c r="BC70" s="61">
        <f>-'5C1O_Impact'!AY70</f>
        <v>0</v>
      </c>
      <c r="BD70" s="61">
        <f>-'5C1Q_Advantage'!AY70</f>
        <v>0</v>
      </c>
      <c r="BE70" s="61">
        <f>-'5C1R_Iberville'!AY70</f>
        <v>0</v>
      </c>
      <c r="BF70" s="61">
        <f>-'5C1S_LC Col Prep'!AY70</f>
        <v>0</v>
      </c>
      <c r="BG70" s="61">
        <f>-'5C1T_Northeast'!AY70</f>
        <v>0</v>
      </c>
      <c r="BH70" s="61">
        <f>-'5C1U_Acadiana Ren'!AY70</f>
        <v>0</v>
      </c>
      <c r="BI70" s="61">
        <f>-'5C1V_Laf Ren'!AY70</f>
        <v>0</v>
      </c>
      <c r="BJ70" s="61">
        <f>-'5C1W_Willow'!AY70</f>
        <v>0</v>
      </c>
      <c r="BK70" s="61">
        <f>-'5C1Y_GEO'!AY70</f>
        <v>0</v>
      </c>
      <c r="BL70" s="61">
        <f>-'5C1Z_Lincoln Prep'!AY70</f>
        <v>-9</v>
      </c>
      <c r="BM70" s="61">
        <f>-'5C1AD_Greater'!AY70</f>
        <v>0</v>
      </c>
      <c r="BN70" s="61">
        <f>-'5C1AE_Noble Minds'!AY70</f>
        <v>0</v>
      </c>
      <c r="BO70" s="61">
        <f>-'5C1AF_JCFA-Laf'!AY70</f>
        <v>0</v>
      </c>
      <c r="BP70" s="61">
        <f>-'5C1AG_Collegiate'!AY70</f>
        <v>0</v>
      </c>
      <c r="BQ70" s="61">
        <f>-'5C1AH_BRUP'!AY70</f>
        <v>0</v>
      </c>
      <c r="BR70" s="61">
        <f>-'5C1AI_Harmony'!$AY70</f>
        <v>0</v>
      </c>
      <c r="BS70" s="61">
        <f>-'5C1AJ_Athlos'!$AY70</f>
        <v>0</v>
      </c>
      <c r="BT70" s="61">
        <f>-'5C1AK_NxtGen'!$AY70</f>
        <v>0</v>
      </c>
      <c r="BU70" s="61">
        <f>-'5C1AL_Red River'!$AY70</f>
        <v>0</v>
      </c>
      <c r="BV70" s="61">
        <f>-'5C2_LAVCA'!AZ70</f>
        <v>-8</v>
      </c>
      <c r="BW70" s="61">
        <f>-'5C3_UnvView'!AZ70</f>
        <v>-27</v>
      </c>
      <c r="BX70" s="61">
        <f t="shared" si="9"/>
        <v>-44</v>
      </c>
      <c r="BY70" s="371">
        <f t="shared" si="10"/>
        <v>1159206</v>
      </c>
    </row>
    <row r="71" spans="1:77" s="7" customFormat="1" ht="15.75" customHeight="1" x14ac:dyDescent="0.2">
      <c r="A71" s="358">
        <v>65</v>
      </c>
      <c r="B71" s="359" t="s">
        <v>68</v>
      </c>
      <c r="C71" s="360">
        <f>'2_State Distrib and Adjs'!AZ71</f>
        <v>3878249</v>
      </c>
      <c r="D71" s="360">
        <f>-'5A3_OJJ'!S71</f>
        <v>-696</v>
      </c>
      <c r="E71" s="360"/>
      <c r="F71" s="360">
        <f>-'5C1A_Madison'!AS71</f>
        <v>0</v>
      </c>
      <c r="G71" s="360">
        <f>-'5C1B_DArbonne'!AS71</f>
        <v>0</v>
      </c>
      <c r="H71" s="360">
        <f>-'5C1C_Intl High'!AS71</f>
        <v>0</v>
      </c>
      <c r="I71" s="360">
        <f>-'5C1D_NOMMA'!AS71</f>
        <v>0</v>
      </c>
      <c r="J71" s="360">
        <f>-'5C1E_LFNO'!AS71</f>
        <v>0</v>
      </c>
      <c r="K71" s="360">
        <f>-'5C1F_L.C. Charter'!AS71</f>
        <v>0</v>
      </c>
      <c r="L71" s="360">
        <f>-'5C1G_JS Clark'!AS71</f>
        <v>0</v>
      </c>
      <c r="M71" s="360">
        <f>-'5C1H_Southwest'!AS71</f>
        <v>0</v>
      </c>
      <c r="N71" s="360">
        <f>-'5C1I_LA Key'!AS71</f>
        <v>0</v>
      </c>
      <c r="O71" s="360">
        <f>-'5C1J_JCFA-East'!AS71</f>
        <v>0</v>
      </c>
      <c r="P71" s="360">
        <f>-'5C1M_GEO Mid'!AS71</f>
        <v>0</v>
      </c>
      <c r="Q71" s="360">
        <f>-'5C1N_Delta'!AS71</f>
        <v>0</v>
      </c>
      <c r="R71" s="360">
        <f>-'5C1O_Impact'!AS71</f>
        <v>0</v>
      </c>
      <c r="S71" s="360">
        <f>-'5C1Q_Advantage'!AS71</f>
        <v>0</v>
      </c>
      <c r="T71" s="360">
        <f>-'5C1R_Iberville'!AS71</f>
        <v>0</v>
      </c>
      <c r="U71" s="360">
        <f>-'5C1S_LC Col Prep'!AS71</f>
        <v>0</v>
      </c>
      <c r="V71" s="360">
        <f>-'5C1T_Northeast'!AS71</f>
        <v>0</v>
      </c>
      <c r="W71" s="360">
        <f>-'5C1U_Acadiana Ren'!AS71</f>
        <v>0</v>
      </c>
      <c r="X71" s="360">
        <f>-'5C1V_Laf Ren'!AS71</f>
        <v>0</v>
      </c>
      <c r="Y71" s="360">
        <f>-'5C1W_Willow'!AS71</f>
        <v>0</v>
      </c>
      <c r="Z71" s="360">
        <f>-'5C1Y_GEO'!AS71</f>
        <v>0</v>
      </c>
      <c r="AA71" s="360">
        <f>-'5C1Z_Lincoln Prep'!AS71</f>
        <v>0</v>
      </c>
      <c r="AB71" s="360">
        <f>-'5C1AD_Greater'!$AS71</f>
        <v>0</v>
      </c>
      <c r="AC71" s="360">
        <f>-'5C1AE_Noble Minds'!$AS71</f>
        <v>0</v>
      </c>
      <c r="AD71" s="360">
        <f>-'5C1AF_JCFA-Laf'!$AS71</f>
        <v>0</v>
      </c>
      <c r="AE71" s="360">
        <f>-'5C1AG_Collegiate'!$AS71</f>
        <v>0</v>
      </c>
      <c r="AF71" s="360">
        <f>-'5C1AH_BRUP'!$AS71</f>
        <v>0</v>
      </c>
      <c r="AG71" s="657">
        <f>-'5C1AI_Harmony'!$AS71</f>
        <v>0</v>
      </c>
      <c r="AH71" s="657">
        <f>-'5C1AJ_Athlos'!$AS71</f>
        <v>0</v>
      </c>
      <c r="AI71" s="892">
        <f>-'5C1AK_NxtGen'!$AS71</f>
        <v>0</v>
      </c>
      <c r="AJ71" s="892">
        <f>-'5C1AL_Red River'!$AS71</f>
        <v>0</v>
      </c>
      <c r="AK71" s="360">
        <f>-'5C2_LAVCA'!AT71</f>
        <v>-5937</v>
      </c>
      <c r="AL71" s="360">
        <f>-'5C3_UnvView'!AT71</f>
        <v>-7536</v>
      </c>
      <c r="AM71" s="361">
        <f>SUM(D71:AL71)</f>
        <v>-14169</v>
      </c>
      <c r="AN71" s="362">
        <f>C71+AM71</f>
        <v>3864080</v>
      </c>
      <c r="AO71" s="360"/>
      <c r="AP71" s="360"/>
      <c r="AQ71" s="360">
        <f>-'5C1A_Madison'!AY71</f>
        <v>0</v>
      </c>
      <c r="AR71" s="360">
        <f>-'5C1B_DArbonne'!AY71</f>
        <v>0</v>
      </c>
      <c r="AS71" s="360">
        <f>-'5C1C_Intl High'!AY71</f>
        <v>0</v>
      </c>
      <c r="AT71" s="360">
        <f>-'5C1D_NOMMA'!AY71</f>
        <v>0</v>
      </c>
      <c r="AU71" s="360">
        <f>-'5C1E_LFNO'!AY71</f>
        <v>0</v>
      </c>
      <c r="AV71" s="360">
        <f>-'5C1F_L.C. Charter'!AY71</f>
        <v>0</v>
      </c>
      <c r="AW71" s="360">
        <f>-'5C1G_JS Clark'!AY71</f>
        <v>0</v>
      </c>
      <c r="AX71" s="360">
        <f>-'5C1H_Southwest'!AY71</f>
        <v>0</v>
      </c>
      <c r="AY71" s="360">
        <f>-'5C1I_LA Key'!AY71</f>
        <v>0</v>
      </c>
      <c r="AZ71" s="360">
        <f>-'5C1J_JCFA-East'!AY71</f>
        <v>0</v>
      </c>
      <c r="BA71" s="360">
        <f>-'5C1M_GEO Mid'!AY71</f>
        <v>0</v>
      </c>
      <c r="BB71" s="360">
        <f>-'5C1N_Delta'!AY71</f>
        <v>0</v>
      </c>
      <c r="BC71" s="360">
        <f>-'5C1O_Impact'!AY71</f>
        <v>0</v>
      </c>
      <c r="BD71" s="360">
        <f>-'5C1Q_Advantage'!AY71</f>
        <v>0</v>
      </c>
      <c r="BE71" s="360">
        <f>-'5C1R_Iberville'!AY71</f>
        <v>0</v>
      </c>
      <c r="BF71" s="360">
        <f>-'5C1S_LC Col Prep'!AY71</f>
        <v>0</v>
      </c>
      <c r="BG71" s="360">
        <f>-'5C1T_Northeast'!AY71</f>
        <v>0</v>
      </c>
      <c r="BH71" s="360">
        <f>-'5C1U_Acadiana Ren'!AY71</f>
        <v>0</v>
      </c>
      <c r="BI71" s="360">
        <f>-'5C1V_Laf Ren'!AY71</f>
        <v>0</v>
      </c>
      <c r="BJ71" s="360">
        <f>-'5C1W_Willow'!AY71</f>
        <v>0</v>
      </c>
      <c r="BK71" s="360">
        <f>-'5C1Y_GEO'!AY71</f>
        <v>0</v>
      </c>
      <c r="BL71" s="360">
        <f>-'5C1Z_Lincoln Prep'!AY71</f>
        <v>0</v>
      </c>
      <c r="BM71" s="360">
        <f>-'5C1AD_Greater'!AY71</f>
        <v>0</v>
      </c>
      <c r="BN71" s="360">
        <f>-'5C1AE_Noble Minds'!AY71</f>
        <v>0</v>
      </c>
      <c r="BO71" s="360">
        <f>-'5C1AF_JCFA-Laf'!AY71</f>
        <v>0</v>
      </c>
      <c r="BP71" s="360">
        <f>-'5C1AG_Collegiate'!AY71</f>
        <v>0</v>
      </c>
      <c r="BQ71" s="360">
        <f>-'5C1AH_BRUP'!AY71</f>
        <v>0</v>
      </c>
      <c r="BR71" s="657">
        <f>-'5C1AI_Harmony'!$AY71</f>
        <v>0</v>
      </c>
      <c r="BS71" s="657">
        <f>-'5C1AJ_Athlos'!$AY71</f>
        <v>0</v>
      </c>
      <c r="BT71" s="892">
        <f>-'5C1AK_NxtGen'!$AY71</f>
        <v>0</v>
      </c>
      <c r="BU71" s="892">
        <f>-'5C1AL_Red River'!$AY71</f>
        <v>0</v>
      </c>
      <c r="BV71" s="360">
        <f>-'5C2_LAVCA'!AZ71</f>
        <v>-34</v>
      </c>
      <c r="BW71" s="360">
        <f>-'5C3_UnvView'!AZ71</f>
        <v>-46</v>
      </c>
      <c r="BX71" s="360">
        <f>SUM(AP71:BW71)</f>
        <v>-80</v>
      </c>
      <c r="BY71" s="362">
        <f t="shared" si="10"/>
        <v>3864000</v>
      </c>
    </row>
    <row r="72" spans="1:77" s="7" customFormat="1" ht="15.75" customHeight="1" x14ac:dyDescent="0.2">
      <c r="A72" s="368">
        <v>66</v>
      </c>
      <c r="B72" s="369" t="s">
        <v>69</v>
      </c>
      <c r="C72" s="61">
        <f>'2_State Distrib and Adjs'!AZ72</f>
        <v>1143944</v>
      </c>
      <c r="D72" s="61">
        <f>-'5A3_OJJ'!S72</f>
        <v>0</v>
      </c>
      <c r="E72" s="61"/>
      <c r="F72" s="61">
        <f>-'5C1A_Madison'!AS72</f>
        <v>0</v>
      </c>
      <c r="G72" s="61">
        <f>-'5C1B_DArbonne'!AS72</f>
        <v>0</v>
      </c>
      <c r="H72" s="61">
        <f>-'5C1C_Intl High'!AS72</f>
        <v>0</v>
      </c>
      <c r="I72" s="61">
        <f>-'5C1D_NOMMA'!AS72</f>
        <v>0</v>
      </c>
      <c r="J72" s="61">
        <f>-'5C1E_LFNO'!AS72</f>
        <v>0</v>
      </c>
      <c r="K72" s="61">
        <f>-'5C1F_L.C. Charter'!AS72</f>
        <v>0</v>
      </c>
      <c r="L72" s="61">
        <f>-'5C1G_JS Clark'!AS72</f>
        <v>0</v>
      </c>
      <c r="M72" s="61">
        <f>-'5C1H_Southwest'!AS72</f>
        <v>0</v>
      </c>
      <c r="N72" s="61">
        <f>-'5C1I_LA Key'!AS72</f>
        <v>0</v>
      </c>
      <c r="O72" s="61">
        <f>-'5C1J_JCFA-East'!AS72</f>
        <v>0</v>
      </c>
      <c r="P72" s="61">
        <f>-'5C1M_GEO Mid'!AS72</f>
        <v>0</v>
      </c>
      <c r="Q72" s="61">
        <f>-'5C1N_Delta'!AS72</f>
        <v>0</v>
      </c>
      <c r="R72" s="61">
        <f>-'5C1O_Impact'!AS72</f>
        <v>0</v>
      </c>
      <c r="S72" s="61">
        <f>-'5C1Q_Advantage'!AS72</f>
        <v>0</v>
      </c>
      <c r="T72" s="61">
        <f>-'5C1R_Iberville'!AS72</f>
        <v>0</v>
      </c>
      <c r="U72" s="61">
        <f>-'5C1S_LC Col Prep'!AS72</f>
        <v>0</v>
      </c>
      <c r="V72" s="61">
        <f>-'5C1T_Northeast'!AS72</f>
        <v>0</v>
      </c>
      <c r="W72" s="61">
        <f>-'5C1U_Acadiana Ren'!AS72</f>
        <v>0</v>
      </c>
      <c r="X72" s="61">
        <f>-'5C1V_Laf Ren'!AS72</f>
        <v>0</v>
      </c>
      <c r="Y72" s="61">
        <f>-'5C1W_Willow'!AS72</f>
        <v>0</v>
      </c>
      <c r="Z72" s="61">
        <f>-'5C1Y_GEO'!AS72</f>
        <v>0</v>
      </c>
      <c r="AA72" s="61">
        <f>-'5C1Z_Lincoln Prep'!AS72</f>
        <v>0</v>
      </c>
      <c r="AB72" s="61">
        <f>-'5C1AD_Greater'!$AS72</f>
        <v>0</v>
      </c>
      <c r="AC72" s="61">
        <f>-'5C1AE_Noble Minds'!$AS72</f>
        <v>0</v>
      </c>
      <c r="AD72" s="61">
        <f>-'5C1AF_JCFA-Laf'!$AS72</f>
        <v>0</v>
      </c>
      <c r="AE72" s="61">
        <f>-'5C1AG_Collegiate'!$AS72</f>
        <v>0</v>
      </c>
      <c r="AF72" s="61">
        <f>-'5C1AH_BRUP'!$AS72</f>
        <v>0</v>
      </c>
      <c r="AG72" s="61">
        <f>-'5C1AI_Harmony'!$AS72</f>
        <v>0</v>
      </c>
      <c r="AH72" s="61">
        <f>-'5C1AJ_Athlos'!$AS72</f>
        <v>0</v>
      </c>
      <c r="AI72" s="61">
        <f>-'5C1AK_NxtGen'!$AS72</f>
        <v>0</v>
      </c>
      <c r="AJ72" s="61">
        <f>-'5C1AL_Red River'!$AS72</f>
        <v>0</v>
      </c>
      <c r="AK72" s="61">
        <f>-'5C2_LAVCA'!AT72</f>
        <v>-8732</v>
      </c>
      <c r="AL72" s="61">
        <f>-'5C3_UnvView'!AT72</f>
        <v>-16915</v>
      </c>
      <c r="AM72" s="370">
        <f>SUM(D72:AL72)</f>
        <v>-25647</v>
      </c>
      <c r="AN72" s="371">
        <f>C72+AM72</f>
        <v>1118297</v>
      </c>
      <c r="AO72" s="61"/>
      <c r="AP72" s="61"/>
      <c r="AQ72" s="61">
        <f>-'5C1A_Madison'!AY72</f>
        <v>0</v>
      </c>
      <c r="AR72" s="61">
        <f>-'5C1B_DArbonne'!AY72</f>
        <v>0</v>
      </c>
      <c r="AS72" s="61">
        <f>-'5C1C_Intl High'!AY72</f>
        <v>0</v>
      </c>
      <c r="AT72" s="61">
        <f>-'5C1D_NOMMA'!AY72</f>
        <v>0</v>
      </c>
      <c r="AU72" s="61">
        <f>-'5C1E_LFNO'!AY72</f>
        <v>0</v>
      </c>
      <c r="AV72" s="61">
        <f>-'5C1F_L.C. Charter'!AY72</f>
        <v>0</v>
      </c>
      <c r="AW72" s="61">
        <f>-'5C1G_JS Clark'!AY72</f>
        <v>0</v>
      </c>
      <c r="AX72" s="61">
        <f>-'5C1H_Southwest'!AY72</f>
        <v>0</v>
      </c>
      <c r="AY72" s="61">
        <f>-'5C1I_LA Key'!AY72</f>
        <v>0</v>
      </c>
      <c r="AZ72" s="61">
        <f>-'5C1J_JCFA-East'!AY72</f>
        <v>0</v>
      </c>
      <c r="BA72" s="61">
        <f>-'5C1M_GEO Mid'!AY72</f>
        <v>0</v>
      </c>
      <c r="BB72" s="61">
        <f>-'5C1N_Delta'!AY72</f>
        <v>0</v>
      </c>
      <c r="BC72" s="61">
        <f>-'5C1O_Impact'!AY72</f>
        <v>0</v>
      </c>
      <c r="BD72" s="61">
        <f>-'5C1Q_Advantage'!AY72</f>
        <v>0</v>
      </c>
      <c r="BE72" s="61">
        <f>-'5C1R_Iberville'!AY72</f>
        <v>0</v>
      </c>
      <c r="BF72" s="61">
        <f>-'5C1S_LC Col Prep'!AY72</f>
        <v>0</v>
      </c>
      <c r="BG72" s="61">
        <f>-'5C1T_Northeast'!AY72</f>
        <v>0</v>
      </c>
      <c r="BH72" s="61">
        <f>-'5C1U_Acadiana Ren'!AY72</f>
        <v>0</v>
      </c>
      <c r="BI72" s="61">
        <f>-'5C1V_Laf Ren'!AY72</f>
        <v>0</v>
      </c>
      <c r="BJ72" s="61">
        <f>-'5C1W_Willow'!AY72</f>
        <v>0</v>
      </c>
      <c r="BK72" s="61">
        <f>-'5C1Y_GEO'!AY72</f>
        <v>0</v>
      </c>
      <c r="BL72" s="61">
        <f>-'5C1Z_Lincoln Prep'!AY72</f>
        <v>0</v>
      </c>
      <c r="BM72" s="61">
        <f>-'5C1AD_Greater'!AY72</f>
        <v>0</v>
      </c>
      <c r="BN72" s="61">
        <f>-'5C1AE_Noble Minds'!AY72</f>
        <v>0</v>
      </c>
      <c r="BO72" s="61">
        <f>-'5C1AF_JCFA-Laf'!AY72</f>
        <v>0</v>
      </c>
      <c r="BP72" s="61">
        <f>-'5C1AG_Collegiate'!AY72</f>
        <v>0</v>
      </c>
      <c r="BQ72" s="61">
        <f>-'5C1AH_BRUP'!AY72</f>
        <v>0</v>
      </c>
      <c r="BR72" s="61">
        <f>-'5C1AI_Harmony'!$AY72</f>
        <v>0</v>
      </c>
      <c r="BS72" s="61">
        <f>-'5C1AJ_Athlos'!$AY72</f>
        <v>0</v>
      </c>
      <c r="BT72" s="61">
        <f>-'5C1AK_NxtGen'!$AY72</f>
        <v>0</v>
      </c>
      <c r="BU72" s="61">
        <f>-'5C1AL_Red River'!$AY72</f>
        <v>0</v>
      </c>
      <c r="BV72" s="61">
        <f>-'5C2_LAVCA'!AZ72</f>
        <v>-51</v>
      </c>
      <c r="BW72" s="61">
        <f>-'5C3_UnvView'!AZ72</f>
        <v>-117</v>
      </c>
      <c r="BX72" s="61">
        <f>SUM(AP72:BW72)</f>
        <v>-168</v>
      </c>
      <c r="BY72" s="371">
        <f t="shared" si="10"/>
        <v>1118129</v>
      </c>
    </row>
    <row r="73" spans="1:77" s="7" customFormat="1" ht="15.75" customHeight="1" x14ac:dyDescent="0.2">
      <c r="A73" s="368">
        <v>67</v>
      </c>
      <c r="B73" s="369" t="s">
        <v>2</v>
      </c>
      <c r="C73" s="61">
        <f>'2_State Distrib and Adjs'!AZ73</f>
        <v>2762577</v>
      </c>
      <c r="D73" s="61">
        <f>-'5A3_OJJ'!S73</f>
        <v>467</v>
      </c>
      <c r="E73" s="61"/>
      <c r="F73" s="61">
        <f>-'5C1A_Madison'!AS73</f>
        <v>-7187</v>
      </c>
      <c r="G73" s="61">
        <f>-'5C1B_DArbonne'!AS73</f>
        <v>0</v>
      </c>
      <c r="H73" s="61">
        <f>-'5C1C_Intl High'!AS73</f>
        <v>0</v>
      </c>
      <c r="I73" s="61">
        <f>-'5C1D_NOMMA'!AS73</f>
        <v>0</v>
      </c>
      <c r="J73" s="61">
        <f>-'5C1E_LFNO'!AS73</f>
        <v>0</v>
      </c>
      <c r="K73" s="61">
        <f>-'5C1F_L.C. Charter'!AS73</f>
        <v>0</v>
      </c>
      <c r="L73" s="61">
        <f>-'5C1G_JS Clark'!AS73</f>
        <v>0</v>
      </c>
      <c r="M73" s="61">
        <f>-'5C1H_Southwest'!AS73</f>
        <v>0</v>
      </c>
      <c r="N73" s="61">
        <f>-'5C1I_LA Key'!AS73</f>
        <v>-6362</v>
      </c>
      <c r="O73" s="61">
        <f>-'5C1J_JCFA-East'!AS73</f>
        <v>0</v>
      </c>
      <c r="P73" s="61">
        <f>-'5C1M_GEO Mid'!AS73</f>
        <v>0</v>
      </c>
      <c r="Q73" s="61">
        <f>-'5C1N_Delta'!AS73</f>
        <v>0</v>
      </c>
      <c r="R73" s="61">
        <f>-'5C1O_Impact'!AS73</f>
        <v>-4234</v>
      </c>
      <c r="S73" s="61">
        <f>-'5C1Q_Advantage'!AS73</f>
        <v>-8779</v>
      </c>
      <c r="T73" s="61">
        <f>-'5C1R_Iberville'!AS73</f>
        <v>0</v>
      </c>
      <c r="U73" s="61">
        <f>-'5C1S_LC Col Prep'!AS73</f>
        <v>0</v>
      </c>
      <c r="V73" s="61">
        <f>-'5C1T_Northeast'!AS73</f>
        <v>0</v>
      </c>
      <c r="W73" s="61">
        <f>-'5C1U_Acadiana Ren'!AS73</f>
        <v>0</v>
      </c>
      <c r="X73" s="61">
        <f>-'5C1V_Laf Ren'!AS73</f>
        <v>0</v>
      </c>
      <c r="Y73" s="61">
        <f>-'5C1W_Willow'!AS73</f>
        <v>0</v>
      </c>
      <c r="Z73" s="61">
        <f>-'5C1Y_GEO'!AS73</f>
        <v>-1232</v>
      </c>
      <c r="AA73" s="61">
        <f>-'5C1Z_Lincoln Prep'!AS73</f>
        <v>0</v>
      </c>
      <c r="AB73" s="61">
        <f>-'5C1AD_Greater'!$AS73</f>
        <v>0</v>
      </c>
      <c r="AC73" s="61">
        <f>-'5C1AE_Noble Minds'!$AS73</f>
        <v>0</v>
      </c>
      <c r="AD73" s="61">
        <f>-'5C1AF_JCFA-Laf'!$AS73</f>
        <v>0</v>
      </c>
      <c r="AE73" s="61">
        <f>-'5C1AG_Collegiate'!$AS73</f>
        <v>-753</v>
      </c>
      <c r="AF73" s="61">
        <f>-'5C1AH_BRUP'!$AS73</f>
        <v>-1507</v>
      </c>
      <c r="AG73" s="61">
        <f>-'5C1AI_Harmony'!$AS73</f>
        <v>0</v>
      </c>
      <c r="AH73" s="61">
        <f>-'5C1AJ_Athlos'!$AS73</f>
        <v>0</v>
      </c>
      <c r="AI73" s="61">
        <f>-'5C1AK_NxtGen'!$AS73</f>
        <v>0</v>
      </c>
      <c r="AJ73" s="61">
        <f>-'5C1AL_Red River'!$AS73</f>
        <v>0</v>
      </c>
      <c r="AK73" s="61">
        <f>-'5C2_LAVCA'!AT73</f>
        <v>-6770</v>
      </c>
      <c r="AL73" s="61">
        <f>-'5C3_UnvView'!AT73</f>
        <v>-26433</v>
      </c>
      <c r="AM73" s="370">
        <f>SUM(D73:AL73)</f>
        <v>-62790</v>
      </c>
      <c r="AN73" s="371">
        <f>C73+AM73</f>
        <v>2699787</v>
      </c>
      <c r="AO73" s="61"/>
      <c r="AP73" s="61"/>
      <c r="AQ73" s="61">
        <f>-'5C1A_Madison'!AY73</f>
        <v>-51</v>
      </c>
      <c r="AR73" s="61">
        <f>-'5C1B_DArbonne'!AY73</f>
        <v>0</v>
      </c>
      <c r="AS73" s="61">
        <f>-'5C1C_Intl High'!AY73</f>
        <v>0</v>
      </c>
      <c r="AT73" s="61">
        <f>-'5C1D_NOMMA'!AY73</f>
        <v>0</v>
      </c>
      <c r="AU73" s="61">
        <f>-'5C1E_LFNO'!AY73</f>
        <v>0</v>
      </c>
      <c r="AV73" s="61">
        <f>-'5C1F_L.C. Charter'!AY73</f>
        <v>0</v>
      </c>
      <c r="AW73" s="61">
        <f>-'5C1G_JS Clark'!AY73</f>
        <v>0</v>
      </c>
      <c r="AX73" s="61">
        <f>-'5C1H_Southwest'!AY73</f>
        <v>0</v>
      </c>
      <c r="AY73" s="61">
        <f>-'5C1I_LA Key'!AY73</f>
        <v>-28</v>
      </c>
      <c r="AZ73" s="61">
        <f>-'5C1J_JCFA-East'!AY73</f>
        <v>0</v>
      </c>
      <c r="BA73" s="61">
        <f>-'5C1M_GEO Mid'!AY73</f>
        <v>0</v>
      </c>
      <c r="BB73" s="61">
        <f>-'5C1N_Delta'!AY73</f>
        <v>0</v>
      </c>
      <c r="BC73" s="61">
        <f>-'5C1O_Impact'!AY73</f>
        <v>20</v>
      </c>
      <c r="BD73" s="61">
        <f>-'5C1Q_Advantage'!AY73</f>
        <v>61</v>
      </c>
      <c r="BE73" s="61">
        <f>-'5C1R_Iberville'!AY73</f>
        <v>0</v>
      </c>
      <c r="BF73" s="61">
        <f>-'5C1S_LC Col Prep'!AY73</f>
        <v>0</v>
      </c>
      <c r="BG73" s="61">
        <f>-'5C1T_Northeast'!AY73</f>
        <v>0</v>
      </c>
      <c r="BH73" s="61">
        <f>-'5C1U_Acadiana Ren'!AY73</f>
        <v>0</v>
      </c>
      <c r="BI73" s="61">
        <f>-'5C1V_Laf Ren'!AY73</f>
        <v>0</v>
      </c>
      <c r="BJ73" s="61">
        <f>-'5C1W_Willow'!AY73</f>
        <v>0</v>
      </c>
      <c r="BK73" s="61">
        <f>-'5C1Y_GEO'!AY73</f>
        <v>-8</v>
      </c>
      <c r="BL73" s="61">
        <f>-'5C1Z_Lincoln Prep'!AY73</f>
        <v>0</v>
      </c>
      <c r="BM73" s="61">
        <f>-'5C1AD_Greater'!AY73</f>
        <v>0</v>
      </c>
      <c r="BN73" s="61">
        <f>-'5C1AE_Noble Minds'!AY73</f>
        <v>0</v>
      </c>
      <c r="BO73" s="61">
        <f>-'5C1AF_JCFA-Laf'!AY73</f>
        <v>0</v>
      </c>
      <c r="BP73" s="61">
        <f>-'5C1AG_Collegiate'!AY73</f>
        <v>-8</v>
      </c>
      <c r="BQ73" s="61">
        <f>-'5C1AH_BRUP'!AY73</f>
        <v>-15</v>
      </c>
      <c r="BR73" s="61">
        <f>-'5C1AI_Harmony'!$AY73</f>
        <v>0</v>
      </c>
      <c r="BS73" s="61">
        <f>-'5C1AJ_Athlos'!$AY73</f>
        <v>0</v>
      </c>
      <c r="BT73" s="61">
        <f>-'5C1AK_NxtGen'!$AY73</f>
        <v>0</v>
      </c>
      <c r="BU73" s="61">
        <f>-'5C1AL_Red River'!$AY73</f>
        <v>0</v>
      </c>
      <c r="BV73" s="61">
        <f>-'5C2_LAVCA'!AZ73</f>
        <v>-17</v>
      </c>
      <c r="BW73" s="61">
        <f>-'5C3_UnvView'!AZ73</f>
        <v>-163</v>
      </c>
      <c r="BX73" s="61">
        <f>SUM(AP73:BW73)</f>
        <v>-209</v>
      </c>
      <c r="BY73" s="371">
        <f t="shared" si="10"/>
        <v>2699578</v>
      </c>
    </row>
    <row r="74" spans="1:77" s="7" customFormat="1" ht="15.75" customHeight="1" x14ac:dyDescent="0.2">
      <c r="A74" s="368">
        <v>68</v>
      </c>
      <c r="B74" s="369" t="s">
        <v>1</v>
      </c>
      <c r="C74" s="61">
        <f>'2_State Distrib and Adjs'!AZ74</f>
        <v>733689</v>
      </c>
      <c r="D74" s="61">
        <f>-'5A3_OJJ'!S74</f>
        <v>412</v>
      </c>
      <c r="E74" s="61"/>
      <c r="F74" s="61">
        <f>-'5C1A_Madison'!AS74</f>
        <v>-2815</v>
      </c>
      <c r="G74" s="61">
        <f>-'5C1B_DArbonne'!AS74</f>
        <v>0</v>
      </c>
      <c r="H74" s="61">
        <f>-'5C1C_Intl High'!AS74</f>
        <v>0</v>
      </c>
      <c r="I74" s="61">
        <f>-'5C1D_NOMMA'!AS74</f>
        <v>0</v>
      </c>
      <c r="J74" s="61">
        <f>-'5C1E_LFNO'!AS74</f>
        <v>0</v>
      </c>
      <c r="K74" s="61">
        <f>-'5C1F_L.C. Charter'!AS74</f>
        <v>0</v>
      </c>
      <c r="L74" s="61">
        <f>-'5C1G_JS Clark'!AS74</f>
        <v>0</v>
      </c>
      <c r="M74" s="61">
        <f>-'5C1H_Southwest'!AS74</f>
        <v>0</v>
      </c>
      <c r="N74" s="61">
        <f>-'5C1I_LA Key'!AS74</f>
        <v>-5211</v>
      </c>
      <c r="O74" s="61">
        <f>-'5C1J_JCFA-East'!AS74</f>
        <v>0</v>
      </c>
      <c r="P74" s="61">
        <f>-'5C1M_GEO Mid'!AS74</f>
        <v>-2456</v>
      </c>
      <c r="Q74" s="61">
        <f>-'5C1N_Delta'!AS74</f>
        <v>0</v>
      </c>
      <c r="R74" s="61">
        <f>-'5C1O_Impact'!AS74</f>
        <v>-69415</v>
      </c>
      <c r="S74" s="61">
        <f>-'5C1Q_Advantage'!AS74</f>
        <v>-59144</v>
      </c>
      <c r="T74" s="61">
        <f>-'5C1R_Iberville'!AS74</f>
        <v>0</v>
      </c>
      <c r="U74" s="61">
        <f>-'5C1S_LC Col Prep'!AS74</f>
        <v>0</v>
      </c>
      <c r="V74" s="61">
        <f>-'5C1T_Northeast'!AS74</f>
        <v>0</v>
      </c>
      <c r="W74" s="61">
        <f>-'5C1U_Acadiana Ren'!AS74</f>
        <v>0</v>
      </c>
      <c r="X74" s="61">
        <f>-'5C1V_Laf Ren'!AS74</f>
        <v>0</v>
      </c>
      <c r="Y74" s="61">
        <f>-'5C1W_Willow'!AS74</f>
        <v>0</v>
      </c>
      <c r="Z74" s="61">
        <f>-'5C1Y_GEO'!AS74</f>
        <v>-4036</v>
      </c>
      <c r="AA74" s="61">
        <f>-'5C1Z_Lincoln Prep'!AS74</f>
        <v>0</v>
      </c>
      <c r="AB74" s="61">
        <f>-'5C1AD_Greater'!$AS74</f>
        <v>0</v>
      </c>
      <c r="AC74" s="61">
        <f>-'5C1AE_Noble Minds'!$AS74</f>
        <v>0</v>
      </c>
      <c r="AD74" s="61">
        <f>-'5C1AF_JCFA-Laf'!$AS74</f>
        <v>0</v>
      </c>
      <c r="AE74" s="61">
        <f>-'5C1AG_Collegiate'!$AS74</f>
        <v>-9557</v>
      </c>
      <c r="AF74" s="61">
        <f>-'5C1AH_BRUP'!$AS74</f>
        <v>-2840</v>
      </c>
      <c r="AG74" s="61">
        <f>-'5C1AI_Harmony'!$AS74</f>
        <v>0</v>
      </c>
      <c r="AH74" s="61">
        <f>-'5C1AJ_Athlos'!$AS74</f>
        <v>0</v>
      </c>
      <c r="AI74" s="61">
        <f>-'5C1AK_NxtGen'!$AS74</f>
        <v>-1912</v>
      </c>
      <c r="AJ74" s="61">
        <f>-'5C1AL_Red River'!$AS74</f>
        <v>0</v>
      </c>
      <c r="AK74" s="61">
        <f>-'5C2_LAVCA'!AT74</f>
        <v>-1277</v>
      </c>
      <c r="AL74" s="61">
        <f>-'5C3_UnvView'!AT74</f>
        <v>-5828</v>
      </c>
      <c r="AM74" s="370">
        <f>SUM(D74:AL74)</f>
        <v>-164079</v>
      </c>
      <c r="AN74" s="371">
        <f>C74+AM74</f>
        <v>569610</v>
      </c>
      <c r="AO74" s="61"/>
      <c r="AP74" s="61"/>
      <c r="AQ74" s="61">
        <f>-'5C1A_Madison'!AY74</f>
        <v>15</v>
      </c>
      <c r="AR74" s="61">
        <f>-'5C1B_DArbonne'!AY74</f>
        <v>0</v>
      </c>
      <c r="AS74" s="61">
        <f>-'5C1C_Intl High'!AY74</f>
        <v>0</v>
      </c>
      <c r="AT74" s="61">
        <f>-'5C1D_NOMMA'!AY74</f>
        <v>0</v>
      </c>
      <c r="AU74" s="61">
        <f>-'5C1E_LFNO'!AY74</f>
        <v>0</v>
      </c>
      <c r="AV74" s="61">
        <f>-'5C1F_L.C. Charter'!AY74</f>
        <v>0</v>
      </c>
      <c r="AW74" s="61">
        <f>-'5C1G_JS Clark'!AY74</f>
        <v>0</v>
      </c>
      <c r="AX74" s="61">
        <f>-'5C1H_Southwest'!AY74</f>
        <v>0</v>
      </c>
      <c r="AY74" s="61">
        <f>-'5C1I_LA Key'!AY74</f>
        <v>-54</v>
      </c>
      <c r="AZ74" s="61">
        <f>-'5C1J_JCFA-East'!AY74</f>
        <v>0</v>
      </c>
      <c r="BA74" s="61">
        <f>-'5C1M_GEO Mid'!AY74</f>
        <v>-1</v>
      </c>
      <c r="BB74" s="61">
        <f>-'5C1N_Delta'!AY74</f>
        <v>0</v>
      </c>
      <c r="BC74" s="61">
        <f>-'5C1O_Impact'!AY74</f>
        <v>-327</v>
      </c>
      <c r="BD74" s="61">
        <f>-'5C1Q_Advantage'!AY74</f>
        <v>294</v>
      </c>
      <c r="BE74" s="61">
        <f>-'5C1R_Iberville'!AY74</f>
        <v>0</v>
      </c>
      <c r="BF74" s="61">
        <f>-'5C1S_LC Col Prep'!AY74</f>
        <v>0</v>
      </c>
      <c r="BG74" s="61">
        <f>-'5C1T_Northeast'!AY74</f>
        <v>0</v>
      </c>
      <c r="BH74" s="61">
        <f>-'5C1U_Acadiana Ren'!AY74</f>
        <v>0</v>
      </c>
      <c r="BI74" s="61">
        <f>-'5C1V_Laf Ren'!AY74</f>
        <v>0</v>
      </c>
      <c r="BJ74" s="61">
        <f>-'5C1W_Willow'!AY74</f>
        <v>0</v>
      </c>
      <c r="BK74" s="61">
        <f>-'5C1Y_GEO'!AY74</f>
        <v>20</v>
      </c>
      <c r="BL74" s="61">
        <f>-'5C1Z_Lincoln Prep'!AY74</f>
        <v>0</v>
      </c>
      <c r="BM74" s="61">
        <f>-'5C1AD_Greater'!AY74</f>
        <v>0</v>
      </c>
      <c r="BN74" s="61">
        <f>-'5C1AE_Noble Minds'!AY74</f>
        <v>0</v>
      </c>
      <c r="BO74" s="61">
        <f>-'5C1AF_JCFA-Laf'!AY74</f>
        <v>0</v>
      </c>
      <c r="BP74" s="61">
        <f>-'5C1AG_Collegiate'!AY74</f>
        <v>-96</v>
      </c>
      <c r="BQ74" s="61">
        <f>-'5C1AH_BRUP'!AY74</f>
        <v>-66</v>
      </c>
      <c r="BR74" s="61">
        <f>-'5C1AI_Harmony'!$AY74</f>
        <v>0</v>
      </c>
      <c r="BS74" s="61">
        <f>-'5C1AJ_Athlos'!$AY74</f>
        <v>0</v>
      </c>
      <c r="BT74" s="61">
        <f>-'5C1AK_NxtGen'!$AY74</f>
        <v>-19</v>
      </c>
      <c r="BU74" s="61">
        <f>-'5C1AL_Red River'!$AY74</f>
        <v>0</v>
      </c>
      <c r="BV74" s="61">
        <f>-'5C2_LAVCA'!AZ74</f>
        <v>-1</v>
      </c>
      <c r="BW74" s="61">
        <f>-'5C3_UnvView'!AZ74</f>
        <v>-41</v>
      </c>
      <c r="BX74" s="61">
        <f>SUM(AP74:BW74)</f>
        <v>-276</v>
      </c>
      <c r="BY74" s="371">
        <f t="shared" si="10"/>
        <v>569334</v>
      </c>
    </row>
    <row r="75" spans="1:77" s="7" customFormat="1" ht="15.75" customHeight="1" x14ac:dyDescent="0.2">
      <c r="A75" s="372">
        <v>69</v>
      </c>
      <c r="B75" s="373" t="s">
        <v>74</v>
      </c>
      <c r="C75" s="374">
        <f>'2_State Distrib and Adjs'!AZ75</f>
        <v>2783580</v>
      </c>
      <c r="D75" s="374">
        <f>-'5A3_OJJ'!S75</f>
        <v>0</v>
      </c>
      <c r="E75" s="374"/>
      <c r="F75" s="374">
        <f>-'5C1A_Madison'!AS75</f>
        <v>-959</v>
      </c>
      <c r="G75" s="374">
        <f>-'5C1B_DArbonne'!AS75</f>
        <v>0</v>
      </c>
      <c r="H75" s="374">
        <f>-'5C1C_Intl High'!AS75</f>
        <v>0</v>
      </c>
      <c r="I75" s="374">
        <f>-'5C1D_NOMMA'!AS75</f>
        <v>0</v>
      </c>
      <c r="J75" s="374">
        <f>-'5C1E_LFNO'!AS75</f>
        <v>0</v>
      </c>
      <c r="K75" s="374">
        <f>-'5C1F_L.C. Charter'!AS75</f>
        <v>0</v>
      </c>
      <c r="L75" s="374">
        <f>-'5C1G_JS Clark'!AS75</f>
        <v>0</v>
      </c>
      <c r="M75" s="374">
        <f>-'5C1H_Southwest'!AS75</f>
        <v>0</v>
      </c>
      <c r="N75" s="374">
        <f>-'5C1I_LA Key'!AS75</f>
        <v>-12710</v>
      </c>
      <c r="O75" s="374">
        <f>-'5C1J_JCFA-East'!AS75</f>
        <v>0</v>
      </c>
      <c r="P75" s="374">
        <f>-'5C1M_GEO Mid'!AS75</f>
        <v>-2233</v>
      </c>
      <c r="Q75" s="374">
        <f>-'5C1N_Delta'!AS75</f>
        <v>0</v>
      </c>
      <c r="R75" s="374">
        <f>-'5C1O_Impact'!AS75</f>
        <v>-2229</v>
      </c>
      <c r="S75" s="374">
        <f>-'5C1Q_Advantage'!AS75</f>
        <v>-1436</v>
      </c>
      <c r="T75" s="374">
        <f>-'5C1R_Iberville'!AS75</f>
        <v>0</v>
      </c>
      <c r="U75" s="374">
        <f>-'5C1S_LC Col Prep'!AS75</f>
        <v>0</v>
      </c>
      <c r="V75" s="374">
        <f>-'5C1T_Northeast'!AS75</f>
        <v>0</v>
      </c>
      <c r="W75" s="374">
        <f>-'5C1U_Acadiana Ren'!AS75</f>
        <v>0</v>
      </c>
      <c r="X75" s="374">
        <f>-'5C1V_Laf Ren'!AS75</f>
        <v>0</v>
      </c>
      <c r="Y75" s="374">
        <f>-'5C1W_Willow'!AS75</f>
        <v>0</v>
      </c>
      <c r="Z75" s="374">
        <f>-'5C1Y_GEO'!AS75</f>
        <v>-967</v>
      </c>
      <c r="AA75" s="374">
        <f>-'5C1Z_Lincoln Prep'!AS75</f>
        <v>0</v>
      </c>
      <c r="AB75" s="374">
        <f>-'5C1AD_Greater'!$AS75</f>
        <v>0</v>
      </c>
      <c r="AC75" s="374">
        <f>-'5C1AE_Noble Minds'!$AS75</f>
        <v>0</v>
      </c>
      <c r="AD75" s="374">
        <f>-'5C1AF_JCFA-Laf'!$AS75</f>
        <v>0</v>
      </c>
      <c r="AE75" s="374">
        <f>-'5C1AG_Collegiate'!$AS75</f>
        <v>-955</v>
      </c>
      <c r="AF75" s="374">
        <f>-'5C1AH_BRUP'!$AS75</f>
        <v>0</v>
      </c>
      <c r="AG75" s="374">
        <f>-'5C1AI_Harmony'!$AS75</f>
        <v>0</v>
      </c>
      <c r="AH75" s="374">
        <f>-'5C1AJ_Athlos'!$AS75</f>
        <v>0</v>
      </c>
      <c r="AI75" s="374">
        <f>-'5C1AK_NxtGen'!$AS75</f>
        <v>0</v>
      </c>
      <c r="AJ75" s="374">
        <f>-'5C1AL_Red River'!$AS75</f>
        <v>0</v>
      </c>
      <c r="AK75" s="374">
        <f>-'5C2_LAVCA'!AT75</f>
        <v>-2731</v>
      </c>
      <c r="AL75" s="374">
        <f>-'5C3_UnvView'!AT75</f>
        <v>-14777</v>
      </c>
      <c r="AM75" s="375">
        <f>SUM(D75:AL75)</f>
        <v>-38997</v>
      </c>
      <c r="AN75" s="376">
        <f>C75+AM75</f>
        <v>2744583</v>
      </c>
      <c r="AO75" s="374"/>
      <c r="AP75" s="374"/>
      <c r="AQ75" s="374">
        <f>-'5C1A_Madison'!AY75</f>
        <v>0</v>
      </c>
      <c r="AR75" s="374">
        <f>-'5C1B_DArbonne'!AY75</f>
        <v>0</v>
      </c>
      <c r="AS75" s="374">
        <f>-'5C1C_Intl High'!AY75</f>
        <v>0</v>
      </c>
      <c r="AT75" s="374">
        <f>-'5C1D_NOMMA'!AY75</f>
        <v>0</v>
      </c>
      <c r="AU75" s="374">
        <f>-'5C1E_LFNO'!AY75</f>
        <v>0</v>
      </c>
      <c r="AV75" s="374">
        <f>-'5C1F_L.C. Charter'!AY75</f>
        <v>0</v>
      </c>
      <c r="AW75" s="374">
        <f>-'5C1G_JS Clark'!AY75</f>
        <v>0</v>
      </c>
      <c r="AX75" s="374">
        <f>-'5C1H_Southwest'!AY75</f>
        <v>0</v>
      </c>
      <c r="AY75" s="374">
        <f>-'5C1I_LA Key'!AY75</f>
        <v>-34</v>
      </c>
      <c r="AZ75" s="374">
        <f>-'5C1J_JCFA-East'!AY75</f>
        <v>0</v>
      </c>
      <c r="BA75" s="374">
        <f>-'5C1M_GEO Mid'!AY75</f>
        <v>-10</v>
      </c>
      <c r="BB75" s="374">
        <f>-'5C1N_Delta'!AY75</f>
        <v>0</v>
      </c>
      <c r="BC75" s="374">
        <f>-'5C1O_Impact'!AY75</f>
        <v>-19</v>
      </c>
      <c r="BD75" s="374">
        <f>-'5C1Q_Advantage'!AY75</f>
        <v>-15</v>
      </c>
      <c r="BE75" s="374">
        <f>-'5C1R_Iberville'!AY75</f>
        <v>0</v>
      </c>
      <c r="BF75" s="374">
        <f>-'5C1S_LC Col Prep'!AY75</f>
        <v>0</v>
      </c>
      <c r="BG75" s="374">
        <f>-'5C1T_Northeast'!AY75</f>
        <v>0</v>
      </c>
      <c r="BH75" s="374">
        <f>-'5C1U_Acadiana Ren'!AY75</f>
        <v>0</v>
      </c>
      <c r="BI75" s="374">
        <f>-'5C1V_Laf Ren'!AY75</f>
        <v>0</v>
      </c>
      <c r="BJ75" s="374">
        <f>-'5C1W_Willow'!AY75</f>
        <v>0</v>
      </c>
      <c r="BK75" s="374">
        <f>-'5C1Y_GEO'!AY75</f>
        <v>19</v>
      </c>
      <c r="BL75" s="374">
        <f>-'5C1Z_Lincoln Prep'!AY75</f>
        <v>0</v>
      </c>
      <c r="BM75" s="374">
        <f>-'5C1AD_Greater'!AY75</f>
        <v>0</v>
      </c>
      <c r="BN75" s="374">
        <f>-'5C1AE_Noble Minds'!AY75</f>
        <v>0</v>
      </c>
      <c r="BO75" s="374">
        <f>-'5C1AF_JCFA-Laf'!AY75</f>
        <v>0</v>
      </c>
      <c r="BP75" s="374">
        <f>-'5C1AG_Collegiate'!AY75</f>
        <v>-10</v>
      </c>
      <c r="BQ75" s="374">
        <f>-'5C1AH_BRUP'!AY75</f>
        <v>0</v>
      </c>
      <c r="BR75" s="374">
        <f>-'5C1AI_Harmony'!$AY75</f>
        <v>0</v>
      </c>
      <c r="BS75" s="374">
        <f>-'5C1AJ_Athlos'!$AY75</f>
        <v>0</v>
      </c>
      <c r="BT75" s="374">
        <f>-'5C1AK_NxtGen'!$AY75</f>
        <v>0</v>
      </c>
      <c r="BU75" s="374">
        <f>-'5C1AL_Red River'!$AY75</f>
        <v>0</v>
      </c>
      <c r="BV75" s="374">
        <f>-'5C2_LAVCA'!AZ75</f>
        <v>-4</v>
      </c>
      <c r="BW75" s="374">
        <f>-'5C3_UnvView'!AZ75</f>
        <v>-91</v>
      </c>
      <c r="BX75" s="374">
        <f>SUM(AP75:BW75)</f>
        <v>-164</v>
      </c>
      <c r="BY75" s="376">
        <f t="shared" si="10"/>
        <v>2744419</v>
      </c>
    </row>
    <row r="76" spans="1:77" s="30" customFormat="1" ht="15.75" customHeight="1" thickBot="1" x14ac:dyDescent="0.25">
      <c r="A76" s="511"/>
      <c r="B76" s="512" t="s">
        <v>70</v>
      </c>
      <c r="C76" s="1286">
        <f t="shared" ref="C76:BY76" si="11">SUM(C7:C75)</f>
        <v>304292681</v>
      </c>
      <c r="D76" s="1286">
        <f>SUM(D7:D75)</f>
        <v>-65932</v>
      </c>
      <c r="E76" s="1286">
        <f t="shared" si="11"/>
        <v>-1492278</v>
      </c>
      <c r="F76" s="1286">
        <f t="shared" si="11"/>
        <v>-359227</v>
      </c>
      <c r="G76" s="1286">
        <f t="shared" si="11"/>
        <v>-348065</v>
      </c>
      <c r="H76" s="1286">
        <f t="shared" si="11"/>
        <v>-174944</v>
      </c>
      <c r="I76" s="1286">
        <f t="shared" si="11"/>
        <v>-467410</v>
      </c>
      <c r="J76" s="1286">
        <f t="shared" si="11"/>
        <v>-518617</v>
      </c>
      <c r="K76" s="1286">
        <f t="shared" si="11"/>
        <v>-601423</v>
      </c>
      <c r="L76" s="1286">
        <f t="shared" si="11"/>
        <v>-69184</v>
      </c>
      <c r="M76" s="1286">
        <f t="shared" si="11"/>
        <v>-472124</v>
      </c>
      <c r="N76" s="1286">
        <f t="shared" si="11"/>
        <v>-230470</v>
      </c>
      <c r="O76" s="1286">
        <f t="shared" si="11"/>
        <v>-76990</v>
      </c>
      <c r="P76" s="1286">
        <f t="shared" si="11"/>
        <v>-514603</v>
      </c>
      <c r="Q76" s="1286">
        <f t="shared" si="11"/>
        <v>-135526</v>
      </c>
      <c r="R76" s="1286">
        <f>SUM(R7:R75)</f>
        <v>-228729</v>
      </c>
      <c r="S76" s="1286">
        <f t="shared" ref="S76:AJ76" si="12">SUM(S7:S75)</f>
        <v>-164089</v>
      </c>
      <c r="T76" s="1286">
        <f t="shared" si="12"/>
        <v>-409804</v>
      </c>
      <c r="U76" s="1286">
        <f t="shared" si="12"/>
        <v>-372050</v>
      </c>
      <c r="V76" s="1286">
        <f t="shared" si="12"/>
        <v>-63455</v>
      </c>
      <c r="W76" s="1286">
        <f t="shared" si="12"/>
        <v>-435614</v>
      </c>
      <c r="X76" s="1286">
        <f t="shared" si="12"/>
        <v>-533418</v>
      </c>
      <c r="Y76" s="1286">
        <f t="shared" si="12"/>
        <v>-305920</v>
      </c>
      <c r="Z76" s="1286">
        <f t="shared" si="12"/>
        <v>-601452</v>
      </c>
      <c r="AA76" s="1286">
        <f t="shared" si="12"/>
        <v>-259194</v>
      </c>
      <c r="AB76" s="1286">
        <f t="shared" si="12"/>
        <v>-63366</v>
      </c>
      <c r="AC76" s="1286">
        <f t="shared" si="12"/>
        <v>-48773</v>
      </c>
      <c r="AD76" s="1286">
        <f t="shared" si="12"/>
        <v>-36328</v>
      </c>
      <c r="AE76" s="1286">
        <f t="shared" si="12"/>
        <v>-434348</v>
      </c>
      <c r="AF76" s="1286">
        <f t="shared" si="12"/>
        <v>-223145</v>
      </c>
      <c r="AG76" s="1286">
        <f t="shared" si="12"/>
        <v>-66083</v>
      </c>
      <c r="AH76" s="1286">
        <f t="shared" si="12"/>
        <v>-505647</v>
      </c>
      <c r="AI76" s="1286">
        <f t="shared" si="12"/>
        <v>-51221</v>
      </c>
      <c r="AJ76" s="1286">
        <f t="shared" si="12"/>
        <v>-37920</v>
      </c>
      <c r="AK76" s="1286">
        <f>SUM(AK7:AK75)</f>
        <v>-748020</v>
      </c>
      <c r="AL76" s="1286">
        <f>SUM(AL7:AL75)</f>
        <v>-1309918</v>
      </c>
      <c r="AM76" s="1287">
        <f t="shared" si="11"/>
        <v>-12425287</v>
      </c>
      <c r="AN76" s="1288">
        <f>SUM(AN7:AN75)</f>
        <v>291867394</v>
      </c>
      <c r="AO76" s="1286">
        <f t="shared" si="11"/>
        <v>6509</v>
      </c>
      <c r="AP76" s="1286">
        <f t="shared" si="11"/>
        <v>929</v>
      </c>
      <c r="AQ76" s="1286">
        <f t="shared" si="11"/>
        <v>-154</v>
      </c>
      <c r="AR76" s="1286">
        <f t="shared" si="11"/>
        <v>47</v>
      </c>
      <c r="AS76" s="1286">
        <f t="shared" si="11"/>
        <v>916</v>
      </c>
      <c r="AT76" s="1286">
        <f t="shared" si="11"/>
        <v>-781</v>
      </c>
      <c r="AU76" s="1286">
        <f t="shared" si="11"/>
        <v>-1052</v>
      </c>
      <c r="AV76" s="1286">
        <f t="shared" si="11"/>
        <v>-646</v>
      </c>
      <c r="AW76" s="1286">
        <f t="shared" si="11"/>
        <v>-179</v>
      </c>
      <c r="AX76" s="1286">
        <f t="shared" si="11"/>
        <v>-854</v>
      </c>
      <c r="AY76" s="1286">
        <f t="shared" si="11"/>
        <v>-591</v>
      </c>
      <c r="AZ76" s="1286">
        <f t="shared" si="11"/>
        <v>665</v>
      </c>
      <c r="BA76" s="1286">
        <f t="shared" si="11"/>
        <v>-1123</v>
      </c>
      <c r="BB76" s="1286">
        <f t="shared" si="11"/>
        <v>-75</v>
      </c>
      <c r="BC76" s="1286">
        <f t="shared" si="11"/>
        <v>-755</v>
      </c>
      <c r="BD76" s="1286">
        <f t="shared" si="11"/>
        <v>1372</v>
      </c>
      <c r="BE76" s="1286">
        <f t="shared" si="11"/>
        <v>-1890</v>
      </c>
      <c r="BF76" s="1286">
        <f t="shared" si="11"/>
        <v>-1066</v>
      </c>
      <c r="BG76" s="1286">
        <f t="shared" si="11"/>
        <v>8</v>
      </c>
      <c r="BH76" s="1286">
        <f t="shared" si="11"/>
        <v>-487</v>
      </c>
      <c r="BI76" s="1286">
        <f t="shared" si="11"/>
        <v>-1508</v>
      </c>
      <c r="BJ76" s="1286">
        <f t="shared" si="11"/>
        <v>-425</v>
      </c>
      <c r="BK76" s="1286">
        <f t="shared" si="11"/>
        <v>-2871</v>
      </c>
      <c r="BL76" s="1286">
        <f t="shared" si="11"/>
        <v>-229</v>
      </c>
      <c r="BM76" s="1286">
        <f t="shared" si="11"/>
        <v>178</v>
      </c>
      <c r="BN76" s="1286">
        <f t="shared" si="11"/>
        <v>-524</v>
      </c>
      <c r="BO76" s="1286">
        <f t="shared" si="11"/>
        <v>-92</v>
      </c>
      <c r="BP76" s="1286">
        <f t="shared" si="11"/>
        <v>-2735</v>
      </c>
      <c r="BQ76" s="1286">
        <f t="shared" si="11"/>
        <v>-838</v>
      </c>
      <c r="BR76" s="1286">
        <f t="shared" si="11"/>
        <v>-945</v>
      </c>
      <c r="BS76" s="1286">
        <f t="shared" si="11"/>
        <v>-1811</v>
      </c>
      <c r="BT76" s="1286">
        <f t="shared" si="11"/>
        <v>8</v>
      </c>
      <c r="BU76" s="1286">
        <f t="shared" si="11"/>
        <v>-11</v>
      </c>
      <c r="BV76" s="1286">
        <f>SUM(BV7:BV75)</f>
        <v>-308</v>
      </c>
      <c r="BW76" s="1286">
        <f>SUM(BW7:BW75)</f>
        <v>-2289</v>
      </c>
      <c r="BX76" s="1286">
        <f>SUM(BX7:BX75)</f>
        <v>-20116</v>
      </c>
      <c r="BY76" s="1288">
        <f t="shared" si="11"/>
        <v>291853787</v>
      </c>
    </row>
    <row r="77" spans="1:77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BY1:BY2"/>
    <mergeCell ref="C1:C2"/>
    <mergeCell ref="AP1:AV1"/>
    <mergeCell ref="AW1:BC1"/>
    <mergeCell ref="A1:B2"/>
    <mergeCell ref="BX1:BX2"/>
    <mergeCell ref="AN1:AN2"/>
    <mergeCell ref="AH1:AM1"/>
    <mergeCell ref="Z1:AG1"/>
    <mergeCell ref="R1:Y1"/>
    <mergeCell ref="J1:Q1"/>
    <mergeCell ref="D1:I1"/>
    <mergeCell ref="BK1:BR1"/>
    <mergeCell ref="BD1:BJ1"/>
    <mergeCell ref="BS1:BW1"/>
    <mergeCell ref="AO1:AO2"/>
  </mergeCells>
  <printOptions horizontalCentered="1"/>
  <pageMargins left="0.3" right="0.3" top="1" bottom="0.5" header="0.3" footer="0.25"/>
  <pageSetup paperSize="5" scale="73" firstPageNumber="13" fitToWidth="0" orientation="portrait" r:id="rId2"/>
  <headerFooter>
    <oddHeader>&amp;L&amp;"Arial,Bold"&amp;18&amp;K000000Table 2A-2: FY2019-20 Budget Letter
MFP Monthly Transfer Amount (March 2020)</oddHeader>
    <oddFooter>&amp;R&amp;P</oddFooter>
  </headerFooter>
  <colBreaks count="9" manualBreakCount="9">
    <brk id="9" max="75" man="1"/>
    <brk id="17" max="75" man="1"/>
    <brk id="25" max="75" man="1"/>
    <brk id="33" max="75" man="1"/>
    <brk id="40" max="75" man="1"/>
    <brk id="48" max="75" man="1"/>
    <brk id="55" max="75" man="1"/>
    <brk id="62" max="75" man="1"/>
    <brk id="70" max="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477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2645540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4958792</v>
      </c>
      <c r="AM16" s="162"/>
      <c r="AN16" s="159"/>
      <c r="AO16" s="150">
        <v>0</v>
      </c>
      <c r="AP16" s="159"/>
      <c r="AQ16" s="160"/>
      <c r="AR16" s="160"/>
      <c r="AS16" s="159">
        <v>462855</v>
      </c>
      <c r="AT16" s="783">
        <v>7660295</v>
      </c>
      <c r="AU16" s="784">
        <v>701509</v>
      </c>
      <c r="AV16" s="344"/>
      <c r="AW16" s="151">
        <v>11635</v>
      </c>
      <c r="AX16" s="151">
        <v>12397</v>
      </c>
      <c r="AY16" s="151">
        <v>762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19590</v>
      </c>
      <c r="AM18" s="147"/>
      <c r="AN18" s="144"/>
      <c r="AO18" s="136">
        <v>0</v>
      </c>
      <c r="AP18" s="144"/>
      <c r="AQ18" s="145"/>
      <c r="AR18" s="145"/>
      <c r="AS18" s="144">
        <v>4885</v>
      </c>
      <c r="AT18" s="781">
        <v>27170</v>
      </c>
      <c r="AU18" s="782">
        <v>6792</v>
      </c>
      <c r="AV18" s="344"/>
      <c r="AW18" s="137">
        <v>0</v>
      </c>
      <c r="AX18" s="137">
        <v>49</v>
      </c>
      <c r="AY18" s="137">
        <v>49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3780</v>
      </c>
      <c r="AM23" s="147"/>
      <c r="AN23" s="144"/>
      <c r="AO23" s="136">
        <v>0</v>
      </c>
      <c r="AP23" s="144"/>
      <c r="AQ23" s="145"/>
      <c r="AR23" s="145"/>
      <c r="AS23" s="144">
        <v>943</v>
      </c>
      <c r="AT23" s="781">
        <v>5485</v>
      </c>
      <c r="AU23" s="782">
        <v>1372</v>
      </c>
      <c r="AV23" s="344"/>
      <c r="AW23" s="137">
        <v>0</v>
      </c>
      <c r="AX23" s="137">
        <v>9</v>
      </c>
      <c r="AY23" s="137">
        <v>9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7208</v>
      </c>
      <c r="AM33" s="147"/>
      <c r="AN33" s="144"/>
      <c r="AO33" s="136">
        <v>0</v>
      </c>
      <c r="AP33" s="144"/>
      <c r="AQ33" s="145"/>
      <c r="AR33" s="145"/>
      <c r="AS33" s="144">
        <v>1798</v>
      </c>
      <c r="AT33" s="781">
        <v>28430</v>
      </c>
      <c r="AU33" s="782">
        <v>7108</v>
      </c>
      <c r="AV33" s="344"/>
      <c r="AW33" s="137">
        <v>0</v>
      </c>
      <c r="AX33" s="137">
        <v>18</v>
      </c>
      <c r="AY33" s="137">
        <v>18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6588</v>
      </c>
      <c r="AM42" s="128"/>
      <c r="AN42" s="125"/>
      <c r="AO42" s="118">
        <v>0</v>
      </c>
      <c r="AP42" s="125"/>
      <c r="AQ42" s="126"/>
      <c r="AR42" s="126"/>
      <c r="AS42" s="125">
        <v>1643</v>
      </c>
      <c r="AT42" s="779">
        <v>10417</v>
      </c>
      <c r="AU42" s="780">
        <v>2604</v>
      </c>
      <c r="AV42" s="344"/>
      <c r="AW42" s="119">
        <v>0</v>
      </c>
      <c r="AX42" s="119">
        <v>16</v>
      </c>
      <c r="AY42" s="119">
        <v>16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661</v>
      </c>
      <c r="D76" s="1022">
        <v>4255.7718143692655</v>
      </c>
      <c r="E76" s="1023">
        <v>2115548.4504180215</v>
      </c>
      <c r="F76" s="1024">
        <v>617</v>
      </c>
      <c r="G76" s="1025">
        <v>569.60967937788098</v>
      </c>
      <c r="H76" s="1026">
        <v>283165.48451812746</v>
      </c>
      <c r="I76" s="1024">
        <v>72</v>
      </c>
      <c r="J76" s="1025">
        <v>158.62710748085348</v>
      </c>
      <c r="K76" s="1026">
        <v>9011.89695829019</v>
      </c>
      <c r="L76" s="1024">
        <v>76</v>
      </c>
      <c r="M76" s="1025">
        <v>3935.2023104669443</v>
      </c>
      <c r="N76" s="1026">
        <v>237813.9475104356</v>
      </c>
      <c r="O76" s="1024">
        <v>0</v>
      </c>
      <c r="P76" s="1025">
        <v>1525.492171506211</v>
      </c>
      <c r="Q76" s="1026">
        <v>0</v>
      </c>
      <c r="R76" s="1027">
        <v>2645540</v>
      </c>
      <c r="S76" s="1025">
        <v>122705</v>
      </c>
      <c r="T76" s="1025">
        <v>-13029</v>
      </c>
      <c r="U76" s="1028">
        <v>109676</v>
      </c>
      <c r="V76" s="1027">
        <v>2755216</v>
      </c>
      <c r="W76" s="1026">
        <v>-6888</v>
      </c>
      <c r="X76" s="1027">
        <v>2748328</v>
      </c>
      <c r="Y76" s="1026">
        <v>0</v>
      </c>
      <c r="Z76" s="1027">
        <v>2748328</v>
      </c>
      <c r="AA76" s="1025">
        <v>1759286</v>
      </c>
      <c r="AB76" s="1025">
        <v>989042</v>
      </c>
      <c r="AC76" s="1027">
        <v>247261</v>
      </c>
      <c r="AD76" s="1029">
        <v>2748328</v>
      </c>
      <c r="AE76" s="1025">
        <v>5423</v>
      </c>
      <c r="AF76" s="1030">
        <v>4795555</v>
      </c>
      <c r="AG76" s="1024">
        <v>33</v>
      </c>
      <c r="AH76" s="1025">
        <v>233856</v>
      </c>
      <c r="AI76" s="1024">
        <v>-9</v>
      </c>
      <c r="AJ76" s="1025">
        <v>-33453</v>
      </c>
      <c r="AK76" s="1028">
        <v>200403</v>
      </c>
      <c r="AL76" s="1030">
        <v>4995958</v>
      </c>
      <c r="AM76" s="1025">
        <v>-12489</v>
      </c>
      <c r="AN76" s="1030">
        <v>4983469</v>
      </c>
      <c r="AO76" s="1025">
        <v>0</v>
      </c>
      <c r="AP76" s="1030">
        <v>4983469</v>
      </c>
      <c r="AQ76" s="1025">
        <v>3094976</v>
      </c>
      <c r="AR76" s="1025">
        <v>1888493</v>
      </c>
      <c r="AS76" s="1030">
        <v>472124</v>
      </c>
      <c r="AT76" s="787">
        <v>7731797</v>
      </c>
      <c r="AU76" s="787">
        <v>719385</v>
      </c>
      <c r="AV76" s="516"/>
      <c r="AW76" s="165">
        <v>11635</v>
      </c>
      <c r="AX76" s="165">
        <v>12489</v>
      </c>
      <c r="AY76" s="165">
        <v>854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79107</v>
      </c>
      <c r="S77" s="975"/>
      <c r="T77" s="975"/>
      <c r="U77" s="975"/>
      <c r="V77" s="976">
        <v>79107</v>
      </c>
      <c r="W77" s="1018">
        <v>-198</v>
      </c>
      <c r="X77" s="976">
        <v>78909</v>
      </c>
      <c r="Y77" s="975"/>
      <c r="Z77" s="976">
        <v>78909</v>
      </c>
      <c r="AA77" s="975">
        <v>51324</v>
      </c>
      <c r="AB77" s="975">
        <v>27585</v>
      </c>
      <c r="AC77" s="976">
        <v>6896</v>
      </c>
      <c r="AD77" s="1020">
        <v>78909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78909</v>
      </c>
      <c r="AU77" s="1179">
        <v>6896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9263</v>
      </c>
      <c r="AA83" s="156">
        <v>6176</v>
      </c>
      <c r="AB83" s="795">
        <v>3087</v>
      </c>
      <c r="AC83" s="157">
        <v>772</v>
      </c>
      <c r="AD83" s="157">
        <v>9263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9263</v>
      </c>
      <c r="AU83" s="796">
        <v>772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661</v>
      </c>
      <c r="D84" s="1022">
        <v>4255.7718143692655</v>
      </c>
      <c r="E84" s="1023">
        <v>2115548.4504180215</v>
      </c>
      <c r="F84" s="1024">
        <v>617</v>
      </c>
      <c r="G84" s="1025">
        <v>569.60967937788098</v>
      </c>
      <c r="H84" s="1026">
        <v>283165.48451812746</v>
      </c>
      <c r="I84" s="1024">
        <v>72</v>
      </c>
      <c r="J84" s="1025">
        <v>158.62710748085348</v>
      </c>
      <c r="K84" s="1026">
        <v>9011.89695829019</v>
      </c>
      <c r="L84" s="1024">
        <v>76</v>
      </c>
      <c r="M84" s="1025">
        <v>3935.2023104669443</v>
      </c>
      <c r="N84" s="1026">
        <v>237813.9475104356</v>
      </c>
      <c r="O84" s="1024">
        <v>0</v>
      </c>
      <c r="P84" s="1025">
        <v>1525.492171506211</v>
      </c>
      <c r="Q84" s="1026">
        <v>0</v>
      </c>
      <c r="R84" s="1027">
        <v>2724647</v>
      </c>
      <c r="S84" s="1025">
        <v>122705</v>
      </c>
      <c r="T84" s="1025">
        <v>-13029</v>
      </c>
      <c r="U84" s="1028">
        <v>109676</v>
      </c>
      <c r="V84" s="1027">
        <v>2834323</v>
      </c>
      <c r="W84" s="1026">
        <v>-7086</v>
      </c>
      <c r="X84" s="1027">
        <v>2827237</v>
      </c>
      <c r="Y84" s="1026">
        <v>0</v>
      </c>
      <c r="Z84" s="1027">
        <v>2836500</v>
      </c>
      <c r="AA84" s="1025">
        <v>1816786</v>
      </c>
      <c r="AB84" s="1025">
        <v>1019714</v>
      </c>
      <c r="AC84" s="1027">
        <v>254929</v>
      </c>
      <c r="AD84" s="1029">
        <v>2836500</v>
      </c>
      <c r="AE84" s="1025">
        <v>5423</v>
      </c>
      <c r="AF84" s="1030">
        <v>4795555</v>
      </c>
      <c r="AG84" s="1024">
        <v>33</v>
      </c>
      <c r="AH84" s="1025">
        <v>233856</v>
      </c>
      <c r="AI84" s="1024">
        <v>-9</v>
      </c>
      <c r="AJ84" s="1025">
        <v>-33453</v>
      </c>
      <c r="AK84" s="1028">
        <v>200403</v>
      </c>
      <c r="AL84" s="1030">
        <v>4995958</v>
      </c>
      <c r="AM84" s="1025">
        <v>-12489</v>
      </c>
      <c r="AN84" s="1030">
        <v>4983469</v>
      </c>
      <c r="AO84" s="1025">
        <v>0</v>
      </c>
      <c r="AP84" s="1030">
        <v>4983469</v>
      </c>
      <c r="AQ84" s="1025">
        <v>3094976</v>
      </c>
      <c r="AR84" s="1025">
        <v>1888493</v>
      </c>
      <c r="AS84" s="1030">
        <v>472124</v>
      </c>
      <c r="AT84" s="787">
        <v>7819969</v>
      </c>
      <c r="AU84" s="787">
        <v>727053</v>
      </c>
      <c r="AV84" s="516"/>
      <c r="AW84" s="165">
        <v>11635</v>
      </c>
      <c r="AX84" s="165">
        <v>12489</v>
      </c>
      <c r="AY84" s="165">
        <v>854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465</v>
      </c>
    </row>
    <row r="92" spans="1:52" x14ac:dyDescent="0.2">
      <c r="B92" s="857" t="s">
        <v>1462</v>
      </c>
    </row>
    <row r="93" spans="1:52" x14ac:dyDescent="0.2">
      <c r="B93" s="857" t="s">
        <v>1144</v>
      </c>
    </row>
    <row r="94" spans="1:52" x14ac:dyDescent="0.2">
      <c r="B94" s="857" t="s">
        <v>1494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431" t="s">
        <v>478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420"/>
      <c r="B2" s="1421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422"/>
      <c r="B3" s="1423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68366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104320</v>
      </c>
      <c r="AM9" s="147"/>
      <c r="AN9" s="144"/>
      <c r="AO9" s="136">
        <v>0</v>
      </c>
      <c r="AP9" s="144"/>
      <c r="AQ9" s="145"/>
      <c r="AR9" s="145"/>
      <c r="AS9" s="144">
        <v>8151</v>
      </c>
      <c r="AT9" s="781">
        <v>202510</v>
      </c>
      <c r="AU9" s="782">
        <v>17136</v>
      </c>
      <c r="AV9" s="344"/>
      <c r="AW9" s="137">
        <v>195</v>
      </c>
      <c r="AX9" s="137">
        <v>261</v>
      </c>
      <c r="AY9" s="137">
        <v>66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1313264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1942663</v>
      </c>
      <c r="AM23" s="147"/>
      <c r="AN23" s="144"/>
      <c r="AO23" s="136">
        <v>0</v>
      </c>
      <c r="AP23" s="144"/>
      <c r="AQ23" s="145"/>
      <c r="AR23" s="145"/>
      <c r="AS23" s="144">
        <v>142669</v>
      </c>
      <c r="AT23" s="781">
        <v>3339701</v>
      </c>
      <c r="AU23" s="782">
        <v>243609</v>
      </c>
      <c r="AV23" s="344"/>
      <c r="AW23" s="137">
        <v>4497</v>
      </c>
      <c r="AX23" s="137">
        <v>4857</v>
      </c>
      <c r="AY23" s="137">
        <v>360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49641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21295</v>
      </c>
      <c r="AM25" s="147"/>
      <c r="AN25" s="144"/>
      <c r="AO25" s="136">
        <v>0</v>
      </c>
      <c r="AP25" s="144"/>
      <c r="AQ25" s="145"/>
      <c r="AR25" s="145"/>
      <c r="AS25" s="144">
        <v>2581</v>
      </c>
      <c r="AT25" s="781">
        <v>59646</v>
      </c>
      <c r="AU25" s="782">
        <v>6405</v>
      </c>
      <c r="AV25" s="344"/>
      <c r="AW25" s="137">
        <v>59</v>
      </c>
      <c r="AX25" s="137">
        <v>53</v>
      </c>
      <c r="AY25" s="137">
        <v>-6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78407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246798</v>
      </c>
      <c r="AM30" s="147"/>
      <c r="AN30" s="144"/>
      <c r="AO30" s="136">
        <v>0</v>
      </c>
      <c r="AP30" s="144"/>
      <c r="AQ30" s="145"/>
      <c r="AR30" s="145"/>
      <c r="AS30" s="144">
        <v>23558</v>
      </c>
      <c r="AT30" s="781">
        <v>323464</v>
      </c>
      <c r="AU30" s="782">
        <v>30461</v>
      </c>
      <c r="AV30" s="344"/>
      <c r="AW30" s="137">
        <v>600</v>
      </c>
      <c r="AX30" s="137">
        <v>617</v>
      </c>
      <c r="AY30" s="137">
        <v>17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2657</v>
      </c>
      <c r="AM32" s="128"/>
      <c r="AN32" s="125"/>
      <c r="AO32" s="118">
        <v>0</v>
      </c>
      <c r="AP32" s="125"/>
      <c r="AQ32" s="126"/>
      <c r="AR32" s="126"/>
      <c r="AS32" s="125">
        <v>663</v>
      </c>
      <c r="AT32" s="779">
        <v>6462</v>
      </c>
      <c r="AU32" s="780">
        <v>1616</v>
      </c>
      <c r="AV32" s="344"/>
      <c r="AW32" s="119">
        <v>0</v>
      </c>
      <c r="AX32" s="119">
        <v>7</v>
      </c>
      <c r="AY32" s="119">
        <v>7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168927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50103</v>
      </c>
      <c r="AM38" s="147"/>
      <c r="AN38" s="144"/>
      <c r="AO38" s="136">
        <v>0</v>
      </c>
      <c r="AP38" s="144"/>
      <c r="AQ38" s="145"/>
      <c r="AR38" s="145"/>
      <c r="AS38" s="144">
        <v>4403</v>
      </c>
      <c r="AT38" s="781">
        <v>216358</v>
      </c>
      <c r="AU38" s="782">
        <v>19245</v>
      </c>
      <c r="AV38" s="344"/>
      <c r="AW38" s="137">
        <v>128</v>
      </c>
      <c r="AX38" s="137">
        <v>125</v>
      </c>
      <c r="AY38" s="137">
        <v>-3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47415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36582</v>
      </c>
      <c r="AM45" s="147"/>
      <c r="AN45" s="144"/>
      <c r="AO45" s="136">
        <v>0</v>
      </c>
      <c r="AP45" s="144"/>
      <c r="AQ45" s="145"/>
      <c r="AR45" s="145"/>
      <c r="AS45" s="144">
        <v>3236</v>
      </c>
      <c r="AT45" s="781">
        <v>73011</v>
      </c>
      <c r="AU45" s="782">
        <v>6848</v>
      </c>
      <c r="AV45" s="344"/>
      <c r="AW45" s="137">
        <v>126</v>
      </c>
      <c r="AX45" s="137">
        <v>91</v>
      </c>
      <c r="AY45" s="137">
        <v>-35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5227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2796</v>
      </c>
      <c r="AM55" s="147"/>
      <c r="AN55" s="144"/>
      <c r="AO55" s="136">
        <v>0</v>
      </c>
      <c r="AP55" s="144"/>
      <c r="AQ55" s="145"/>
      <c r="AR55" s="145"/>
      <c r="AS55" s="144">
        <v>239</v>
      </c>
      <c r="AT55" s="781">
        <v>10269</v>
      </c>
      <c r="AU55" s="782">
        <v>1240</v>
      </c>
      <c r="AV55" s="344"/>
      <c r="AW55" s="137">
        <v>7</v>
      </c>
      <c r="AX55" s="137">
        <v>7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4542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6096</v>
      </c>
      <c r="AM58" s="147"/>
      <c r="AN58" s="144"/>
      <c r="AO58" s="136">
        <v>0</v>
      </c>
      <c r="AP58" s="144"/>
      <c r="AQ58" s="145"/>
      <c r="AR58" s="145"/>
      <c r="AS58" s="144">
        <v>500</v>
      </c>
      <c r="AT58" s="781">
        <v>14764</v>
      </c>
      <c r="AU58" s="782">
        <v>1915</v>
      </c>
      <c r="AV58" s="344"/>
      <c r="AW58" s="137">
        <v>15</v>
      </c>
      <c r="AX58" s="137">
        <v>15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9375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-45</v>
      </c>
      <c r="AT59" s="781">
        <v>0</v>
      </c>
      <c r="AU59" s="782">
        <v>-201</v>
      </c>
      <c r="AV59" s="344"/>
      <c r="AW59" s="137">
        <v>7</v>
      </c>
      <c r="AX59" s="137">
        <v>0</v>
      </c>
      <c r="AY59" s="137">
        <v>-7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72415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151774</v>
      </c>
      <c r="AM67" s="128"/>
      <c r="AN67" s="125"/>
      <c r="AO67" s="118">
        <v>0</v>
      </c>
      <c r="AP67" s="125"/>
      <c r="AQ67" s="126"/>
      <c r="AR67" s="126"/>
      <c r="AS67" s="125">
        <v>14431</v>
      </c>
      <c r="AT67" s="779">
        <v>219044</v>
      </c>
      <c r="AU67" s="780">
        <v>20026</v>
      </c>
      <c r="AV67" s="344"/>
      <c r="AW67" s="119">
        <v>375</v>
      </c>
      <c r="AX67" s="119">
        <v>379</v>
      </c>
      <c r="AY67" s="119">
        <v>4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28740</v>
      </c>
      <c r="AM69" s="147"/>
      <c r="AN69" s="144"/>
      <c r="AO69" s="136">
        <v>0</v>
      </c>
      <c r="AP69" s="144"/>
      <c r="AQ69" s="145"/>
      <c r="AR69" s="145"/>
      <c r="AS69" s="144">
        <v>5801</v>
      </c>
      <c r="AT69" s="781">
        <v>42467</v>
      </c>
      <c r="AU69" s="782">
        <v>8715</v>
      </c>
      <c r="AV69" s="344"/>
      <c r="AW69" s="137">
        <v>0</v>
      </c>
      <c r="AX69" s="137">
        <v>72</v>
      </c>
      <c r="AY69" s="137">
        <v>72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57773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54369</v>
      </c>
      <c r="AM73" s="147"/>
      <c r="AN73" s="144"/>
      <c r="AO73" s="136">
        <v>0</v>
      </c>
      <c r="AP73" s="144"/>
      <c r="AQ73" s="145"/>
      <c r="AR73" s="145"/>
      <c r="AS73" s="144">
        <v>6362</v>
      </c>
      <c r="AT73" s="781">
        <v>128996</v>
      </c>
      <c r="AU73" s="782">
        <v>15448</v>
      </c>
      <c r="AV73" s="344"/>
      <c r="AW73" s="785">
        <v>108</v>
      </c>
      <c r="AX73" s="785">
        <v>136</v>
      </c>
      <c r="AY73" s="785">
        <v>28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82889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50589</v>
      </c>
      <c r="AM74" s="147"/>
      <c r="AN74" s="144"/>
      <c r="AO74" s="136">
        <v>0</v>
      </c>
      <c r="AP74" s="144"/>
      <c r="AQ74" s="145"/>
      <c r="AR74" s="145"/>
      <c r="AS74" s="144">
        <v>5211</v>
      </c>
      <c r="AT74" s="781">
        <v>188093</v>
      </c>
      <c r="AU74" s="782">
        <v>18397</v>
      </c>
      <c r="AV74" s="344"/>
      <c r="AW74" s="785">
        <v>72</v>
      </c>
      <c r="AX74" s="785">
        <v>126</v>
      </c>
      <c r="AY74" s="785">
        <v>54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107656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70836</v>
      </c>
      <c r="AM75" s="147"/>
      <c r="AN75" s="144"/>
      <c r="AO75" s="136">
        <v>0</v>
      </c>
      <c r="AP75" s="144"/>
      <c r="AQ75" s="145"/>
      <c r="AR75" s="145"/>
      <c r="AS75" s="144">
        <v>12710</v>
      </c>
      <c r="AT75" s="781">
        <v>231316</v>
      </c>
      <c r="AU75" s="782">
        <v>43567</v>
      </c>
      <c r="AV75" s="344"/>
      <c r="AW75" s="786">
        <v>143</v>
      </c>
      <c r="AX75" s="786">
        <v>177</v>
      </c>
      <c r="AY75" s="786">
        <v>34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348</v>
      </c>
      <c r="D76" s="1022">
        <v>4255.7718143692655</v>
      </c>
      <c r="E76" s="1023">
        <v>1280431.9672575977</v>
      </c>
      <c r="F76" s="1024">
        <v>226</v>
      </c>
      <c r="G76" s="1025">
        <v>569.60967937788098</v>
      </c>
      <c r="H76" s="1026">
        <v>104470.64097879833</v>
      </c>
      <c r="I76" s="1024">
        <v>81</v>
      </c>
      <c r="J76" s="1025">
        <v>158.62710748085348</v>
      </c>
      <c r="K76" s="1026">
        <v>10493.265608977063</v>
      </c>
      <c r="L76" s="1024">
        <v>211</v>
      </c>
      <c r="M76" s="1025">
        <v>3935.2023104669443</v>
      </c>
      <c r="N76" s="1026">
        <v>670500.39411167486</v>
      </c>
      <c r="O76" s="1024">
        <v>0</v>
      </c>
      <c r="P76" s="1025">
        <v>1525.492171506211</v>
      </c>
      <c r="Q76" s="1026">
        <v>0</v>
      </c>
      <c r="R76" s="1027">
        <v>2065897</v>
      </c>
      <c r="S76" s="1025">
        <v>175960</v>
      </c>
      <c r="T76" s="1025">
        <v>57300</v>
      </c>
      <c r="U76" s="1028">
        <v>233260</v>
      </c>
      <c r="V76" s="1027">
        <v>2299157</v>
      </c>
      <c r="W76" s="1026">
        <v>-5751</v>
      </c>
      <c r="X76" s="1027">
        <v>2293406</v>
      </c>
      <c r="Y76" s="1026">
        <v>0</v>
      </c>
      <c r="Z76" s="1027">
        <v>2293406</v>
      </c>
      <c r="AA76" s="1025">
        <v>1477576</v>
      </c>
      <c r="AB76" s="1025">
        <v>815830</v>
      </c>
      <c r="AC76" s="1027">
        <v>203957</v>
      </c>
      <c r="AD76" s="1029">
        <v>2293406</v>
      </c>
      <c r="AE76" s="1025">
        <v>5423</v>
      </c>
      <c r="AF76" s="1030">
        <v>2530887</v>
      </c>
      <c r="AG76" s="1024">
        <v>32</v>
      </c>
      <c r="AH76" s="1025">
        <v>201475</v>
      </c>
      <c r="AI76" s="1024">
        <v>10</v>
      </c>
      <c r="AJ76" s="1025">
        <v>37256</v>
      </c>
      <c r="AK76" s="1028">
        <v>238731</v>
      </c>
      <c r="AL76" s="1030">
        <v>2769618</v>
      </c>
      <c r="AM76" s="1025">
        <v>-6923</v>
      </c>
      <c r="AN76" s="1030">
        <v>2762695</v>
      </c>
      <c r="AO76" s="1025">
        <v>0</v>
      </c>
      <c r="AP76" s="1030">
        <v>2762695</v>
      </c>
      <c r="AQ76" s="1025">
        <v>1840822</v>
      </c>
      <c r="AR76" s="1025">
        <v>921873</v>
      </c>
      <c r="AS76" s="1030">
        <v>230470</v>
      </c>
      <c r="AT76" s="787">
        <v>5056101</v>
      </c>
      <c r="AU76" s="787">
        <v>434427</v>
      </c>
      <c r="AV76" s="516"/>
      <c r="AW76" s="165">
        <v>6332</v>
      </c>
      <c r="AX76" s="165">
        <v>6923</v>
      </c>
      <c r="AY76" s="165">
        <v>591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72749</v>
      </c>
      <c r="S77" s="975"/>
      <c r="T77" s="975"/>
      <c r="U77" s="975"/>
      <c r="V77" s="976">
        <v>72749</v>
      </c>
      <c r="W77" s="1018">
        <v>-182</v>
      </c>
      <c r="X77" s="976">
        <v>72567</v>
      </c>
      <c r="Y77" s="975"/>
      <c r="Z77" s="976">
        <v>72567</v>
      </c>
      <c r="AA77" s="975">
        <v>45194</v>
      </c>
      <c r="AB77" s="975">
        <v>27373</v>
      </c>
      <c r="AC77" s="976">
        <v>6843</v>
      </c>
      <c r="AD77" s="1020">
        <v>72567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72567</v>
      </c>
      <c r="AU77" s="1179">
        <v>6843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2419</v>
      </c>
      <c r="AA83" s="156">
        <v>1614</v>
      </c>
      <c r="AB83" s="795">
        <v>805</v>
      </c>
      <c r="AC83" s="157">
        <v>201</v>
      </c>
      <c r="AD83" s="157">
        <v>2419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2419</v>
      </c>
      <c r="AU83" s="796">
        <v>201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348</v>
      </c>
      <c r="D84" s="1022">
        <v>4255.7718143692655</v>
      </c>
      <c r="E84" s="1023">
        <v>1280431.9672575977</v>
      </c>
      <c r="F84" s="1024">
        <v>226</v>
      </c>
      <c r="G84" s="1025">
        <v>569.60967937788098</v>
      </c>
      <c r="H84" s="1026">
        <v>104470.64097879833</v>
      </c>
      <c r="I84" s="1024">
        <v>81</v>
      </c>
      <c r="J84" s="1025">
        <v>158.62710748085348</v>
      </c>
      <c r="K84" s="1026">
        <v>10493.265608977063</v>
      </c>
      <c r="L84" s="1024">
        <v>211</v>
      </c>
      <c r="M84" s="1025">
        <v>3935.2023104669443</v>
      </c>
      <c r="N84" s="1026">
        <v>670500.39411167486</v>
      </c>
      <c r="O84" s="1024">
        <v>0</v>
      </c>
      <c r="P84" s="1025">
        <v>1525.492171506211</v>
      </c>
      <c r="Q84" s="1026">
        <v>0</v>
      </c>
      <c r="R84" s="1027">
        <v>2138646</v>
      </c>
      <c r="S84" s="1025">
        <v>175960</v>
      </c>
      <c r="T84" s="1025">
        <v>57300</v>
      </c>
      <c r="U84" s="1028">
        <v>233260</v>
      </c>
      <c r="V84" s="1027">
        <v>2371906</v>
      </c>
      <c r="W84" s="1026">
        <v>-5933</v>
      </c>
      <c r="X84" s="1027">
        <v>2365973</v>
      </c>
      <c r="Y84" s="1026">
        <v>0</v>
      </c>
      <c r="Z84" s="1027">
        <v>2368392</v>
      </c>
      <c r="AA84" s="1025">
        <v>1524384</v>
      </c>
      <c r="AB84" s="1025">
        <v>844008</v>
      </c>
      <c r="AC84" s="1027">
        <v>211001</v>
      </c>
      <c r="AD84" s="1029">
        <v>2368392</v>
      </c>
      <c r="AE84" s="1025">
        <v>5423</v>
      </c>
      <c r="AF84" s="1030">
        <v>2530887</v>
      </c>
      <c r="AG84" s="1024">
        <v>32</v>
      </c>
      <c r="AH84" s="1025">
        <v>201475</v>
      </c>
      <c r="AI84" s="1024">
        <v>10</v>
      </c>
      <c r="AJ84" s="1025">
        <v>37256</v>
      </c>
      <c r="AK84" s="1028">
        <v>238731</v>
      </c>
      <c r="AL84" s="1030">
        <v>2769618</v>
      </c>
      <c r="AM84" s="1025">
        <v>-6923</v>
      </c>
      <c r="AN84" s="1030">
        <v>2762695</v>
      </c>
      <c r="AO84" s="1025">
        <v>0</v>
      </c>
      <c r="AP84" s="1030">
        <v>2762695</v>
      </c>
      <c r="AQ84" s="1025">
        <v>1840822</v>
      </c>
      <c r="AR84" s="1025">
        <v>921873</v>
      </c>
      <c r="AS84" s="1030">
        <v>230470</v>
      </c>
      <c r="AT84" s="787">
        <v>5131087</v>
      </c>
      <c r="AU84" s="787">
        <v>441471</v>
      </c>
      <c r="AV84" s="516"/>
      <c r="AW84" s="165">
        <v>6332</v>
      </c>
      <c r="AX84" s="165">
        <v>6923</v>
      </c>
      <c r="AY84" s="165">
        <v>591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461</v>
      </c>
    </row>
    <row r="92" spans="1:52" x14ac:dyDescent="0.2">
      <c r="B92" s="857" t="s">
        <v>1462</v>
      </c>
    </row>
    <row r="93" spans="1:52" x14ac:dyDescent="0.2">
      <c r="B93" s="857" t="s">
        <v>1145</v>
      </c>
    </row>
    <row r="94" spans="1:52" x14ac:dyDescent="0.2">
      <c r="B94" s="857" t="s">
        <v>1493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907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5512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-302</v>
      </c>
      <c r="AT29" s="781">
        <v>0</v>
      </c>
      <c r="AU29" s="782">
        <v>-760</v>
      </c>
      <c r="AV29" s="344"/>
      <c r="AW29" s="137">
        <v>9</v>
      </c>
      <c r="AX29" s="137">
        <v>0</v>
      </c>
      <c r="AY29" s="137">
        <v>-9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954675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935088</v>
      </c>
      <c r="AM32" s="128"/>
      <c r="AN32" s="125"/>
      <c r="AO32" s="118">
        <v>-7949</v>
      </c>
      <c r="AP32" s="125"/>
      <c r="AQ32" s="126"/>
      <c r="AR32" s="126"/>
      <c r="AS32" s="125">
        <v>58233</v>
      </c>
      <c r="AT32" s="779">
        <v>1748768</v>
      </c>
      <c r="AU32" s="780">
        <v>115419</v>
      </c>
      <c r="AV32" s="344"/>
      <c r="AW32" s="119">
        <v>2784</v>
      </c>
      <c r="AX32" s="119">
        <v>2338</v>
      </c>
      <c r="AY32" s="119">
        <v>-446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2503</v>
      </c>
      <c r="AM35" s="147"/>
      <c r="AN35" s="144"/>
      <c r="AO35" s="136">
        <v>0</v>
      </c>
      <c r="AP35" s="144"/>
      <c r="AQ35" s="145"/>
      <c r="AR35" s="145"/>
      <c r="AS35" s="144">
        <v>208</v>
      </c>
      <c r="AT35" s="781">
        <v>4920</v>
      </c>
      <c r="AU35" s="782">
        <v>410</v>
      </c>
      <c r="AV35" s="344"/>
      <c r="AW35" s="137">
        <v>0</v>
      </c>
      <c r="AX35" s="137">
        <v>6</v>
      </c>
      <c r="AY35" s="137">
        <v>6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199884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276696</v>
      </c>
      <c r="AM42" s="128"/>
      <c r="AN42" s="125"/>
      <c r="AO42" s="118">
        <v>-3076</v>
      </c>
      <c r="AP42" s="125"/>
      <c r="AQ42" s="126"/>
      <c r="AR42" s="126"/>
      <c r="AS42" s="125">
        <v>18218</v>
      </c>
      <c r="AT42" s="779">
        <v>444636</v>
      </c>
      <c r="AU42" s="780">
        <v>30304</v>
      </c>
      <c r="AV42" s="344"/>
      <c r="AW42" s="119">
        <v>809</v>
      </c>
      <c r="AX42" s="119">
        <v>692</v>
      </c>
      <c r="AY42" s="119">
        <v>-117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9000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-2706</v>
      </c>
      <c r="AT44" s="781">
        <v>60</v>
      </c>
      <c r="AU44" s="782">
        <v>-3444</v>
      </c>
      <c r="AV44" s="344"/>
      <c r="AW44" s="137">
        <v>81</v>
      </c>
      <c r="AX44" s="137">
        <v>0</v>
      </c>
      <c r="AY44" s="137">
        <v>-81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5443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-333</v>
      </c>
      <c r="AT50" s="781">
        <v>0</v>
      </c>
      <c r="AU50" s="782">
        <v>-785</v>
      </c>
      <c r="AV50" s="344"/>
      <c r="AW50" s="137">
        <v>10</v>
      </c>
      <c r="AX50" s="137">
        <v>0</v>
      </c>
      <c r="AY50" s="137">
        <v>-10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2950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14336</v>
      </c>
      <c r="AM51" s="162"/>
      <c r="AN51" s="159"/>
      <c r="AO51" s="150">
        <v>0</v>
      </c>
      <c r="AP51" s="159"/>
      <c r="AQ51" s="160"/>
      <c r="AR51" s="160"/>
      <c r="AS51" s="159">
        <v>1200</v>
      </c>
      <c r="AT51" s="783">
        <v>16921</v>
      </c>
      <c r="AU51" s="784">
        <v>1392</v>
      </c>
      <c r="AV51" s="344"/>
      <c r="AW51" s="151">
        <v>36</v>
      </c>
      <c r="AX51" s="151">
        <v>36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13168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7208</v>
      </c>
      <c r="AM54" s="147"/>
      <c r="AN54" s="144"/>
      <c r="AO54" s="136">
        <v>0</v>
      </c>
      <c r="AP54" s="144"/>
      <c r="AQ54" s="145"/>
      <c r="AR54" s="145"/>
      <c r="AS54" s="144">
        <v>712</v>
      </c>
      <c r="AT54" s="781">
        <v>12095</v>
      </c>
      <c r="AU54" s="782">
        <v>819</v>
      </c>
      <c r="AV54" s="344"/>
      <c r="AW54" s="137">
        <v>33</v>
      </c>
      <c r="AX54" s="137">
        <v>18</v>
      </c>
      <c r="AY54" s="137">
        <v>-15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13858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15240</v>
      </c>
      <c r="AM58" s="147"/>
      <c r="AN58" s="144"/>
      <c r="AO58" s="136">
        <v>0</v>
      </c>
      <c r="AP58" s="144"/>
      <c r="AQ58" s="145"/>
      <c r="AR58" s="145"/>
      <c r="AS58" s="144">
        <v>1760</v>
      </c>
      <c r="AT58" s="781">
        <v>31292</v>
      </c>
      <c r="AU58" s="782">
        <v>3876</v>
      </c>
      <c r="AV58" s="344"/>
      <c r="AW58" s="137">
        <v>31</v>
      </c>
      <c r="AX58" s="137">
        <v>38</v>
      </c>
      <c r="AY58" s="137">
        <v>7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264</v>
      </c>
      <c r="D76" s="1022">
        <v>4255.7718143692655</v>
      </c>
      <c r="E76" s="1023">
        <v>994965.41410759557</v>
      </c>
      <c r="F76" s="1024">
        <v>215</v>
      </c>
      <c r="G76" s="1025">
        <v>569.60967937788098</v>
      </c>
      <c r="H76" s="1026">
        <v>102727.70911515401</v>
      </c>
      <c r="I76" s="1024">
        <v>70</v>
      </c>
      <c r="J76" s="1025">
        <v>158.62710748085348</v>
      </c>
      <c r="K76" s="1026">
        <v>9074.9001788684964</v>
      </c>
      <c r="L76" s="1024">
        <v>30</v>
      </c>
      <c r="M76" s="1025">
        <v>3935.2023104669443</v>
      </c>
      <c r="N76" s="1026">
        <v>97722.422058516502</v>
      </c>
      <c r="O76" s="1024">
        <v>0</v>
      </c>
      <c r="P76" s="1025">
        <v>1525.492171506211</v>
      </c>
      <c r="Q76" s="1026">
        <v>0</v>
      </c>
      <c r="R76" s="1027">
        <v>1204490</v>
      </c>
      <c r="S76" s="1025">
        <v>-160452</v>
      </c>
      <c r="T76" s="1025">
        <v>-11371</v>
      </c>
      <c r="U76" s="1028">
        <v>-171823</v>
      </c>
      <c r="V76" s="1027">
        <v>1032667</v>
      </c>
      <c r="W76" s="1026">
        <v>-2581</v>
      </c>
      <c r="X76" s="1027">
        <v>1030086</v>
      </c>
      <c r="Y76" s="1026">
        <v>-8312</v>
      </c>
      <c r="Z76" s="1027">
        <v>1021774</v>
      </c>
      <c r="AA76" s="1025">
        <v>740812</v>
      </c>
      <c r="AB76" s="1025">
        <v>280962</v>
      </c>
      <c r="AC76" s="1027">
        <v>70241</v>
      </c>
      <c r="AD76" s="1029">
        <v>1021774</v>
      </c>
      <c r="AE76" s="1025">
        <v>5423</v>
      </c>
      <c r="AF76" s="1030">
        <v>1493305</v>
      </c>
      <c r="AG76" s="1024">
        <v>-35</v>
      </c>
      <c r="AH76" s="1025">
        <v>-210246</v>
      </c>
      <c r="AI76" s="1024">
        <v>-12</v>
      </c>
      <c r="AJ76" s="1025">
        <v>-31988</v>
      </c>
      <c r="AK76" s="1028">
        <v>-242234</v>
      </c>
      <c r="AL76" s="1030">
        <v>1251071</v>
      </c>
      <c r="AM76" s="1025">
        <v>-3128</v>
      </c>
      <c r="AN76" s="1030">
        <v>1247943</v>
      </c>
      <c r="AO76" s="1025">
        <v>-11025</v>
      </c>
      <c r="AP76" s="1030">
        <v>1236918</v>
      </c>
      <c r="AQ76" s="1025">
        <v>928966</v>
      </c>
      <c r="AR76" s="1025">
        <v>307952</v>
      </c>
      <c r="AS76" s="1030">
        <v>76990</v>
      </c>
      <c r="AT76" s="787">
        <v>2258692</v>
      </c>
      <c r="AU76" s="787">
        <v>147231</v>
      </c>
      <c r="AV76" s="516"/>
      <c r="AW76" s="165">
        <v>3793</v>
      </c>
      <c r="AX76" s="165">
        <v>3128</v>
      </c>
      <c r="AY76" s="165">
        <v>-665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34680</v>
      </c>
      <c r="S77" s="975"/>
      <c r="T77" s="975"/>
      <c r="U77" s="975"/>
      <c r="V77" s="976">
        <v>34680</v>
      </c>
      <c r="W77" s="1018">
        <v>-87</v>
      </c>
      <c r="X77" s="976">
        <v>34593</v>
      </c>
      <c r="Y77" s="975"/>
      <c r="Z77" s="976">
        <v>34593</v>
      </c>
      <c r="AA77" s="975">
        <v>24008</v>
      </c>
      <c r="AB77" s="975">
        <v>10585</v>
      </c>
      <c r="AC77" s="976">
        <v>2646</v>
      </c>
      <c r="AD77" s="1020">
        <v>34593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34593</v>
      </c>
      <c r="AU77" s="1179">
        <v>2646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26992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15576</v>
      </c>
      <c r="AA83" s="156">
        <v>10384</v>
      </c>
      <c r="AB83" s="795">
        <v>5192</v>
      </c>
      <c r="AC83" s="157">
        <v>1298</v>
      </c>
      <c r="AD83" s="157">
        <v>15576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15576</v>
      </c>
      <c r="AU83" s="796">
        <v>1298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264</v>
      </c>
      <c r="D84" s="1022">
        <v>4255.7718143692655</v>
      </c>
      <c r="E84" s="1023">
        <v>994965.41410759557</v>
      </c>
      <c r="F84" s="1024">
        <v>215</v>
      </c>
      <c r="G84" s="1025">
        <v>569.60967937788098</v>
      </c>
      <c r="H84" s="1026">
        <v>102727.70911515401</v>
      </c>
      <c r="I84" s="1024">
        <v>70</v>
      </c>
      <c r="J84" s="1025">
        <v>158.62710748085348</v>
      </c>
      <c r="K84" s="1026">
        <v>9074.9001788684964</v>
      </c>
      <c r="L84" s="1024">
        <v>30</v>
      </c>
      <c r="M84" s="1025">
        <v>3935.2023104669443</v>
      </c>
      <c r="N84" s="1026">
        <v>97722.422058516502</v>
      </c>
      <c r="O84" s="1024">
        <v>0</v>
      </c>
      <c r="P84" s="1025">
        <v>1525.492171506211</v>
      </c>
      <c r="Q84" s="1026">
        <v>0</v>
      </c>
      <c r="R84" s="1027">
        <v>1239170</v>
      </c>
      <c r="S84" s="1025">
        <v>-160452</v>
      </c>
      <c r="T84" s="1025">
        <v>-11371</v>
      </c>
      <c r="U84" s="1028">
        <v>-171823</v>
      </c>
      <c r="V84" s="1027">
        <v>1067347</v>
      </c>
      <c r="W84" s="1026">
        <v>-2668</v>
      </c>
      <c r="X84" s="1027">
        <v>1064679</v>
      </c>
      <c r="Y84" s="1026">
        <v>-8312</v>
      </c>
      <c r="Z84" s="1027">
        <v>1071943</v>
      </c>
      <c r="AA84" s="1025">
        <v>775204</v>
      </c>
      <c r="AB84" s="1025">
        <v>296739</v>
      </c>
      <c r="AC84" s="1027">
        <v>74185</v>
      </c>
      <c r="AD84" s="1029">
        <v>1098935</v>
      </c>
      <c r="AE84" s="1025">
        <v>5423</v>
      </c>
      <c r="AF84" s="1030">
        <v>1493305</v>
      </c>
      <c r="AG84" s="1024">
        <v>-35</v>
      </c>
      <c r="AH84" s="1025">
        <v>-210246</v>
      </c>
      <c r="AI84" s="1024">
        <v>-12</v>
      </c>
      <c r="AJ84" s="1025">
        <v>-31988</v>
      </c>
      <c r="AK84" s="1028">
        <v>-242234</v>
      </c>
      <c r="AL84" s="1030">
        <v>1251071</v>
      </c>
      <c r="AM84" s="1025">
        <v>-3128</v>
      </c>
      <c r="AN84" s="1030">
        <v>1247943</v>
      </c>
      <c r="AO84" s="1025">
        <v>-11025</v>
      </c>
      <c r="AP84" s="1030">
        <v>1236918</v>
      </c>
      <c r="AQ84" s="1025">
        <v>928966</v>
      </c>
      <c r="AR84" s="1025">
        <v>307952</v>
      </c>
      <c r="AS84" s="1030">
        <v>76990</v>
      </c>
      <c r="AT84" s="787">
        <v>2308861</v>
      </c>
      <c r="AU84" s="787">
        <v>151175</v>
      </c>
      <c r="AV84" s="516"/>
      <c r="AW84" s="165">
        <v>3793</v>
      </c>
      <c r="AX84" s="165">
        <v>3128</v>
      </c>
      <c r="AY84" s="165">
        <v>-665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452</v>
      </c>
    </row>
    <row r="92" spans="1:52" x14ac:dyDescent="0.2">
      <c r="B92" s="857" t="s">
        <v>1462</v>
      </c>
    </row>
    <row r="93" spans="1:52" x14ac:dyDescent="0.2">
      <c r="B93" s="857" t="s">
        <v>1146</v>
      </c>
    </row>
    <row r="94" spans="1:52" x14ac:dyDescent="0.2">
      <c r="B94" s="857" t="s">
        <v>1492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2.425781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1112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15996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26080</v>
      </c>
      <c r="AM9" s="147"/>
      <c r="AN9" s="144"/>
      <c r="AO9" s="136">
        <v>0</v>
      </c>
      <c r="AP9" s="144"/>
      <c r="AQ9" s="145"/>
      <c r="AR9" s="145"/>
      <c r="AS9" s="144">
        <v>2173</v>
      </c>
      <c r="AT9" s="781">
        <v>42533</v>
      </c>
      <c r="AU9" s="782">
        <v>3643</v>
      </c>
      <c r="AV9" s="344"/>
      <c r="AW9" s="137">
        <v>65</v>
      </c>
      <c r="AX9" s="137">
        <v>65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2566966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5196812</v>
      </c>
      <c r="AM23" s="147"/>
      <c r="AN23" s="144"/>
      <c r="AO23" s="136">
        <v>0</v>
      </c>
      <c r="AP23" s="144"/>
      <c r="AQ23" s="145"/>
      <c r="AR23" s="145"/>
      <c r="AS23" s="144">
        <v>504067</v>
      </c>
      <c r="AT23" s="781">
        <v>8049317</v>
      </c>
      <c r="AU23" s="782">
        <v>793683</v>
      </c>
      <c r="AV23" s="344"/>
      <c r="AW23" s="137">
        <v>11908</v>
      </c>
      <c r="AX23" s="137">
        <v>12992</v>
      </c>
      <c r="AY23" s="137">
        <v>1084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10548</v>
      </c>
      <c r="AM38" s="147"/>
      <c r="AN38" s="144"/>
      <c r="AO38" s="136">
        <v>0</v>
      </c>
      <c r="AP38" s="144"/>
      <c r="AQ38" s="145"/>
      <c r="AR38" s="145"/>
      <c r="AS38" s="144">
        <v>2631</v>
      </c>
      <c r="AT38" s="781">
        <v>34507</v>
      </c>
      <c r="AU38" s="782">
        <v>8627</v>
      </c>
      <c r="AV38" s="344"/>
      <c r="AW38" s="137">
        <v>0</v>
      </c>
      <c r="AX38" s="137">
        <v>26</v>
      </c>
      <c r="AY38" s="137">
        <v>26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3261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10841</v>
      </c>
      <c r="AM67" s="128"/>
      <c r="AN67" s="125"/>
      <c r="AO67" s="118">
        <v>0</v>
      </c>
      <c r="AP67" s="125"/>
      <c r="AQ67" s="126"/>
      <c r="AR67" s="126"/>
      <c r="AS67" s="125">
        <v>1043</v>
      </c>
      <c r="AT67" s="779">
        <v>14067</v>
      </c>
      <c r="AU67" s="780">
        <v>1314</v>
      </c>
      <c r="AV67" s="344"/>
      <c r="AW67" s="119">
        <v>25</v>
      </c>
      <c r="AX67" s="119">
        <v>27</v>
      </c>
      <c r="AY67" s="119">
        <v>2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176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176</v>
      </c>
      <c r="AU73" s="782">
        <v>15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62943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29127</v>
      </c>
      <c r="AM74" s="147"/>
      <c r="AN74" s="144"/>
      <c r="AO74" s="136">
        <v>0</v>
      </c>
      <c r="AP74" s="144"/>
      <c r="AQ74" s="145"/>
      <c r="AR74" s="145"/>
      <c r="AS74" s="144">
        <v>2456</v>
      </c>
      <c r="AT74" s="781">
        <v>88695</v>
      </c>
      <c r="AU74" s="782">
        <v>6902</v>
      </c>
      <c r="AV74" s="344"/>
      <c r="AW74" s="785">
        <v>72</v>
      </c>
      <c r="AX74" s="785">
        <v>73</v>
      </c>
      <c r="AY74" s="785">
        <v>1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25222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19145</v>
      </c>
      <c r="AM75" s="147"/>
      <c r="AN75" s="144"/>
      <c r="AO75" s="136">
        <v>0</v>
      </c>
      <c r="AP75" s="144"/>
      <c r="AQ75" s="145"/>
      <c r="AR75" s="145"/>
      <c r="AS75" s="144">
        <v>2233</v>
      </c>
      <c r="AT75" s="781">
        <v>55374</v>
      </c>
      <c r="AU75" s="782">
        <v>7109</v>
      </c>
      <c r="AV75" s="344"/>
      <c r="AW75" s="786">
        <v>38</v>
      </c>
      <c r="AX75" s="786">
        <v>48</v>
      </c>
      <c r="AY75" s="786">
        <v>10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636</v>
      </c>
      <c r="D76" s="1022">
        <v>4255.7718143692655</v>
      </c>
      <c r="E76" s="1023">
        <v>2216203.3061745754</v>
      </c>
      <c r="F76" s="1024">
        <v>567</v>
      </c>
      <c r="G76" s="1025">
        <v>569.60967937788098</v>
      </c>
      <c r="H76" s="1026">
        <v>251094.23731774985</v>
      </c>
      <c r="I76" s="1024">
        <v>188</v>
      </c>
      <c r="J76" s="1025">
        <v>158.62710748085348</v>
      </c>
      <c r="K76" s="1026">
        <v>22821.173685421476</v>
      </c>
      <c r="L76" s="1024">
        <v>62</v>
      </c>
      <c r="M76" s="1025">
        <v>3935.2023104669443</v>
      </c>
      <c r="N76" s="1026">
        <v>184446.62538035621</v>
      </c>
      <c r="O76" s="1024">
        <v>0</v>
      </c>
      <c r="P76" s="1025">
        <v>1525.492171506211</v>
      </c>
      <c r="Q76" s="1026">
        <v>0</v>
      </c>
      <c r="R76" s="1027">
        <v>2674564</v>
      </c>
      <c r="S76" s="1025">
        <v>344078</v>
      </c>
      <c r="T76" s="1025">
        <v>-5764</v>
      </c>
      <c r="U76" s="1028">
        <v>338314</v>
      </c>
      <c r="V76" s="1027">
        <v>3012878</v>
      </c>
      <c r="W76" s="1026">
        <v>-7531</v>
      </c>
      <c r="X76" s="1027">
        <v>3005347</v>
      </c>
      <c r="Y76" s="1026">
        <v>0</v>
      </c>
      <c r="Z76" s="1027">
        <v>3005347</v>
      </c>
      <c r="AA76" s="1025">
        <v>1778586</v>
      </c>
      <c r="AB76" s="1025">
        <v>1226761</v>
      </c>
      <c r="AC76" s="1027">
        <v>306690</v>
      </c>
      <c r="AD76" s="1029">
        <v>3005347</v>
      </c>
      <c r="AE76" s="1025">
        <v>5423</v>
      </c>
      <c r="AF76" s="1030">
        <v>4746800</v>
      </c>
      <c r="AG76" s="1024">
        <v>79</v>
      </c>
      <c r="AH76" s="1025">
        <v>570289</v>
      </c>
      <c r="AI76" s="1024">
        <v>-8</v>
      </c>
      <c r="AJ76" s="1025">
        <v>-24536</v>
      </c>
      <c r="AK76" s="1028">
        <v>545753</v>
      </c>
      <c r="AL76" s="1030">
        <v>5292553</v>
      </c>
      <c r="AM76" s="1025">
        <v>-13231</v>
      </c>
      <c r="AN76" s="1030">
        <v>5279322</v>
      </c>
      <c r="AO76" s="1025">
        <v>0</v>
      </c>
      <c r="AP76" s="1030">
        <v>5279322</v>
      </c>
      <c r="AQ76" s="1025">
        <v>3220916</v>
      </c>
      <c r="AR76" s="1025">
        <v>2058406</v>
      </c>
      <c r="AS76" s="1030">
        <v>514603</v>
      </c>
      <c r="AT76" s="787">
        <v>8284669</v>
      </c>
      <c r="AU76" s="787">
        <v>821293</v>
      </c>
      <c r="AV76" s="516"/>
      <c r="AW76" s="165">
        <v>12108</v>
      </c>
      <c r="AX76" s="165">
        <v>13231</v>
      </c>
      <c r="AY76" s="165">
        <v>1123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95775</v>
      </c>
      <c r="S77" s="975"/>
      <c r="T77" s="975"/>
      <c r="U77" s="975"/>
      <c r="V77" s="976">
        <v>95775</v>
      </c>
      <c r="W77" s="1018">
        <v>-239</v>
      </c>
      <c r="X77" s="976">
        <v>95536</v>
      </c>
      <c r="Y77" s="975"/>
      <c r="Z77" s="976">
        <v>95536</v>
      </c>
      <c r="AA77" s="975">
        <v>66382</v>
      </c>
      <c r="AB77" s="975">
        <v>29154</v>
      </c>
      <c r="AC77" s="976">
        <v>7289</v>
      </c>
      <c r="AD77" s="1020">
        <v>95536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95536</v>
      </c>
      <c r="AU77" s="1179">
        <v>7289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6372</v>
      </c>
      <c r="AA83" s="156">
        <v>4248</v>
      </c>
      <c r="AB83" s="795">
        <v>2124</v>
      </c>
      <c r="AC83" s="157">
        <v>531</v>
      </c>
      <c r="AD83" s="157">
        <v>6372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6372</v>
      </c>
      <c r="AU83" s="796">
        <v>531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636</v>
      </c>
      <c r="D84" s="1022">
        <v>4255.7718143692655</v>
      </c>
      <c r="E84" s="1023">
        <v>2216203.3061745754</v>
      </c>
      <c r="F84" s="1024">
        <v>567</v>
      </c>
      <c r="G84" s="1025">
        <v>569.60967937788098</v>
      </c>
      <c r="H84" s="1026">
        <v>251094.23731774985</v>
      </c>
      <c r="I84" s="1024">
        <v>188</v>
      </c>
      <c r="J84" s="1025">
        <v>158.62710748085348</v>
      </c>
      <c r="K84" s="1026">
        <v>22821.173685421476</v>
      </c>
      <c r="L84" s="1024">
        <v>62</v>
      </c>
      <c r="M84" s="1025">
        <v>3935.2023104669443</v>
      </c>
      <c r="N84" s="1026">
        <v>184446.62538035621</v>
      </c>
      <c r="O84" s="1024">
        <v>0</v>
      </c>
      <c r="P84" s="1025">
        <v>1525.492171506211</v>
      </c>
      <c r="Q84" s="1026">
        <v>0</v>
      </c>
      <c r="R84" s="1027">
        <v>2770339</v>
      </c>
      <c r="S84" s="1025">
        <v>344078</v>
      </c>
      <c r="T84" s="1025">
        <v>-5764</v>
      </c>
      <c r="U84" s="1028">
        <v>338314</v>
      </c>
      <c r="V84" s="1027">
        <v>3108653</v>
      </c>
      <c r="W84" s="1026">
        <v>-7770</v>
      </c>
      <c r="X84" s="1027">
        <v>3100883</v>
      </c>
      <c r="Y84" s="1026">
        <v>0</v>
      </c>
      <c r="Z84" s="1027">
        <v>3107255</v>
      </c>
      <c r="AA84" s="1025">
        <v>1849216</v>
      </c>
      <c r="AB84" s="1025">
        <v>1258039</v>
      </c>
      <c r="AC84" s="1027">
        <v>314510</v>
      </c>
      <c r="AD84" s="1029">
        <v>3107255</v>
      </c>
      <c r="AE84" s="1025">
        <v>5423</v>
      </c>
      <c r="AF84" s="1030">
        <v>4746800</v>
      </c>
      <c r="AG84" s="1024">
        <v>79</v>
      </c>
      <c r="AH84" s="1025">
        <v>570289</v>
      </c>
      <c r="AI84" s="1024">
        <v>-8</v>
      </c>
      <c r="AJ84" s="1025">
        <v>-24536</v>
      </c>
      <c r="AK84" s="1028">
        <v>545753</v>
      </c>
      <c r="AL84" s="1030">
        <v>5292553</v>
      </c>
      <c r="AM84" s="1025">
        <v>-13231</v>
      </c>
      <c r="AN84" s="1030">
        <v>5279322</v>
      </c>
      <c r="AO84" s="1025">
        <v>0</v>
      </c>
      <c r="AP84" s="1030">
        <v>5279322</v>
      </c>
      <c r="AQ84" s="1025">
        <v>3220916</v>
      </c>
      <c r="AR84" s="1025">
        <v>2058406</v>
      </c>
      <c r="AS84" s="1030">
        <v>514603</v>
      </c>
      <c r="AT84" s="787">
        <v>8386577</v>
      </c>
      <c r="AU84" s="787">
        <v>829113</v>
      </c>
      <c r="AV84" s="516"/>
      <c r="AW84" s="165">
        <v>12108</v>
      </c>
      <c r="AX84" s="165">
        <v>13231</v>
      </c>
      <c r="AY84" s="165">
        <v>1123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699</v>
      </c>
    </row>
    <row r="92" spans="1:52" x14ac:dyDescent="0.2">
      <c r="B92" s="857" t="s">
        <v>1462</v>
      </c>
    </row>
    <row r="93" spans="1:52" x14ac:dyDescent="0.2">
      <c r="B93" s="857" t="s">
        <v>1147</v>
      </c>
    </row>
    <row r="94" spans="1:52" x14ac:dyDescent="0.2">
      <c r="B94" s="857" t="s">
        <v>1491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479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578421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268768</v>
      </c>
      <c r="AM19" s="147"/>
      <c r="AN19" s="144"/>
      <c r="AO19" s="136">
        <v>0</v>
      </c>
      <c r="AP19" s="144"/>
      <c r="AQ19" s="145"/>
      <c r="AR19" s="145"/>
      <c r="AS19" s="144">
        <v>24022</v>
      </c>
      <c r="AT19" s="781">
        <v>836874</v>
      </c>
      <c r="AU19" s="782">
        <v>70054</v>
      </c>
      <c r="AV19" s="344"/>
      <c r="AW19" s="137">
        <v>647</v>
      </c>
      <c r="AX19" s="137">
        <v>672</v>
      </c>
      <c r="AY19" s="137">
        <v>25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2130400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1019509</v>
      </c>
      <c r="AM21" s="162"/>
      <c r="AN21" s="159"/>
      <c r="AO21" s="150">
        <v>0</v>
      </c>
      <c r="AP21" s="159"/>
      <c r="AQ21" s="160"/>
      <c r="AR21" s="160"/>
      <c r="AS21" s="159">
        <v>81347</v>
      </c>
      <c r="AT21" s="783">
        <v>3090495</v>
      </c>
      <c r="AU21" s="784">
        <v>245551</v>
      </c>
      <c r="AV21" s="344"/>
      <c r="AW21" s="151">
        <v>2600</v>
      </c>
      <c r="AX21" s="151">
        <v>2549</v>
      </c>
      <c r="AY21" s="151">
        <v>-51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12281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5332</v>
      </c>
      <c r="AM27" s="128"/>
      <c r="AN27" s="125"/>
      <c r="AO27" s="118">
        <v>0</v>
      </c>
      <c r="AP27" s="125"/>
      <c r="AQ27" s="126"/>
      <c r="AR27" s="126"/>
      <c r="AS27" s="125">
        <v>482</v>
      </c>
      <c r="AT27" s="779">
        <v>17569</v>
      </c>
      <c r="AU27" s="780">
        <v>1503</v>
      </c>
      <c r="AV27" s="344"/>
      <c r="AW27" s="119">
        <v>13</v>
      </c>
      <c r="AX27" s="119">
        <v>13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1981</v>
      </c>
      <c r="AM43" s="147"/>
      <c r="AN43" s="144"/>
      <c r="AO43" s="136">
        <v>0</v>
      </c>
      <c r="AP43" s="144"/>
      <c r="AQ43" s="145"/>
      <c r="AR43" s="145"/>
      <c r="AS43" s="144">
        <v>494</v>
      </c>
      <c r="AT43" s="781">
        <v>4908</v>
      </c>
      <c r="AU43" s="782">
        <v>1227</v>
      </c>
      <c r="AV43" s="344"/>
      <c r="AW43" s="137">
        <v>0</v>
      </c>
      <c r="AX43" s="137">
        <v>5</v>
      </c>
      <c r="AY43" s="137">
        <v>5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253389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274050</v>
      </c>
      <c r="AM60" s="147"/>
      <c r="AN60" s="144"/>
      <c r="AO60" s="136">
        <v>0</v>
      </c>
      <c r="AP60" s="144"/>
      <c r="AQ60" s="145"/>
      <c r="AR60" s="145"/>
      <c r="AS60" s="144">
        <v>29181</v>
      </c>
      <c r="AT60" s="781">
        <v>536669</v>
      </c>
      <c r="AU60" s="782">
        <v>52526</v>
      </c>
      <c r="AV60" s="344"/>
      <c r="AW60" s="137">
        <v>589</v>
      </c>
      <c r="AX60" s="137">
        <v>685</v>
      </c>
      <c r="AY60" s="137">
        <v>96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482</v>
      </c>
      <c r="D76" s="1022">
        <v>4255.7718143692655</v>
      </c>
      <c r="E76" s="1023">
        <v>2501781.7138603861</v>
      </c>
      <c r="F76" s="1024">
        <v>282</v>
      </c>
      <c r="G76" s="1025">
        <v>569.60967937788098</v>
      </c>
      <c r="H76" s="1026">
        <v>198050.84763637191</v>
      </c>
      <c r="I76" s="1024">
        <v>255</v>
      </c>
      <c r="J76" s="1025">
        <v>158.62710748085348</v>
      </c>
      <c r="K76" s="1026">
        <v>49437.194050812788</v>
      </c>
      <c r="L76" s="1024">
        <v>46</v>
      </c>
      <c r="M76" s="1025">
        <v>3935.2023104669443</v>
      </c>
      <c r="N76" s="1026">
        <v>217793.86107183449</v>
      </c>
      <c r="O76" s="1024">
        <v>4</v>
      </c>
      <c r="P76" s="1025">
        <v>1525.492171506211</v>
      </c>
      <c r="Q76" s="1026">
        <v>7428.3059826096915</v>
      </c>
      <c r="R76" s="1027">
        <v>2974491</v>
      </c>
      <c r="S76" s="1025">
        <v>-19551</v>
      </c>
      <c r="T76" s="1025">
        <v>-28955</v>
      </c>
      <c r="U76" s="1028">
        <v>-48506</v>
      </c>
      <c r="V76" s="1027">
        <v>2925985</v>
      </c>
      <c r="W76" s="1026">
        <v>-7316</v>
      </c>
      <c r="X76" s="1027">
        <v>2918669</v>
      </c>
      <c r="Y76" s="1026">
        <v>2130</v>
      </c>
      <c r="Z76" s="1027">
        <v>2920799</v>
      </c>
      <c r="AA76" s="1025">
        <v>1979462</v>
      </c>
      <c r="AB76" s="1025">
        <v>941337</v>
      </c>
      <c r="AC76" s="1027">
        <v>235335</v>
      </c>
      <c r="AD76" s="1029">
        <v>2920799</v>
      </c>
      <c r="AE76" s="1025">
        <v>5423</v>
      </c>
      <c r="AF76" s="1030">
        <v>1607281</v>
      </c>
      <c r="AG76" s="1024">
        <v>-8</v>
      </c>
      <c r="AH76" s="1025">
        <v>-18024</v>
      </c>
      <c r="AI76" s="1024">
        <v>-10</v>
      </c>
      <c r="AJ76" s="1025">
        <v>-19617</v>
      </c>
      <c r="AK76" s="1028">
        <v>-37641</v>
      </c>
      <c r="AL76" s="1030">
        <v>1569640</v>
      </c>
      <c r="AM76" s="1025">
        <v>-3924</v>
      </c>
      <c r="AN76" s="1030">
        <v>1565716</v>
      </c>
      <c r="AO76" s="1025">
        <v>0</v>
      </c>
      <c r="AP76" s="1030">
        <v>1565716</v>
      </c>
      <c r="AQ76" s="1025">
        <v>1023616</v>
      </c>
      <c r="AR76" s="1025">
        <v>542100</v>
      </c>
      <c r="AS76" s="1030">
        <v>135526</v>
      </c>
      <c r="AT76" s="787">
        <v>4486515</v>
      </c>
      <c r="AU76" s="787">
        <v>370861</v>
      </c>
      <c r="AV76" s="516"/>
      <c r="AW76" s="165">
        <v>3849</v>
      </c>
      <c r="AX76" s="165">
        <v>3924</v>
      </c>
      <c r="AY76" s="165">
        <v>75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59451</v>
      </c>
      <c r="S77" s="975"/>
      <c r="T77" s="975"/>
      <c r="U77" s="975"/>
      <c r="V77" s="976">
        <v>59451</v>
      </c>
      <c r="W77" s="1018">
        <v>-149</v>
      </c>
      <c r="X77" s="976">
        <v>59302</v>
      </c>
      <c r="Y77" s="975"/>
      <c r="Z77" s="976">
        <v>59302</v>
      </c>
      <c r="AA77" s="975">
        <v>38804</v>
      </c>
      <c r="AB77" s="975">
        <v>20498</v>
      </c>
      <c r="AC77" s="976">
        <v>5125</v>
      </c>
      <c r="AD77" s="1020">
        <v>59302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59302</v>
      </c>
      <c r="AU77" s="1179">
        <v>5125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12390</v>
      </c>
      <c r="AA83" s="156">
        <v>8262</v>
      </c>
      <c r="AB83" s="795">
        <v>4128</v>
      </c>
      <c r="AC83" s="157">
        <v>1032</v>
      </c>
      <c r="AD83" s="157">
        <v>12390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12390</v>
      </c>
      <c r="AU83" s="796">
        <v>1032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482</v>
      </c>
      <c r="D84" s="1022">
        <v>4255.7718143692655</v>
      </c>
      <c r="E84" s="1023">
        <v>2501781.7138603861</v>
      </c>
      <c r="F84" s="1024">
        <v>282</v>
      </c>
      <c r="G84" s="1025">
        <v>569.60967937788098</v>
      </c>
      <c r="H84" s="1026">
        <v>198050.84763637191</v>
      </c>
      <c r="I84" s="1024">
        <v>255</v>
      </c>
      <c r="J84" s="1025">
        <v>158.62710748085348</v>
      </c>
      <c r="K84" s="1026">
        <v>49437.194050812788</v>
      </c>
      <c r="L84" s="1024">
        <v>46</v>
      </c>
      <c r="M84" s="1025">
        <v>3935.2023104669443</v>
      </c>
      <c r="N84" s="1026">
        <v>217793.86107183449</v>
      </c>
      <c r="O84" s="1024">
        <v>4</v>
      </c>
      <c r="P84" s="1025">
        <v>1525.492171506211</v>
      </c>
      <c r="Q84" s="1026">
        <v>7428.3059826096915</v>
      </c>
      <c r="R84" s="1027">
        <v>3033942</v>
      </c>
      <c r="S84" s="1025">
        <v>-19551</v>
      </c>
      <c r="T84" s="1025">
        <v>-28955</v>
      </c>
      <c r="U84" s="1028">
        <v>-48506</v>
      </c>
      <c r="V84" s="1027">
        <v>2985436</v>
      </c>
      <c r="W84" s="1026">
        <v>-7465</v>
      </c>
      <c r="X84" s="1027">
        <v>2977971</v>
      </c>
      <c r="Y84" s="1026">
        <v>2130</v>
      </c>
      <c r="Z84" s="1027">
        <v>2992491</v>
      </c>
      <c r="AA84" s="1025">
        <v>2026528</v>
      </c>
      <c r="AB84" s="1025">
        <v>965963</v>
      </c>
      <c r="AC84" s="1027">
        <v>241492</v>
      </c>
      <c r="AD84" s="1029">
        <v>3002491</v>
      </c>
      <c r="AE84" s="1025">
        <v>5423</v>
      </c>
      <c r="AF84" s="1030">
        <v>1607281</v>
      </c>
      <c r="AG84" s="1024">
        <v>-8</v>
      </c>
      <c r="AH84" s="1025">
        <v>-18024</v>
      </c>
      <c r="AI84" s="1024">
        <v>-10</v>
      </c>
      <c r="AJ84" s="1025">
        <v>-19617</v>
      </c>
      <c r="AK84" s="1028">
        <v>-37641</v>
      </c>
      <c r="AL84" s="1030">
        <v>1569640</v>
      </c>
      <c r="AM84" s="1025">
        <v>-3924</v>
      </c>
      <c r="AN84" s="1030">
        <v>1565716</v>
      </c>
      <c r="AO84" s="1025">
        <v>0</v>
      </c>
      <c r="AP84" s="1030">
        <v>1565716</v>
      </c>
      <c r="AQ84" s="1025">
        <v>1023616</v>
      </c>
      <c r="AR84" s="1025">
        <v>542100</v>
      </c>
      <c r="AS84" s="1030">
        <v>135526</v>
      </c>
      <c r="AT84" s="787">
        <v>4558207</v>
      </c>
      <c r="AU84" s="787">
        <v>377018</v>
      </c>
      <c r="AV84" s="516"/>
      <c r="AW84" s="165">
        <v>3849</v>
      </c>
      <c r="AX84" s="165">
        <v>3924</v>
      </c>
      <c r="AY84" s="165">
        <v>75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457</v>
      </c>
    </row>
    <row r="92" spans="1:52" x14ac:dyDescent="0.2">
      <c r="B92" s="857" t="s">
        <v>1462</v>
      </c>
    </row>
    <row r="93" spans="1:52" x14ac:dyDescent="0.2">
      <c r="B93" s="857" t="s">
        <v>1148</v>
      </c>
    </row>
    <row r="94" spans="1:52" x14ac:dyDescent="0.2">
      <c r="B94" s="857" t="s">
        <v>1490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480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727491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1470226</v>
      </c>
      <c r="AM23" s="147"/>
      <c r="AN23" s="144"/>
      <c r="AO23" s="136">
        <v>7721</v>
      </c>
      <c r="AP23" s="144"/>
      <c r="AQ23" s="145"/>
      <c r="AR23" s="145"/>
      <c r="AS23" s="144">
        <v>149094</v>
      </c>
      <c r="AT23" s="781">
        <v>2292806</v>
      </c>
      <c r="AU23" s="782">
        <v>232182</v>
      </c>
      <c r="AV23" s="344"/>
      <c r="AW23" s="137">
        <v>3281</v>
      </c>
      <c r="AX23" s="137">
        <v>3676</v>
      </c>
      <c r="AY23" s="137">
        <v>395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5235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-650</v>
      </c>
      <c r="AT25" s="781">
        <v>162</v>
      </c>
      <c r="AU25" s="782">
        <v>-1480</v>
      </c>
      <c r="AV25" s="344"/>
      <c r="AW25" s="137">
        <v>10</v>
      </c>
      <c r="AX25" s="137">
        <v>0</v>
      </c>
      <c r="AY25" s="137">
        <v>-10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13711</v>
      </c>
      <c r="AM30" s="147"/>
      <c r="AN30" s="144"/>
      <c r="AO30" s="136">
        <v>0</v>
      </c>
      <c r="AP30" s="144"/>
      <c r="AQ30" s="145"/>
      <c r="AR30" s="145"/>
      <c r="AS30" s="144">
        <v>3419</v>
      </c>
      <c r="AT30" s="781">
        <v>16372</v>
      </c>
      <c r="AU30" s="782">
        <v>4093</v>
      </c>
      <c r="AV30" s="344"/>
      <c r="AW30" s="137">
        <v>0</v>
      </c>
      <c r="AX30" s="137">
        <v>34</v>
      </c>
      <c r="AY30" s="137">
        <v>34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3962</v>
      </c>
      <c r="AM43" s="147"/>
      <c r="AN43" s="144"/>
      <c r="AO43" s="136">
        <v>0</v>
      </c>
      <c r="AP43" s="144"/>
      <c r="AQ43" s="145"/>
      <c r="AR43" s="145"/>
      <c r="AS43" s="144">
        <v>988</v>
      </c>
      <c r="AT43" s="781">
        <v>9815</v>
      </c>
      <c r="AU43" s="782">
        <v>2454</v>
      </c>
      <c r="AV43" s="344"/>
      <c r="AW43" s="137">
        <v>0</v>
      </c>
      <c r="AX43" s="137">
        <v>10</v>
      </c>
      <c r="AY43" s="137">
        <v>10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78749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66451</v>
      </c>
      <c r="AM73" s="147"/>
      <c r="AN73" s="144"/>
      <c r="AO73" s="136">
        <v>0</v>
      </c>
      <c r="AP73" s="144"/>
      <c r="AQ73" s="145"/>
      <c r="AR73" s="145"/>
      <c r="AS73" s="144">
        <v>4234</v>
      </c>
      <c r="AT73" s="781">
        <v>130595</v>
      </c>
      <c r="AU73" s="782">
        <v>7220</v>
      </c>
      <c r="AV73" s="344"/>
      <c r="AW73" s="785">
        <v>186</v>
      </c>
      <c r="AX73" s="785">
        <v>166</v>
      </c>
      <c r="AY73" s="785">
        <v>-20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1012378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573342</v>
      </c>
      <c r="AM74" s="147"/>
      <c r="AN74" s="144"/>
      <c r="AO74" s="136">
        <v>0</v>
      </c>
      <c r="AP74" s="144"/>
      <c r="AQ74" s="145"/>
      <c r="AR74" s="145"/>
      <c r="AS74" s="144">
        <v>69415</v>
      </c>
      <c r="AT74" s="781">
        <v>1786778</v>
      </c>
      <c r="AU74" s="782">
        <v>204824</v>
      </c>
      <c r="AV74" s="344"/>
      <c r="AW74" s="785">
        <v>1106</v>
      </c>
      <c r="AX74" s="785">
        <v>1433</v>
      </c>
      <c r="AY74" s="785">
        <v>327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6207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11487</v>
      </c>
      <c r="AM75" s="147"/>
      <c r="AN75" s="144"/>
      <c r="AO75" s="136">
        <v>0</v>
      </c>
      <c r="AP75" s="144"/>
      <c r="AQ75" s="145"/>
      <c r="AR75" s="145"/>
      <c r="AS75" s="144">
        <v>2229</v>
      </c>
      <c r="AT75" s="781">
        <v>29309</v>
      </c>
      <c r="AU75" s="782">
        <v>5660</v>
      </c>
      <c r="AV75" s="344"/>
      <c r="AW75" s="786">
        <v>10</v>
      </c>
      <c r="AX75" s="786">
        <v>29</v>
      </c>
      <c r="AY75" s="786">
        <v>19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337</v>
      </c>
      <c r="D76" s="1022">
        <v>4255.7718143692655</v>
      </c>
      <c r="E76" s="1023">
        <v>1506239.7460706201</v>
      </c>
      <c r="F76" s="1024">
        <v>292</v>
      </c>
      <c r="G76" s="1025">
        <v>569.60967937788098</v>
      </c>
      <c r="H76" s="1026">
        <v>165832.32960507207</v>
      </c>
      <c r="I76" s="1024">
        <v>37</v>
      </c>
      <c r="J76" s="1025">
        <v>158.62710748085348</v>
      </c>
      <c r="K76" s="1026">
        <v>6236.2418055024082</v>
      </c>
      <c r="L76" s="1024">
        <v>41</v>
      </c>
      <c r="M76" s="1025">
        <v>3935.2023104669443</v>
      </c>
      <c r="N76" s="1026">
        <v>151751.12053727469</v>
      </c>
      <c r="O76" s="1024">
        <v>0</v>
      </c>
      <c r="P76" s="1025">
        <v>1525.492171506211</v>
      </c>
      <c r="Q76" s="1026">
        <v>0</v>
      </c>
      <c r="R76" s="1027">
        <v>1830060</v>
      </c>
      <c r="S76" s="1025">
        <v>296201</v>
      </c>
      <c r="T76" s="1025">
        <v>-267</v>
      </c>
      <c r="U76" s="1028">
        <v>295934</v>
      </c>
      <c r="V76" s="1027">
        <v>2125994</v>
      </c>
      <c r="W76" s="1026">
        <v>-5315</v>
      </c>
      <c r="X76" s="1027">
        <v>2120679</v>
      </c>
      <c r="Y76" s="1026">
        <v>3606</v>
      </c>
      <c r="Z76" s="1027">
        <v>2124285</v>
      </c>
      <c r="AA76" s="1025">
        <v>1219392</v>
      </c>
      <c r="AB76" s="1025">
        <v>904893</v>
      </c>
      <c r="AC76" s="1027">
        <v>226224</v>
      </c>
      <c r="AD76" s="1029">
        <v>2124285</v>
      </c>
      <c r="AE76" s="1025">
        <v>5423</v>
      </c>
      <c r="AF76" s="1030">
        <v>1834708</v>
      </c>
      <c r="AG76" s="1024">
        <v>57</v>
      </c>
      <c r="AH76" s="1025">
        <v>250160</v>
      </c>
      <c r="AI76" s="1024">
        <v>7</v>
      </c>
      <c r="AJ76" s="1025">
        <v>54311</v>
      </c>
      <c r="AK76" s="1028">
        <v>304471</v>
      </c>
      <c r="AL76" s="1030">
        <v>2139179</v>
      </c>
      <c r="AM76" s="1025">
        <v>-5348</v>
      </c>
      <c r="AN76" s="1030">
        <v>2133831</v>
      </c>
      <c r="AO76" s="1025">
        <v>7721</v>
      </c>
      <c r="AP76" s="1030">
        <v>2141552</v>
      </c>
      <c r="AQ76" s="1025">
        <v>1226634</v>
      </c>
      <c r="AR76" s="1025">
        <v>914918</v>
      </c>
      <c r="AS76" s="1030">
        <v>228729</v>
      </c>
      <c r="AT76" s="787">
        <v>4265837</v>
      </c>
      <c r="AU76" s="787">
        <v>454953</v>
      </c>
      <c r="AV76" s="516"/>
      <c r="AW76" s="165">
        <v>4593</v>
      </c>
      <c r="AX76" s="165">
        <v>5348</v>
      </c>
      <c r="AY76" s="165">
        <v>755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50331</v>
      </c>
      <c r="S77" s="975"/>
      <c r="T77" s="975"/>
      <c r="U77" s="975"/>
      <c r="V77" s="976">
        <v>50331</v>
      </c>
      <c r="W77" s="1018">
        <v>-126</v>
      </c>
      <c r="X77" s="976">
        <v>50205</v>
      </c>
      <c r="Y77" s="975"/>
      <c r="Z77" s="976">
        <v>50205</v>
      </c>
      <c r="AA77" s="975">
        <v>32392</v>
      </c>
      <c r="AB77" s="975">
        <v>17813</v>
      </c>
      <c r="AC77" s="976">
        <v>4453</v>
      </c>
      <c r="AD77" s="1020">
        <v>50205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50205</v>
      </c>
      <c r="AU77" s="1179">
        <v>4453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3856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1593</v>
      </c>
      <c r="AA83" s="156">
        <v>1064</v>
      </c>
      <c r="AB83" s="795">
        <v>529</v>
      </c>
      <c r="AC83" s="157">
        <v>132</v>
      </c>
      <c r="AD83" s="157">
        <v>1593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1593</v>
      </c>
      <c r="AU83" s="796">
        <v>132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337</v>
      </c>
      <c r="D84" s="1022">
        <v>4255.7718143692655</v>
      </c>
      <c r="E84" s="1023">
        <v>1506239.7460706201</v>
      </c>
      <c r="F84" s="1024">
        <v>292</v>
      </c>
      <c r="G84" s="1025">
        <v>569.60967937788098</v>
      </c>
      <c r="H84" s="1026">
        <v>165832.32960507207</v>
      </c>
      <c r="I84" s="1024">
        <v>37</v>
      </c>
      <c r="J84" s="1025">
        <v>158.62710748085348</v>
      </c>
      <c r="K84" s="1026">
        <v>6236.2418055024082</v>
      </c>
      <c r="L84" s="1024">
        <v>41</v>
      </c>
      <c r="M84" s="1025">
        <v>3935.2023104669443</v>
      </c>
      <c r="N84" s="1026">
        <v>151751.12053727469</v>
      </c>
      <c r="O84" s="1024">
        <v>0</v>
      </c>
      <c r="P84" s="1025">
        <v>1525.492171506211</v>
      </c>
      <c r="Q84" s="1026">
        <v>0</v>
      </c>
      <c r="R84" s="1027">
        <v>1880391</v>
      </c>
      <c r="S84" s="1025">
        <v>296201</v>
      </c>
      <c r="T84" s="1025">
        <v>-267</v>
      </c>
      <c r="U84" s="1028">
        <v>295934</v>
      </c>
      <c r="V84" s="1027">
        <v>2176325</v>
      </c>
      <c r="W84" s="1026">
        <v>-5441</v>
      </c>
      <c r="X84" s="1027">
        <v>2170884</v>
      </c>
      <c r="Y84" s="1026">
        <v>3606</v>
      </c>
      <c r="Z84" s="1027">
        <v>2176083</v>
      </c>
      <c r="AA84" s="1025">
        <v>1252848</v>
      </c>
      <c r="AB84" s="1025">
        <v>923235</v>
      </c>
      <c r="AC84" s="1027">
        <v>230809</v>
      </c>
      <c r="AD84" s="1029">
        <v>2179939</v>
      </c>
      <c r="AE84" s="1025">
        <v>5423</v>
      </c>
      <c r="AF84" s="1030">
        <v>1834708</v>
      </c>
      <c r="AG84" s="1024">
        <v>57</v>
      </c>
      <c r="AH84" s="1025">
        <v>250160</v>
      </c>
      <c r="AI84" s="1024">
        <v>7</v>
      </c>
      <c r="AJ84" s="1025">
        <v>54311</v>
      </c>
      <c r="AK84" s="1028">
        <v>304471</v>
      </c>
      <c r="AL84" s="1030">
        <v>2139179</v>
      </c>
      <c r="AM84" s="1025">
        <v>-5348</v>
      </c>
      <c r="AN84" s="1030">
        <v>2133831</v>
      </c>
      <c r="AO84" s="1025">
        <v>7721</v>
      </c>
      <c r="AP84" s="1030">
        <v>2141552</v>
      </c>
      <c r="AQ84" s="1025">
        <v>1226634</v>
      </c>
      <c r="AR84" s="1025">
        <v>914918</v>
      </c>
      <c r="AS84" s="1030">
        <v>228729</v>
      </c>
      <c r="AT84" s="787">
        <v>4317635</v>
      </c>
      <c r="AU84" s="787">
        <v>459538</v>
      </c>
      <c r="AV84" s="516"/>
      <c r="AW84" s="165">
        <v>4593</v>
      </c>
      <c r="AX84" s="165">
        <v>5348</v>
      </c>
      <c r="AY84" s="165">
        <v>755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0" t="s">
        <v>463</v>
      </c>
    </row>
    <row r="92" spans="1:52" x14ac:dyDescent="0.2">
      <c r="B92" s="857" t="s">
        <v>1462</v>
      </c>
    </row>
    <row r="93" spans="1:52" x14ac:dyDescent="0.2">
      <c r="B93" s="857" t="s">
        <v>1149</v>
      </c>
    </row>
    <row r="94" spans="1:52" x14ac:dyDescent="0.2">
      <c r="B94" s="857" t="s">
        <v>1489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481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917650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1292589</v>
      </c>
      <c r="AM23" s="147"/>
      <c r="AN23" s="144"/>
      <c r="AO23" s="136">
        <v>15442</v>
      </c>
      <c r="AP23" s="144"/>
      <c r="AQ23" s="145"/>
      <c r="AR23" s="145"/>
      <c r="AS23" s="144">
        <v>68220</v>
      </c>
      <c r="AT23" s="781">
        <v>2015049</v>
      </c>
      <c r="AU23" s="782">
        <v>109966</v>
      </c>
      <c r="AV23" s="344"/>
      <c r="AW23" s="137">
        <v>4381</v>
      </c>
      <c r="AX23" s="137">
        <v>3231</v>
      </c>
      <c r="AY23" s="137">
        <v>-1150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136914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85180</v>
      </c>
      <c r="AM25" s="147"/>
      <c r="AN25" s="144"/>
      <c r="AO25" s="136">
        <v>0</v>
      </c>
      <c r="AP25" s="144"/>
      <c r="AQ25" s="145"/>
      <c r="AR25" s="145"/>
      <c r="AS25" s="144">
        <v>6615</v>
      </c>
      <c r="AT25" s="781">
        <v>196829</v>
      </c>
      <c r="AU25" s="782">
        <v>13927</v>
      </c>
      <c r="AV25" s="344"/>
      <c r="AW25" s="137">
        <v>244</v>
      </c>
      <c r="AX25" s="137">
        <v>213</v>
      </c>
      <c r="AY25" s="137">
        <v>-31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3006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27422</v>
      </c>
      <c r="AM30" s="147"/>
      <c r="AN30" s="144"/>
      <c r="AO30" s="136">
        <v>0</v>
      </c>
      <c r="AP30" s="144"/>
      <c r="AQ30" s="145"/>
      <c r="AR30" s="145"/>
      <c r="AS30" s="144">
        <v>3690</v>
      </c>
      <c r="AT30" s="781">
        <v>33350</v>
      </c>
      <c r="AU30" s="782">
        <v>4439</v>
      </c>
      <c r="AV30" s="344"/>
      <c r="AW30" s="137">
        <v>32</v>
      </c>
      <c r="AX30" s="137">
        <v>69</v>
      </c>
      <c r="AY30" s="137">
        <v>37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25326</v>
      </c>
      <c r="AM45" s="147"/>
      <c r="AN45" s="144"/>
      <c r="AO45" s="136">
        <v>0</v>
      </c>
      <c r="AP45" s="144"/>
      <c r="AQ45" s="145"/>
      <c r="AR45" s="145"/>
      <c r="AS45" s="144">
        <v>3979</v>
      </c>
      <c r="AT45" s="781">
        <v>39229</v>
      </c>
      <c r="AU45" s="782">
        <v>6178</v>
      </c>
      <c r="AV45" s="344"/>
      <c r="AW45" s="137">
        <v>0</v>
      </c>
      <c r="AX45" s="137">
        <v>63</v>
      </c>
      <c r="AY45" s="137">
        <v>63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35011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43248</v>
      </c>
      <c r="AM54" s="147"/>
      <c r="AN54" s="144"/>
      <c r="AO54" s="136">
        <v>0</v>
      </c>
      <c r="AP54" s="144"/>
      <c r="AQ54" s="145"/>
      <c r="AR54" s="145"/>
      <c r="AS54" s="144">
        <v>4269</v>
      </c>
      <c r="AT54" s="781">
        <v>78063</v>
      </c>
      <c r="AU54" s="782">
        <v>7179</v>
      </c>
      <c r="AV54" s="344"/>
      <c r="AW54" s="137">
        <v>98</v>
      </c>
      <c r="AX54" s="137">
        <v>108</v>
      </c>
      <c r="AY54" s="137">
        <v>10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15916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65046</v>
      </c>
      <c r="AM67" s="128"/>
      <c r="AN67" s="125"/>
      <c r="AO67" s="118">
        <v>0</v>
      </c>
      <c r="AP67" s="125"/>
      <c r="AQ67" s="126"/>
      <c r="AR67" s="126"/>
      <c r="AS67" s="125">
        <v>7086</v>
      </c>
      <c r="AT67" s="779">
        <v>84403</v>
      </c>
      <c r="AU67" s="780">
        <v>9017</v>
      </c>
      <c r="AV67" s="344"/>
      <c r="AW67" s="119">
        <v>125</v>
      </c>
      <c r="AX67" s="119">
        <v>163</v>
      </c>
      <c r="AY67" s="119">
        <v>38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7126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9580</v>
      </c>
      <c r="AM69" s="147"/>
      <c r="AN69" s="144"/>
      <c r="AO69" s="136">
        <v>0</v>
      </c>
      <c r="AP69" s="144"/>
      <c r="AQ69" s="145"/>
      <c r="AR69" s="145"/>
      <c r="AS69" s="144">
        <v>871</v>
      </c>
      <c r="AT69" s="781">
        <v>16664</v>
      </c>
      <c r="AU69" s="782">
        <v>1464</v>
      </c>
      <c r="AV69" s="344"/>
      <c r="AW69" s="137">
        <v>23</v>
      </c>
      <c r="AX69" s="137">
        <v>24</v>
      </c>
      <c r="AY69" s="137">
        <v>1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140313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123841</v>
      </c>
      <c r="AM73" s="147"/>
      <c r="AN73" s="144"/>
      <c r="AO73" s="136">
        <v>0</v>
      </c>
      <c r="AP73" s="144"/>
      <c r="AQ73" s="145"/>
      <c r="AR73" s="145"/>
      <c r="AS73" s="144">
        <v>8779</v>
      </c>
      <c r="AT73" s="781">
        <v>242752</v>
      </c>
      <c r="AU73" s="782">
        <v>17749</v>
      </c>
      <c r="AV73" s="344"/>
      <c r="AW73" s="785">
        <v>371</v>
      </c>
      <c r="AX73" s="785">
        <v>310</v>
      </c>
      <c r="AY73" s="785">
        <v>-61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2120737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781830</v>
      </c>
      <c r="AM74" s="147"/>
      <c r="AN74" s="144"/>
      <c r="AO74" s="136">
        <v>0</v>
      </c>
      <c r="AP74" s="144"/>
      <c r="AQ74" s="145"/>
      <c r="AR74" s="145"/>
      <c r="AS74" s="144">
        <v>59144</v>
      </c>
      <c r="AT74" s="781">
        <v>2510142</v>
      </c>
      <c r="AU74" s="782">
        <v>172127</v>
      </c>
      <c r="AV74" s="344"/>
      <c r="AW74" s="785">
        <v>2249</v>
      </c>
      <c r="AX74" s="785">
        <v>1955</v>
      </c>
      <c r="AY74" s="785">
        <v>-294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11886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13401</v>
      </c>
      <c r="AM75" s="147"/>
      <c r="AN75" s="144"/>
      <c r="AO75" s="136">
        <v>0</v>
      </c>
      <c r="AP75" s="144"/>
      <c r="AQ75" s="145"/>
      <c r="AR75" s="145"/>
      <c r="AS75" s="144">
        <v>1436</v>
      </c>
      <c r="AT75" s="781">
        <v>36974</v>
      </c>
      <c r="AU75" s="782">
        <v>4390</v>
      </c>
      <c r="AV75" s="344"/>
      <c r="AW75" s="786">
        <v>19</v>
      </c>
      <c r="AX75" s="786">
        <v>34</v>
      </c>
      <c r="AY75" s="786">
        <v>15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602</v>
      </c>
      <c r="D76" s="1022">
        <v>4255.7718143692655</v>
      </c>
      <c r="E76" s="1023">
        <v>2800451.2855637716</v>
      </c>
      <c r="F76" s="1024">
        <v>540</v>
      </c>
      <c r="G76" s="1025">
        <v>569.60967937788098</v>
      </c>
      <c r="H76" s="1026">
        <v>324776.44654818461</v>
      </c>
      <c r="I76" s="1024">
        <v>40</v>
      </c>
      <c r="J76" s="1025">
        <v>158.62710748085348</v>
      </c>
      <c r="K76" s="1026">
        <v>6729.2074628701912</v>
      </c>
      <c r="L76" s="1024">
        <v>60</v>
      </c>
      <c r="M76" s="1025">
        <v>3935.2023104669443</v>
      </c>
      <c r="N76" s="1026">
        <v>256603.07903531517</v>
      </c>
      <c r="O76" s="1024">
        <v>0</v>
      </c>
      <c r="P76" s="1025">
        <v>1525.492171506211</v>
      </c>
      <c r="Q76" s="1026">
        <v>0</v>
      </c>
      <c r="R76" s="1027">
        <v>3388559</v>
      </c>
      <c r="S76" s="1025">
        <v>-618536</v>
      </c>
      <c r="T76" s="1025">
        <v>5997</v>
      </c>
      <c r="U76" s="1028">
        <v>-612539</v>
      </c>
      <c r="V76" s="1027">
        <v>2776020</v>
      </c>
      <c r="W76" s="1026">
        <v>-6941</v>
      </c>
      <c r="X76" s="1027">
        <v>2769079</v>
      </c>
      <c r="Y76" s="1026">
        <v>7641</v>
      </c>
      <c r="Z76" s="1027">
        <v>2776720</v>
      </c>
      <c r="AA76" s="1025">
        <v>2047338</v>
      </c>
      <c r="AB76" s="1025">
        <v>729382</v>
      </c>
      <c r="AC76" s="1027">
        <v>182347</v>
      </c>
      <c r="AD76" s="1029">
        <v>2776720</v>
      </c>
      <c r="AE76" s="1025">
        <v>5423</v>
      </c>
      <c r="AF76" s="1030">
        <v>3049280</v>
      </c>
      <c r="AG76" s="1024">
        <v>-111</v>
      </c>
      <c r="AH76" s="1025">
        <v>-575525</v>
      </c>
      <c r="AI76" s="1024">
        <v>-3</v>
      </c>
      <c r="AJ76" s="1025">
        <v>-6292</v>
      </c>
      <c r="AK76" s="1028">
        <v>-581817</v>
      </c>
      <c r="AL76" s="1030">
        <v>2467463</v>
      </c>
      <c r="AM76" s="1025">
        <v>-6170</v>
      </c>
      <c r="AN76" s="1030">
        <v>2461293</v>
      </c>
      <c r="AO76" s="1025">
        <v>15442</v>
      </c>
      <c r="AP76" s="1030">
        <v>2476735</v>
      </c>
      <c r="AQ76" s="1025">
        <v>1820378</v>
      </c>
      <c r="AR76" s="1025">
        <v>656357</v>
      </c>
      <c r="AS76" s="1030">
        <v>164089</v>
      </c>
      <c r="AT76" s="787">
        <v>5253455</v>
      </c>
      <c r="AU76" s="787">
        <v>346436</v>
      </c>
      <c r="AV76" s="516"/>
      <c r="AW76" s="165">
        <v>7542</v>
      </c>
      <c r="AX76" s="165">
        <v>6170</v>
      </c>
      <c r="AY76" s="165">
        <v>-1372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67651</v>
      </c>
      <c r="S77" s="975"/>
      <c r="T77" s="975"/>
      <c r="U77" s="975"/>
      <c r="V77" s="976">
        <v>67651</v>
      </c>
      <c r="W77" s="1018">
        <v>-169</v>
      </c>
      <c r="X77" s="976">
        <v>67482</v>
      </c>
      <c r="Y77" s="975"/>
      <c r="Z77" s="976">
        <v>67482</v>
      </c>
      <c r="AA77" s="975">
        <v>45978</v>
      </c>
      <c r="AB77" s="975">
        <v>21504</v>
      </c>
      <c r="AC77" s="976">
        <v>5376</v>
      </c>
      <c r="AD77" s="1020">
        <v>67482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67482</v>
      </c>
      <c r="AU77" s="1179">
        <v>5376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6254</v>
      </c>
      <c r="AA83" s="156">
        <v>4168</v>
      </c>
      <c r="AB83" s="795">
        <v>2086</v>
      </c>
      <c r="AC83" s="157">
        <v>522</v>
      </c>
      <c r="AD83" s="157">
        <v>6254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6254</v>
      </c>
      <c r="AU83" s="796">
        <v>522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602</v>
      </c>
      <c r="D84" s="1022">
        <v>4255.7718143692655</v>
      </c>
      <c r="E84" s="1023">
        <v>2800451.2855637716</v>
      </c>
      <c r="F84" s="1024">
        <v>540</v>
      </c>
      <c r="G84" s="1025">
        <v>569.60967937788098</v>
      </c>
      <c r="H84" s="1026">
        <v>324776.44654818461</v>
      </c>
      <c r="I84" s="1024">
        <v>40</v>
      </c>
      <c r="J84" s="1025">
        <v>158.62710748085348</v>
      </c>
      <c r="K84" s="1026">
        <v>6729.2074628701912</v>
      </c>
      <c r="L84" s="1024">
        <v>60</v>
      </c>
      <c r="M84" s="1025">
        <v>3935.2023104669443</v>
      </c>
      <c r="N84" s="1026">
        <v>256603.07903531517</v>
      </c>
      <c r="O84" s="1024">
        <v>0</v>
      </c>
      <c r="P84" s="1025">
        <v>1525.492171506211</v>
      </c>
      <c r="Q84" s="1026">
        <v>0</v>
      </c>
      <c r="R84" s="1027">
        <v>3456210</v>
      </c>
      <c r="S84" s="1025">
        <v>-618536</v>
      </c>
      <c r="T84" s="1025">
        <v>5997</v>
      </c>
      <c r="U84" s="1028">
        <v>-612539</v>
      </c>
      <c r="V84" s="1027">
        <v>2843671</v>
      </c>
      <c r="W84" s="1026">
        <v>-7110</v>
      </c>
      <c r="X84" s="1027">
        <v>2836561</v>
      </c>
      <c r="Y84" s="1026">
        <v>7641</v>
      </c>
      <c r="Z84" s="1027">
        <v>2850456</v>
      </c>
      <c r="AA84" s="1025">
        <v>2097484</v>
      </c>
      <c r="AB84" s="1025">
        <v>752972</v>
      </c>
      <c r="AC84" s="1027">
        <v>188245</v>
      </c>
      <c r="AD84" s="1029">
        <v>2850456</v>
      </c>
      <c r="AE84" s="1025">
        <v>5423</v>
      </c>
      <c r="AF84" s="1030">
        <v>3049280</v>
      </c>
      <c r="AG84" s="1024">
        <v>-111</v>
      </c>
      <c r="AH84" s="1025">
        <v>-575525</v>
      </c>
      <c r="AI84" s="1024">
        <v>-3</v>
      </c>
      <c r="AJ84" s="1025">
        <v>-6292</v>
      </c>
      <c r="AK84" s="1028">
        <v>-581817</v>
      </c>
      <c r="AL84" s="1030">
        <v>2467463</v>
      </c>
      <c r="AM84" s="1025">
        <v>-6170</v>
      </c>
      <c r="AN84" s="1030">
        <v>2461293</v>
      </c>
      <c r="AO84" s="1025">
        <v>15442</v>
      </c>
      <c r="AP84" s="1030">
        <v>2476735</v>
      </c>
      <c r="AQ84" s="1025">
        <v>1820378</v>
      </c>
      <c r="AR84" s="1025">
        <v>656357</v>
      </c>
      <c r="AS84" s="1030">
        <v>164089</v>
      </c>
      <c r="AT84" s="787">
        <v>5327191</v>
      </c>
      <c r="AU84" s="787">
        <v>352334</v>
      </c>
      <c r="AV84" s="516"/>
      <c r="AW84" s="165">
        <v>7542</v>
      </c>
      <c r="AX84" s="165">
        <v>6170</v>
      </c>
      <c r="AY84" s="165">
        <v>-1372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453</v>
      </c>
    </row>
    <row r="92" spans="1:52" x14ac:dyDescent="0.2">
      <c r="B92" s="857" t="s">
        <v>1462</v>
      </c>
    </row>
    <row r="93" spans="1:52" x14ac:dyDescent="0.2">
      <c r="B93" s="857" t="s">
        <v>1150</v>
      </c>
    </row>
    <row r="94" spans="1:52" x14ac:dyDescent="0.2">
      <c r="B94" s="857" t="s">
        <v>1488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1406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482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72479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94540</v>
      </c>
      <c r="AM9" s="147"/>
      <c r="AN9" s="144"/>
      <c r="AO9" s="136">
        <v>0</v>
      </c>
      <c r="AP9" s="144"/>
      <c r="AQ9" s="145"/>
      <c r="AR9" s="145"/>
      <c r="AS9" s="144">
        <v>7337</v>
      </c>
      <c r="AT9" s="781">
        <v>162641</v>
      </c>
      <c r="AU9" s="782">
        <v>12512</v>
      </c>
      <c r="AV9" s="344"/>
      <c r="AW9" s="137">
        <v>244</v>
      </c>
      <c r="AX9" s="137">
        <v>236</v>
      </c>
      <c r="AY9" s="137">
        <v>-8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5316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26340</v>
      </c>
      <c r="AM10" s="147"/>
      <c r="AN10" s="144"/>
      <c r="AO10" s="136">
        <v>0</v>
      </c>
      <c r="AP10" s="144"/>
      <c r="AQ10" s="145"/>
      <c r="AR10" s="145"/>
      <c r="AS10" s="144">
        <v>4513</v>
      </c>
      <c r="AT10" s="781">
        <v>55626</v>
      </c>
      <c r="AU10" s="782">
        <v>9205</v>
      </c>
      <c r="AV10" s="344"/>
      <c r="AW10" s="137">
        <v>10</v>
      </c>
      <c r="AX10" s="137">
        <v>66</v>
      </c>
      <c r="AY10" s="137">
        <v>56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3628</v>
      </c>
      <c r="AM16" s="162"/>
      <c r="AN16" s="159"/>
      <c r="AO16" s="150">
        <v>0</v>
      </c>
      <c r="AP16" s="159"/>
      <c r="AQ16" s="160"/>
      <c r="AR16" s="160"/>
      <c r="AS16" s="159">
        <v>905</v>
      </c>
      <c r="AT16" s="783">
        <v>7005</v>
      </c>
      <c r="AU16" s="784">
        <v>1752</v>
      </c>
      <c r="AV16" s="344"/>
      <c r="AW16" s="151">
        <v>0</v>
      </c>
      <c r="AX16" s="151">
        <v>9</v>
      </c>
      <c r="AY16" s="151">
        <v>9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7862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11338</v>
      </c>
      <c r="AM23" s="147"/>
      <c r="AN23" s="144"/>
      <c r="AO23" s="136">
        <v>0</v>
      </c>
      <c r="AP23" s="144"/>
      <c r="AQ23" s="145"/>
      <c r="AR23" s="145"/>
      <c r="AS23" s="144">
        <v>261</v>
      </c>
      <c r="AT23" s="781">
        <v>17221</v>
      </c>
      <c r="AU23" s="782">
        <v>431</v>
      </c>
      <c r="AV23" s="344"/>
      <c r="AW23" s="137">
        <v>39</v>
      </c>
      <c r="AX23" s="137">
        <v>28</v>
      </c>
      <c r="AY23" s="137">
        <v>-11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656421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2742200</v>
      </c>
      <c r="AM30" s="147"/>
      <c r="AN30" s="144"/>
      <c r="AO30" s="136">
        <v>6796</v>
      </c>
      <c r="AP30" s="144"/>
      <c r="AQ30" s="145"/>
      <c r="AR30" s="145"/>
      <c r="AS30" s="144">
        <v>262556</v>
      </c>
      <c r="AT30" s="781">
        <v>3402166</v>
      </c>
      <c r="AU30" s="782">
        <v>317328</v>
      </c>
      <c r="AV30" s="344"/>
      <c r="AW30" s="137">
        <v>6312</v>
      </c>
      <c r="AX30" s="137">
        <v>6856</v>
      </c>
      <c r="AY30" s="137">
        <v>544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42504</v>
      </c>
      <c r="AM32" s="128"/>
      <c r="AN32" s="125"/>
      <c r="AO32" s="118">
        <v>0</v>
      </c>
      <c r="AP32" s="125"/>
      <c r="AQ32" s="126"/>
      <c r="AR32" s="126"/>
      <c r="AS32" s="125">
        <v>6987</v>
      </c>
      <c r="AT32" s="779">
        <v>73248</v>
      </c>
      <c r="AU32" s="780">
        <v>12129</v>
      </c>
      <c r="AV32" s="344"/>
      <c r="AW32" s="119">
        <v>0</v>
      </c>
      <c r="AX32" s="119">
        <v>106</v>
      </c>
      <c r="AY32" s="119">
        <v>106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310372</v>
      </c>
      <c r="AM35" s="147"/>
      <c r="AN35" s="144"/>
      <c r="AO35" s="136">
        <v>0</v>
      </c>
      <c r="AP35" s="144"/>
      <c r="AQ35" s="145"/>
      <c r="AR35" s="145"/>
      <c r="AS35" s="144">
        <v>51157</v>
      </c>
      <c r="AT35" s="781">
        <v>621125</v>
      </c>
      <c r="AU35" s="782">
        <v>102439</v>
      </c>
      <c r="AV35" s="344"/>
      <c r="AW35" s="137">
        <v>0</v>
      </c>
      <c r="AX35" s="137">
        <v>776</v>
      </c>
      <c r="AY35" s="137">
        <v>776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1319</v>
      </c>
      <c r="AM38" s="147"/>
      <c r="AN38" s="144"/>
      <c r="AO38" s="136">
        <v>0</v>
      </c>
      <c r="AP38" s="144"/>
      <c r="AQ38" s="145"/>
      <c r="AR38" s="145"/>
      <c r="AS38" s="144">
        <v>329</v>
      </c>
      <c r="AT38" s="781">
        <v>4314</v>
      </c>
      <c r="AU38" s="782">
        <v>1079</v>
      </c>
      <c r="AV38" s="344"/>
      <c r="AW38" s="137">
        <v>0</v>
      </c>
      <c r="AX38" s="137">
        <v>3</v>
      </c>
      <c r="AY38" s="137">
        <v>3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16470</v>
      </c>
      <c r="AM42" s="128"/>
      <c r="AN42" s="125"/>
      <c r="AO42" s="118">
        <v>0</v>
      </c>
      <c r="AP42" s="125"/>
      <c r="AQ42" s="126"/>
      <c r="AR42" s="126"/>
      <c r="AS42" s="125">
        <v>3558</v>
      </c>
      <c r="AT42" s="779">
        <v>25348</v>
      </c>
      <c r="AU42" s="780">
        <v>5506</v>
      </c>
      <c r="AV42" s="344"/>
      <c r="AW42" s="119">
        <v>0</v>
      </c>
      <c r="AX42" s="119">
        <v>41</v>
      </c>
      <c r="AY42" s="119">
        <v>41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15068</v>
      </c>
      <c r="AM53" s="147"/>
      <c r="AN53" s="144"/>
      <c r="AO53" s="136">
        <v>0</v>
      </c>
      <c r="AP53" s="144"/>
      <c r="AQ53" s="145"/>
      <c r="AR53" s="145"/>
      <c r="AS53" s="144">
        <v>2578</v>
      </c>
      <c r="AT53" s="781">
        <v>17699</v>
      </c>
      <c r="AU53" s="782">
        <v>3023</v>
      </c>
      <c r="AV53" s="344"/>
      <c r="AW53" s="137">
        <v>0</v>
      </c>
      <c r="AX53" s="137">
        <v>38</v>
      </c>
      <c r="AY53" s="137">
        <v>38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7208</v>
      </c>
      <c r="AM54" s="147"/>
      <c r="AN54" s="144"/>
      <c r="AO54" s="136">
        <v>0</v>
      </c>
      <c r="AP54" s="144"/>
      <c r="AQ54" s="145"/>
      <c r="AR54" s="145"/>
      <c r="AS54" s="144">
        <v>1255</v>
      </c>
      <c r="AT54" s="781">
        <v>11276</v>
      </c>
      <c r="AU54" s="782">
        <v>1936</v>
      </c>
      <c r="AV54" s="344"/>
      <c r="AW54" s="137">
        <v>0</v>
      </c>
      <c r="AX54" s="137">
        <v>18</v>
      </c>
      <c r="AY54" s="137">
        <v>18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234702</v>
      </c>
      <c r="AM61" s="162"/>
      <c r="AN61" s="159"/>
      <c r="AO61" s="150">
        <v>0</v>
      </c>
      <c r="AP61" s="159"/>
      <c r="AQ61" s="160"/>
      <c r="AR61" s="160"/>
      <c r="AS61" s="159">
        <v>40374</v>
      </c>
      <c r="AT61" s="783">
        <v>524610</v>
      </c>
      <c r="AU61" s="784">
        <v>90227</v>
      </c>
      <c r="AV61" s="344"/>
      <c r="AW61" s="151">
        <v>0</v>
      </c>
      <c r="AX61" s="151">
        <v>587</v>
      </c>
      <c r="AY61" s="151">
        <v>587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184617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411958</v>
      </c>
      <c r="AM67" s="128"/>
      <c r="AN67" s="125"/>
      <c r="AO67" s="118">
        <v>0</v>
      </c>
      <c r="AP67" s="125"/>
      <c r="AQ67" s="126"/>
      <c r="AR67" s="126"/>
      <c r="AS67" s="125">
        <v>27994</v>
      </c>
      <c r="AT67" s="779">
        <v>547549</v>
      </c>
      <c r="AU67" s="780">
        <v>35418</v>
      </c>
      <c r="AV67" s="344"/>
      <c r="AW67" s="119">
        <v>1299</v>
      </c>
      <c r="AX67" s="119">
        <v>1030</v>
      </c>
      <c r="AY67" s="119">
        <v>-269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270</v>
      </c>
      <c r="D76" s="1022">
        <v>4255.7718143692655</v>
      </c>
      <c r="E76" s="1023">
        <v>761565.80810925993</v>
      </c>
      <c r="F76" s="1024">
        <v>241</v>
      </c>
      <c r="G76" s="1025">
        <v>569.60967937788098</v>
      </c>
      <c r="H76" s="1026">
        <v>81103.793482298264</v>
      </c>
      <c r="I76" s="1024">
        <v>86</v>
      </c>
      <c r="J76" s="1025">
        <v>158.62710748085348</v>
      </c>
      <c r="K76" s="1026">
        <v>8108.8090895478281</v>
      </c>
      <c r="L76" s="1024">
        <v>34</v>
      </c>
      <c r="M76" s="1025">
        <v>3935.2023104669443</v>
      </c>
      <c r="N76" s="1026">
        <v>75917.540642271546</v>
      </c>
      <c r="O76" s="1024">
        <v>0</v>
      </c>
      <c r="P76" s="1025">
        <v>1525.492171506211</v>
      </c>
      <c r="Q76" s="1026">
        <v>0</v>
      </c>
      <c r="R76" s="1027">
        <v>926695</v>
      </c>
      <c r="S76" s="1025">
        <v>617601</v>
      </c>
      <c r="T76" s="1025">
        <v>13494</v>
      </c>
      <c r="U76" s="1028">
        <v>631095</v>
      </c>
      <c r="V76" s="1027">
        <v>1557790</v>
      </c>
      <c r="W76" s="1026">
        <v>-3894</v>
      </c>
      <c r="X76" s="1027">
        <v>1553896</v>
      </c>
      <c r="Y76" s="1026">
        <v>1283</v>
      </c>
      <c r="Z76" s="1027">
        <v>1555179</v>
      </c>
      <c r="AA76" s="1025">
        <v>822464</v>
      </c>
      <c r="AB76" s="1025">
        <v>732715</v>
      </c>
      <c r="AC76" s="1027">
        <v>183181</v>
      </c>
      <c r="AD76" s="1029">
        <v>1555179</v>
      </c>
      <c r="AE76" s="1025">
        <v>5423</v>
      </c>
      <c r="AF76" s="1030">
        <v>3423639</v>
      </c>
      <c r="AG76" s="1024">
        <v>122</v>
      </c>
      <c r="AH76" s="1025">
        <v>504318</v>
      </c>
      <c r="AI76" s="1024">
        <v>4</v>
      </c>
      <c r="AJ76" s="1025">
        <v>-10310</v>
      </c>
      <c r="AK76" s="1028">
        <v>494008</v>
      </c>
      <c r="AL76" s="1030">
        <v>3917647</v>
      </c>
      <c r="AM76" s="1025">
        <v>-9794</v>
      </c>
      <c r="AN76" s="1030">
        <v>3907853</v>
      </c>
      <c r="AO76" s="1025">
        <v>6796</v>
      </c>
      <c r="AP76" s="1030">
        <v>3914649</v>
      </c>
      <c r="AQ76" s="1025">
        <v>2275436</v>
      </c>
      <c r="AR76" s="1025">
        <v>1639213</v>
      </c>
      <c r="AS76" s="1030">
        <v>409804</v>
      </c>
      <c r="AT76" s="787">
        <v>5469828</v>
      </c>
      <c r="AU76" s="787">
        <v>592985</v>
      </c>
      <c r="AV76" s="516"/>
      <c r="AW76" s="165">
        <v>7904</v>
      </c>
      <c r="AX76" s="165">
        <v>9794</v>
      </c>
      <c r="AY76" s="165">
        <v>1890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37391</v>
      </c>
      <c r="S77" s="975"/>
      <c r="T77" s="975"/>
      <c r="U77" s="975"/>
      <c r="V77" s="976">
        <v>37391</v>
      </c>
      <c r="W77" s="1018">
        <v>-93</v>
      </c>
      <c r="X77" s="976">
        <v>37298</v>
      </c>
      <c r="Y77" s="975"/>
      <c r="Z77" s="976">
        <v>37298</v>
      </c>
      <c r="AA77" s="975">
        <v>27464</v>
      </c>
      <c r="AB77" s="975">
        <v>9834</v>
      </c>
      <c r="AC77" s="976">
        <v>2459</v>
      </c>
      <c r="AD77" s="1020">
        <v>37298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37298</v>
      </c>
      <c r="AU77" s="1179">
        <v>2459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2655</v>
      </c>
      <c r="AA83" s="156">
        <v>1770</v>
      </c>
      <c r="AB83" s="795">
        <v>885</v>
      </c>
      <c r="AC83" s="157">
        <v>221</v>
      </c>
      <c r="AD83" s="157">
        <v>2655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2655</v>
      </c>
      <c r="AU83" s="796">
        <v>221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270</v>
      </c>
      <c r="D84" s="1022">
        <v>4255.7718143692655</v>
      </c>
      <c r="E84" s="1023">
        <v>761565.80810925993</v>
      </c>
      <c r="F84" s="1024">
        <v>241</v>
      </c>
      <c r="G84" s="1025">
        <v>569.60967937788098</v>
      </c>
      <c r="H84" s="1026">
        <v>81103.793482298264</v>
      </c>
      <c r="I84" s="1024">
        <v>86</v>
      </c>
      <c r="J84" s="1025">
        <v>158.62710748085348</v>
      </c>
      <c r="K84" s="1026">
        <v>8108.8090895478281</v>
      </c>
      <c r="L84" s="1024">
        <v>34</v>
      </c>
      <c r="M84" s="1025">
        <v>3935.2023104669443</v>
      </c>
      <c r="N84" s="1026">
        <v>75917.540642271546</v>
      </c>
      <c r="O84" s="1024">
        <v>0</v>
      </c>
      <c r="P84" s="1025">
        <v>1525.492171506211</v>
      </c>
      <c r="Q84" s="1026">
        <v>0</v>
      </c>
      <c r="R84" s="1027">
        <v>964086</v>
      </c>
      <c r="S84" s="1025">
        <v>617601</v>
      </c>
      <c r="T84" s="1025">
        <v>13494</v>
      </c>
      <c r="U84" s="1028">
        <v>631095</v>
      </c>
      <c r="V84" s="1027">
        <v>1595181</v>
      </c>
      <c r="W84" s="1026">
        <v>-3987</v>
      </c>
      <c r="X84" s="1027">
        <v>1591194</v>
      </c>
      <c r="Y84" s="1026">
        <v>1283</v>
      </c>
      <c r="Z84" s="1027">
        <v>1595132</v>
      </c>
      <c r="AA84" s="1025">
        <v>851698</v>
      </c>
      <c r="AB84" s="1025">
        <v>743434</v>
      </c>
      <c r="AC84" s="1027">
        <v>185861</v>
      </c>
      <c r="AD84" s="1029">
        <v>1595132</v>
      </c>
      <c r="AE84" s="1025">
        <v>5423</v>
      </c>
      <c r="AF84" s="1030">
        <v>3423639</v>
      </c>
      <c r="AG84" s="1024">
        <v>122</v>
      </c>
      <c r="AH84" s="1025">
        <v>504318</v>
      </c>
      <c r="AI84" s="1024">
        <v>4</v>
      </c>
      <c r="AJ84" s="1025">
        <v>-10310</v>
      </c>
      <c r="AK84" s="1028">
        <v>494008</v>
      </c>
      <c r="AL84" s="1030">
        <v>3917647</v>
      </c>
      <c r="AM84" s="1025">
        <v>-9794</v>
      </c>
      <c r="AN84" s="1030">
        <v>3907853</v>
      </c>
      <c r="AO84" s="1025">
        <v>6796</v>
      </c>
      <c r="AP84" s="1030">
        <v>3914649</v>
      </c>
      <c r="AQ84" s="1025">
        <v>2275436</v>
      </c>
      <c r="AR84" s="1025">
        <v>1639213</v>
      </c>
      <c r="AS84" s="1030">
        <v>409804</v>
      </c>
      <c r="AT84" s="787">
        <v>5509781</v>
      </c>
      <c r="AU84" s="787">
        <v>595665</v>
      </c>
      <c r="AV84" s="516"/>
      <c r="AW84" s="165">
        <v>7904</v>
      </c>
      <c r="AX84" s="165">
        <v>9794</v>
      </c>
      <c r="AY84" s="165">
        <v>1890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456</v>
      </c>
    </row>
    <row r="92" spans="1:52" x14ac:dyDescent="0.2">
      <c r="B92" s="857" t="s">
        <v>1462</v>
      </c>
    </row>
    <row r="93" spans="1:52" x14ac:dyDescent="0.2">
      <c r="B93" s="857" t="s">
        <v>1151</v>
      </c>
    </row>
    <row r="94" spans="1:52" x14ac:dyDescent="0.2">
      <c r="B94" s="857" t="s">
        <v>1487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483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3080</v>
      </c>
      <c r="AM8" s="147"/>
      <c r="AN8" s="144"/>
      <c r="AO8" s="136">
        <v>0</v>
      </c>
      <c r="AP8" s="144"/>
      <c r="AQ8" s="145"/>
      <c r="AR8" s="145"/>
      <c r="AS8" s="144">
        <v>768</v>
      </c>
      <c r="AT8" s="781">
        <v>8972</v>
      </c>
      <c r="AU8" s="782">
        <v>2243</v>
      </c>
      <c r="AV8" s="344"/>
      <c r="AW8" s="137">
        <v>0</v>
      </c>
      <c r="AX8" s="137">
        <v>8</v>
      </c>
      <c r="AY8" s="137">
        <v>8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1833721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3612990</v>
      </c>
      <c r="AM16" s="162"/>
      <c r="AN16" s="159"/>
      <c r="AO16" s="150">
        <v>6714</v>
      </c>
      <c r="AP16" s="159"/>
      <c r="AQ16" s="160"/>
      <c r="AR16" s="160"/>
      <c r="AS16" s="159">
        <v>371282</v>
      </c>
      <c r="AT16" s="783">
        <v>5601610</v>
      </c>
      <c r="AU16" s="784">
        <v>563521</v>
      </c>
      <c r="AV16" s="344"/>
      <c r="AW16" s="151">
        <v>7974</v>
      </c>
      <c r="AX16" s="151">
        <v>9032</v>
      </c>
      <c r="AY16" s="151">
        <v>1058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453</v>
      </c>
      <c r="D76" s="1022">
        <v>4255.7718143692655</v>
      </c>
      <c r="E76" s="1023">
        <v>1449838.8018749831</v>
      </c>
      <c r="F76" s="1024">
        <v>339</v>
      </c>
      <c r="G76" s="1025">
        <v>569.60967937788098</v>
      </c>
      <c r="H76" s="1026">
        <v>155580.3877660376</v>
      </c>
      <c r="I76" s="1024">
        <v>524</v>
      </c>
      <c r="J76" s="1025">
        <v>158.62710748085348</v>
      </c>
      <c r="K76" s="1026">
        <v>65586.583418667491</v>
      </c>
      <c r="L76" s="1024">
        <v>52</v>
      </c>
      <c r="M76" s="1025">
        <v>3935.2023104669443</v>
      </c>
      <c r="N76" s="1026">
        <v>162714.80619135068</v>
      </c>
      <c r="O76" s="1024">
        <v>0</v>
      </c>
      <c r="P76" s="1025">
        <v>1525.492171506211</v>
      </c>
      <c r="Q76" s="1026">
        <v>0</v>
      </c>
      <c r="R76" s="1027">
        <v>1833721</v>
      </c>
      <c r="S76" s="1025">
        <v>188555</v>
      </c>
      <c r="T76" s="1025">
        <v>-24284</v>
      </c>
      <c r="U76" s="1028">
        <v>164271</v>
      </c>
      <c r="V76" s="1027">
        <v>1997992</v>
      </c>
      <c r="W76" s="1026">
        <v>-4995</v>
      </c>
      <c r="X76" s="1027">
        <v>1992997</v>
      </c>
      <c r="Y76" s="1026">
        <v>3841</v>
      </c>
      <c r="Z76" s="1027">
        <v>1996838</v>
      </c>
      <c r="AA76" s="1025">
        <v>1221984</v>
      </c>
      <c r="AB76" s="1025">
        <v>774854</v>
      </c>
      <c r="AC76" s="1027">
        <v>193714</v>
      </c>
      <c r="AD76" s="1029">
        <v>1996838</v>
      </c>
      <c r="AE76" s="1025">
        <v>5423</v>
      </c>
      <c r="AF76" s="1030">
        <v>3286515</v>
      </c>
      <c r="AG76" s="1024">
        <v>51</v>
      </c>
      <c r="AH76" s="1025">
        <v>365830</v>
      </c>
      <c r="AI76" s="1024">
        <v>-10</v>
      </c>
      <c r="AJ76" s="1025">
        <v>-36275</v>
      </c>
      <c r="AK76" s="1028">
        <v>329555</v>
      </c>
      <c r="AL76" s="1030">
        <v>3616070</v>
      </c>
      <c r="AM76" s="1025">
        <v>-9040</v>
      </c>
      <c r="AN76" s="1030">
        <v>3607030</v>
      </c>
      <c r="AO76" s="1025">
        <v>6714</v>
      </c>
      <c r="AP76" s="1030">
        <v>3613744</v>
      </c>
      <c r="AQ76" s="1025">
        <v>2125544</v>
      </c>
      <c r="AR76" s="1025">
        <v>1488200</v>
      </c>
      <c r="AS76" s="1030">
        <v>372050</v>
      </c>
      <c r="AT76" s="787">
        <v>5610582</v>
      </c>
      <c r="AU76" s="787">
        <v>565764</v>
      </c>
      <c r="AV76" s="516"/>
      <c r="AW76" s="165">
        <v>7974</v>
      </c>
      <c r="AX76" s="165">
        <v>9040</v>
      </c>
      <c r="AY76" s="165">
        <v>1066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60003</v>
      </c>
      <c r="S77" s="975"/>
      <c r="T77" s="975"/>
      <c r="U77" s="975"/>
      <c r="V77" s="976">
        <v>60003</v>
      </c>
      <c r="W77" s="1018">
        <v>-150</v>
      </c>
      <c r="X77" s="976">
        <v>59853</v>
      </c>
      <c r="Y77" s="975"/>
      <c r="Z77" s="976">
        <v>59853</v>
      </c>
      <c r="AA77" s="975">
        <v>38024</v>
      </c>
      <c r="AB77" s="975">
        <v>21829</v>
      </c>
      <c r="AC77" s="976">
        <v>5457</v>
      </c>
      <c r="AD77" s="1020">
        <v>59853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59853</v>
      </c>
      <c r="AU77" s="1179">
        <v>5457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42898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26727</v>
      </c>
      <c r="AA83" s="156">
        <v>17818</v>
      </c>
      <c r="AB83" s="795">
        <v>8909</v>
      </c>
      <c r="AC83" s="157">
        <v>2227</v>
      </c>
      <c r="AD83" s="157">
        <v>26727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26727</v>
      </c>
      <c r="AU83" s="796">
        <v>2227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453</v>
      </c>
      <c r="D84" s="1022">
        <v>4255.7718143692655</v>
      </c>
      <c r="E84" s="1023">
        <v>1449838.8018749831</v>
      </c>
      <c r="F84" s="1024">
        <v>339</v>
      </c>
      <c r="G84" s="1025">
        <v>569.60967937788098</v>
      </c>
      <c r="H84" s="1026">
        <v>155580.3877660376</v>
      </c>
      <c r="I84" s="1024">
        <v>524</v>
      </c>
      <c r="J84" s="1025">
        <v>158.62710748085348</v>
      </c>
      <c r="K84" s="1026">
        <v>65586.583418667491</v>
      </c>
      <c r="L84" s="1024">
        <v>52</v>
      </c>
      <c r="M84" s="1025">
        <v>3935.2023104669443</v>
      </c>
      <c r="N84" s="1026">
        <v>162714.80619135068</v>
      </c>
      <c r="O84" s="1024">
        <v>0</v>
      </c>
      <c r="P84" s="1025">
        <v>1525.492171506211</v>
      </c>
      <c r="Q84" s="1026">
        <v>0</v>
      </c>
      <c r="R84" s="1027">
        <v>1893724</v>
      </c>
      <c r="S84" s="1025">
        <v>188555</v>
      </c>
      <c r="T84" s="1025">
        <v>-24284</v>
      </c>
      <c r="U84" s="1028">
        <v>164271</v>
      </c>
      <c r="V84" s="1027">
        <v>2057995</v>
      </c>
      <c r="W84" s="1026">
        <v>-5145</v>
      </c>
      <c r="X84" s="1027">
        <v>2052850</v>
      </c>
      <c r="Y84" s="1026">
        <v>3841</v>
      </c>
      <c r="Z84" s="1027">
        <v>2083418</v>
      </c>
      <c r="AA84" s="1025">
        <v>1277826</v>
      </c>
      <c r="AB84" s="1025">
        <v>805592</v>
      </c>
      <c r="AC84" s="1027">
        <v>201398</v>
      </c>
      <c r="AD84" s="1029">
        <v>2126316</v>
      </c>
      <c r="AE84" s="1025">
        <v>5423</v>
      </c>
      <c r="AF84" s="1030">
        <v>3286515</v>
      </c>
      <c r="AG84" s="1024">
        <v>51</v>
      </c>
      <c r="AH84" s="1025">
        <v>365830</v>
      </c>
      <c r="AI84" s="1024">
        <v>-10</v>
      </c>
      <c r="AJ84" s="1025">
        <v>-36275</v>
      </c>
      <c r="AK84" s="1028">
        <v>329555</v>
      </c>
      <c r="AL84" s="1030">
        <v>3616070</v>
      </c>
      <c r="AM84" s="1025">
        <v>-9040</v>
      </c>
      <c r="AN84" s="1030">
        <v>3607030</v>
      </c>
      <c r="AO84" s="1025">
        <v>6714</v>
      </c>
      <c r="AP84" s="1030">
        <v>3613744</v>
      </c>
      <c r="AQ84" s="1025">
        <v>2125544</v>
      </c>
      <c r="AR84" s="1025">
        <v>1488200</v>
      </c>
      <c r="AS84" s="1030">
        <v>372050</v>
      </c>
      <c r="AT84" s="787">
        <v>5697162</v>
      </c>
      <c r="AU84" s="787">
        <v>573448</v>
      </c>
      <c r="AV84" s="516"/>
      <c r="AW84" s="165">
        <v>7974</v>
      </c>
      <c r="AX84" s="165">
        <v>9040</v>
      </c>
      <c r="AY84" s="165">
        <v>1066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2" t="s">
        <v>458</v>
      </c>
    </row>
    <row r="92" spans="1:52" x14ac:dyDescent="0.2">
      <c r="B92" s="857" t="s">
        <v>1462</v>
      </c>
    </row>
    <row r="93" spans="1:52" x14ac:dyDescent="0.2">
      <c r="B93" s="857" t="s">
        <v>1152</v>
      </c>
    </row>
    <row r="94" spans="1:52" x14ac:dyDescent="0.2">
      <c r="B94" s="857" t="s">
        <v>1486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484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273724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183555</v>
      </c>
      <c r="AM20" s="147"/>
      <c r="AN20" s="144"/>
      <c r="AO20" s="136">
        <v>0</v>
      </c>
      <c r="AP20" s="144"/>
      <c r="AQ20" s="145"/>
      <c r="AR20" s="145"/>
      <c r="AS20" s="144">
        <v>15939</v>
      </c>
      <c r="AT20" s="781">
        <v>471561</v>
      </c>
      <c r="AU20" s="782">
        <v>42549</v>
      </c>
      <c r="AV20" s="344"/>
      <c r="AW20" s="137">
        <v>449</v>
      </c>
      <c r="AX20" s="137">
        <v>459</v>
      </c>
      <c r="AY20" s="137">
        <v>10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17732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30310</v>
      </c>
      <c r="AM37" s="128"/>
      <c r="AN37" s="125"/>
      <c r="AO37" s="118">
        <v>0</v>
      </c>
      <c r="AP37" s="125"/>
      <c r="AQ37" s="126"/>
      <c r="AR37" s="126"/>
      <c r="AS37" s="125">
        <v>4471</v>
      </c>
      <c r="AT37" s="779">
        <v>56709</v>
      </c>
      <c r="AU37" s="780">
        <v>8142</v>
      </c>
      <c r="AV37" s="344"/>
      <c r="AW37" s="119">
        <v>46</v>
      </c>
      <c r="AX37" s="119">
        <v>76</v>
      </c>
      <c r="AY37" s="119">
        <v>30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841878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556644</v>
      </c>
      <c r="AM62" s="128"/>
      <c r="AN62" s="125"/>
      <c r="AO62" s="118">
        <v>0</v>
      </c>
      <c r="AP62" s="125"/>
      <c r="AQ62" s="126"/>
      <c r="AR62" s="126"/>
      <c r="AS62" s="125">
        <v>43045</v>
      </c>
      <c r="AT62" s="779">
        <v>1368236</v>
      </c>
      <c r="AU62" s="780">
        <v>106329</v>
      </c>
      <c r="AV62" s="344"/>
      <c r="AW62" s="119">
        <v>1440</v>
      </c>
      <c r="AX62" s="119">
        <v>1392</v>
      </c>
      <c r="AY62" s="119">
        <v>-48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180</v>
      </c>
      <c r="D76" s="1022">
        <v>4255.7718143692655</v>
      </c>
      <c r="E76" s="1023">
        <v>907589.00735345192</v>
      </c>
      <c r="F76" s="1024">
        <v>149</v>
      </c>
      <c r="G76" s="1025">
        <v>569.60967937788098</v>
      </c>
      <c r="H76" s="1026">
        <v>99993.306370884806</v>
      </c>
      <c r="I76" s="1024">
        <v>141</v>
      </c>
      <c r="J76" s="1025">
        <v>158.62710748085348</v>
      </c>
      <c r="K76" s="1026">
        <v>25631.78417551396</v>
      </c>
      <c r="L76" s="1024">
        <v>22</v>
      </c>
      <c r="M76" s="1025">
        <v>3935.2023104669443</v>
      </c>
      <c r="N76" s="1026">
        <v>100120.8507592768</v>
      </c>
      <c r="O76" s="1024">
        <v>0</v>
      </c>
      <c r="P76" s="1025">
        <v>1525.492171506211</v>
      </c>
      <c r="Q76" s="1026">
        <v>0</v>
      </c>
      <c r="R76" s="1027">
        <v>1133334</v>
      </c>
      <c r="S76" s="1025">
        <v>-23073</v>
      </c>
      <c r="T76" s="1025">
        <v>20490</v>
      </c>
      <c r="U76" s="1028">
        <v>-2583</v>
      </c>
      <c r="V76" s="1027">
        <v>1130751</v>
      </c>
      <c r="W76" s="1026">
        <v>-2827</v>
      </c>
      <c r="X76" s="1027">
        <v>1127924</v>
      </c>
      <c r="Y76" s="1026">
        <v>0</v>
      </c>
      <c r="Z76" s="1027">
        <v>1127924</v>
      </c>
      <c r="AA76" s="1025">
        <v>753666</v>
      </c>
      <c r="AB76" s="1025">
        <v>374258</v>
      </c>
      <c r="AC76" s="1027">
        <v>93565</v>
      </c>
      <c r="AD76" s="1029">
        <v>1127924</v>
      </c>
      <c r="AE76" s="1025">
        <v>5423</v>
      </c>
      <c r="AF76" s="1030">
        <v>758385</v>
      </c>
      <c r="AG76" s="1024">
        <v>0</v>
      </c>
      <c r="AH76" s="1025">
        <v>3690</v>
      </c>
      <c r="AI76" s="1024">
        <v>4</v>
      </c>
      <c r="AJ76" s="1025">
        <v>8434</v>
      </c>
      <c r="AK76" s="1028">
        <v>12124</v>
      </c>
      <c r="AL76" s="1030">
        <v>770509</v>
      </c>
      <c r="AM76" s="1025">
        <v>-1927</v>
      </c>
      <c r="AN76" s="1030">
        <v>768582</v>
      </c>
      <c r="AO76" s="1025">
        <v>0</v>
      </c>
      <c r="AP76" s="1030">
        <v>768582</v>
      </c>
      <c r="AQ76" s="1025">
        <v>514766</v>
      </c>
      <c r="AR76" s="1025">
        <v>253816</v>
      </c>
      <c r="AS76" s="1030">
        <v>63455</v>
      </c>
      <c r="AT76" s="787">
        <v>1896506</v>
      </c>
      <c r="AU76" s="787">
        <v>157020</v>
      </c>
      <c r="AV76" s="516"/>
      <c r="AW76" s="165">
        <v>1935</v>
      </c>
      <c r="AX76" s="165">
        <v>1927</v>
      </c>
      <c r="AY76" s="165">
        <v>-8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13349</v>
      </c>
      <c r="S77" s="975"/>
      <c r="T77" s="975"/>
      <c r="U77" s="975"/>
      <c r="V77" s="976">
        <v>13349</v>
      </c>
      <c r="W77" s="1018">
        <v>-33</v>
      </c>
      <c r="X77" s="976">
        <v>13316</v>
      </c>
      <c r="Y77" s="975"/>
      <c r="Z77" s="976">
        <v>13316</v>
      </c>
      <c r="AA77" s="975">
        <v>8266</v>
      </c>
      <c r="AB77" s="975">
        <v>5050</v>
      </c>
      <c r="AC77" s="976">
        <v>1263</v>
      </c>
      <c r="AD77" s="1020">
        <v>13316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13316</v>
      </c>
      <c r="AU77" s="1179">
        <v>1263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4956</v>
      </c>
      <c r="AA83" s="156">
        <v>3304</v>
      </c>
      <c r="AB83" s="795">
        <v>1652</v>
      </c>
      <c r="AC83" s="157">
        <v>413</v>
      </c>
      <c r="AD83" s="157">
        <v>4956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4956</v>
      </c>
      <c r="AU83" s="796">
        <v>413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180</v>
      </c>
      <c r="D84" s="1022">
        <v>4255.7718143692655</v>
      </c>
      <c r="E84" s="1023">
        <v>907589.00735345192</v>
      </c>
      <c r="F84" s="1024">
        <v>149</v>
      </c>
      <c r="G84" s="1025">
        <v>569.60967937788098</v>
      </c>
      <c r="H84" s="1026">
        <v>99993.306370884806</v>
      </c>
      <c r="I84" s="1024">
        <v>141</v>
      </c>
      <c r="J84" s="1025">
        <v>158.62710748085348</v>
      </c>
      <c r="K84" s="1026">
        <v>25631.78417551396</v>
      </c>
      <c r="L84" s="1024">
        <v>22</v>
      </c>
      <c r="M84" s="1025">
        <v>3935.2023104669443</v>
      </c>
      <c r="N84" s="1026">
        <v>100120.8507592768</v>
      </c>
      <c r="O84" s="1024">
        <v>0</v>
      </c>
      <c r="P84" s="1025">
        <v>1525.492171506211</v>
      </c>
      <c r="Q84" s="1026">
        <v>0</v>
      </c>
      <c r="R84" s="1027">
        <v>1146683</v>
      </c>
      <c r="S84" s="1025">
        <v>-23073</v>
      </c>
      <c r="T84" s="1025">
        <v>20490</v>
      </c>
      <c r="U84" s="1028">
        <v>-2583</v>
      </c>
      <c r="V84" s="1027">
        <v>1144100</v>
      </c>
      <c r="W84" s="1026">
        <v>-2860</v>
      </c>
      <c r="X84" s="1027">
        <v>1141240</v>
      </c>
      <c r="Y84" s="1026">
        <v>0</v>
      </c>
      <c r="Z84" s="1027">
        <v>1146196</v>
      </c>
      <c r="AA84" s="1025">
        <v>765236</v>
      </c>
      <c r="AB84" s="1025">
        <v>380960</v>
      </c>
      <c r="AC84" s="1027">
        <v>95241</v>
      </c>
      <c r="AD84" s="1029">
        <v>1156196</v>
      </c>
      <c r="AE84" s="1025">
        <v>5423</v>
      </c>
      <c r="AF84" s="1030">
        <v>758385</v>
      </c>
      <c r="AG84" s="1024">
        <v>0</v>
      </c>
      <c r="AH84" s="1025">
        <v>3690</v>
      </c>
      <c r="AI84" s="1024">
        <v>4</v>
      </c>
      <c r="AJ84" s="1025">
        <v>8434</v>
      </c>
      <c r="AK84" s="1028">
        <v>12124</v>
      </c>
      <c r="AL84" s="1030">
        <v>770509</v>
      </c>
      <c r="AM84" s="1025">
        <v>-1927</v>
      </c>
      <c r="AN84" s="1030">
        <v>768582</v>
      </c>
      <c r="AO84" s="1025">
        <v>0</v>
      </c>
      <c r="AP84" s="1030">
        <v>768582</v>
      </c>
      <c r="AQ84" s="1025">
        <v>514766</v>
      </c>
      <c r="AR84" s="1025">
        <v>253816</v>
      </c>
      <c r="AS84" s="1030">
        <v>63455</v>
      </c>
      <c r="AT84" s="787">
        <v>1914778</v>
      </c>
      <c r="AU84" s="787">
        <v>158696</v>
      </c>
      <c r="AV84" s="516"/>
      <c r="AW84" s="165">
        <v>1935</v>
      </c>
      <c r="AX84" s="165">
        <v>1927</v>
      </c>
      <c r="AY84" s="165">
        <v>-8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0" t="s">
        <v>459</v>
      </c>
    </row>
    <row r="92" spans="1:52" x14ac:dyDescent="0.2">
      <c r="B92" s="857" t="s">
        <v>1462</v>
      </c>
    </row>
    <row r="93" spans="1:52" x14ac:dyDescent="0.2">
      <c r="B93" s="857" t="s">
        <v>1153</v>
      </c>
    </row>
    <row r="94" spans="1:52" x14ac:dyDescent="0.2">
      <c r="B94" s="857" t="s">
        <v>1485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4.7109375" style="319" bestFit="1" customWidth="1"/>
    <col min="2" max="2" width="18.7109375" style="284" customWidth="1"/>
    <col min="3" max="3" width="17" style="284" customWidth="1"/>
    <col min="4" max="4" width="15.140625" style="284" customWidth="1"/>
    <col min="5" max="5" width="9.42578125" style="320" customWidth="1"/>
    <col min="6" max="6" width="13.7109375" style="284" customWidth="1"/>
    <col min="7" max="7" width="9.42578125" style="284" customWidth="1"/>
    <col min="8" max="8" width="13.7109375" style="284" customWidth="1"/>
    <col min="9" max="9" width="9.42578125" style="284" customWidth="1"/>
    <col min="10" max="10" width="13.7109375" style="284" customWidth="1"/>
    <col min="11" max="11" width="9.42578125" style="284" customWidth="1"/>
    <col min="12" max="12" width="14" style="284" customWidth="1"/>
    <col min="13" max="13" width="14" style="317" customWidth="1"/>
    <col min="14" max="14" width="9.42578125" style="284" customWidth="1"/>
    <col min="15" max="16" width="14.28515625" style="284" customWidth="1"/>
    <col min="17" max="17" width="10.140625" style="284" customWidth="1"/>
    <col min="18" max="18" width="17.42578125" style="284" customWidth="1"/>
    <col min="19" max="19" width="17.5703125" style="318" customWidth="1"/>
    <col min="20" max="20" width="17.7109375" style="318" customWidth="1"/>
    <col min="21" max="21" width="16.5703125" style="318" customWidth="1"/>
    <col min="22" max="24" width="12.28515625" style="318" customWidth="1"/>
    <col min="25" max="25" width="18.7109375" style="318" customWidth="1"/>
    <col min="26" max="26" width="15.85546875" style="318" customWidth="1"/>
    <col min="27" max="27" width="13" style="318" customWidth="1"/>
    <col min="28" max="28" width="14.140625" style="318" customWidth="1"/>
    <col min="29" max="29" width="14.42578125" style="318" customWidth="1"/>
    <col min="30" max="30" width="13.85546875" style="318" customWidth="1"/>
    <col min="31" max="31" width="13.28515625" style="318" customWidth="1"/>
    <col min="32" max="32" width="9" style="318" customWidth="1"/>
    <col min="33" max="33" width="8.85546875" style="318" customWidth="1"/>
    <col min="34" max="34" width="15.5703125" style="318" bestFit="1" customWidth="1"/>
    <col min="35" max="35" width="9" style="318" customWidth="1"/>
    <col min="36" max="36" width="16.140625" style="318" customWidth="1"/>
    <col min="37" max="37" width="9.85546875" style="318" customWidth="1"/>
    <col min="38" max="38" width="16.140625" style="318" customWidth="1"/>
    <col min="39" max="39" width="9.85546875" style="318" customWidth="1"/>
    <col min="40" max="40" width="16.140625" style="318" customWidth="1"/>
    <col min="41" max="41" width="9.85546875" style="318" customWidth="1"/>
    <col min="42" max="42" width="16.140625" style="318" customWidth="1"/>
    <col min="43" max="43" width="9.85546875" style="318" customWidth="1"/>
    <col min="44" max="45" width="17.5703125" style="318" customWidth="1"/>
    <col min="46" max="46" width="10.5703125" style="318" customWidth="1"/>
    <col min="47" max="47" width="18.7109375" style="318" customWidth="1"/>
    <col min="48" max="48" width="9.85546875" style="318" customWidth="1"/>
    <col min="49" max="49" width="17" style="318" customWidth="1"/>
    <col min="50" max="50" width="10.5703125" style="318" customWidth="1"/>
    <col min="51" max="51" width="9.85546875" style="318" customWidth="1"/>
    <col min="52" max="52" width="13.85546875" style="318" customWidth="1"/>
    <col min="53" max="53" width="18.85546875" style="318" customWidth="1"/>
    <col min="54" max="54" width="10.5703125" style="318" customWidth="1"/>
    <col min="55" max="55" width="9.85546875" style="318" customWidth="1"/>
    <col min="56" max="56" width="6.42578125" style="284" customWidth="1"/>
    <col min="57" max="16384" width="9.140625" style="284"/>
  </cols>
  <sheetData>
    <row r="1" spans="1:55" s="295" customFormat="1" ht="16.5" customHeight="1" x14ac:dyDescent="0.2">
      <c r="A1" s="1315" t="s">
        <v>79</v>
      </c>
      <c r="B1" s="1316"/>
      <c r="C1" s="1314" t="s">
        <v>1328</v>
      </c>
      <c r="D1" s="1339">
        <v>0.22</v>
      </c>
      <c r="E1" s="1339"/>
      <c r="F1" s="1340">
        <v>0.06</v>
      </c>
      <c r="G1" s="1340"/>
      <c r="H1" s="1340">
        <v>1.5</v>
      </c>
      <c r="I1" s="1340"/>
      <c r="J1" s="1339">
        <v>0.6</v>
      </c>
      <c r="K1" s="1339"/>
      <c r="L1" s="706">
        <v>7500</v>
      </c>
      <c r="M1" s="706">
        <v>37500</v>
      </c>
      <c r="N1" s="706">
        <f>M1</f>
        <v>37500</v>
      </c>
      <c r="O1" s="898"/>
      <c r="P1" s="898"/>
      <c r="Q1" s="705">
        <f>ROUND(3961*1.01375,0)</f>
        <v>4015</v>
      </c>
      <c r="R1" s="898"/>
      <c r="S1" s="898"/>
      <c r="T1" s="900">
        <v>0.75</v>
      </c>
      <c r="U1" s="901"/>
      <c r="V1" s="898"/>
      <c r="W1" s="899"/>
      <c r="X1" s="899"/>
      <c r="Y1" s="898"/>
      <c r="Z1" s="898"/>
      <c r="AA1" s="898"/>
      <c r="AB1" s="902">
        <v>0.34</v>
      </c>
      <c r="AC1" s="899"/>
      <c r="AD1" s="903">
        <v>1.72</v>
      </c>
      <c r="AE1" s="901"/>
      <c r="AF1" s="898"/>
      <c r="AG1" s="898"/>
      <c r="AH1" s="901"/>
      <c r="AI1" s="898"/>
      <c r="AJ1" s="1335" t="s">
        <v>134</v>
      </c>
      <c r="AK1" s="1335"/>
      <c r="AL1" s="1335"/>
      <c r="AM1" s="1335"/>
      <c r="AN1" s="1334" t="s">
        <v>135</v>
      </c>
      <c r="AO1" s="1334"/>
      <c r="AP1" s="1334"/>
      <c r="AQ1" s="1334"/>
      <c r="AR1" s="960"/>
      <c r="AS1" s="960"/>
      <c r="AT1" s="962"/>
      <c r="AU1" s="960"/>
      <c r="AV1" s="960"/>
      <c r="AW1" s="1059"/>
      <c r="AX1" s="1059"/>
      <c r="AY1" s="1059"/>
      <c r="AZ1" s="1059"/>
      <c r="BA1" s="1060"/>
      <c r="BB1" s="1060"/>
      <c r="BC1" s="1060"/>
    </row>
    <row r="2" spans="1:55" s="295" customFormat="1" ht="105.75" customHeight="1" x14ac:dyDescent="0.2">
      <c r="A2" s="1317"/>
      <c r="B2" s="1318"/>
      <c r="C2" s="1338"/>
      <c r="D2" s="604" t="s">
        <v>1086</v>
      </c>
      <c r="E2" s="1314" t="s">
        <v>303</v>
      </c>
      <c r="F2" s="828" t="s">
        <v>773</v>
      </c>
      <c r="G2" s="1314" t="s">
        <v>303</v>
      </c>
      <c r="H2" s="828" t="s">
        <v>1087</v>
      </c>
      <c r="I2" s="1314" t="s">
        <v>304</v>
      </c>
      <c r="J2" s="828" t="s">
        <v>1088</v>
      </c>
      <c r="K2" s="1314" t="s">
        <v>304</v>
      </c>
      <c r="L2" s="1314" t="s">
        <v>1170</v>
      </c>
      <c r="M2" s="1314" t="s">
        <v>305</v>
      </c>
      <c r="N2" s="1314" t="s">
        <v>304</v>
      </c>
      <c r="O2" s="1312" t="s">
        <v>344</v>
      </c>
      <c r="P2" s="1312" t="s">
        <v>360</v>
      </c>
      <c r="Q2" s="1314" t="s">
        <v>80</v>
      </c>
      <c r="R2" s="1312" t="s">
        <v>328</v>
      </c>
      <c r="S2" s="1312" t="s">
        <v>379</v>
      </c>
      <c r="T2" s="1336" t="s">
        <v>381</v>
      </c>
      <c r="U2" s="1327" t="s">
        <v>313</v>
      </c>
      <c r="V2" s="1312" t="s">
        <v>493</v>
      </c>
      <c r="W2" s="1323" t="s">
        <v>494</v>
      </c>
      <c r="X2" s="1323" t="s">
        <v>495</v>
      </c>
      <c r="Y2" s="1312" t="s">
        <v>911</v>
      </c>
      <c r="Z2" s="1312" t="s">
        <v>380</v>
      </c>
      <c r="AA2" s="1312" t="s">
        <v>496</v>
      </c>
      <c r="AB2" s="1314" t="s">
        <v>497</v>
      </c>
      <c r="AC2" s="1323" t="s">
        <v>498</v>
      </c>
      <c r="AD2" s="1314" t="s">
        <v>499</v>
      </c>
      <c r="AE2" s="1327" t="s">
        <v>314</v>
      </c>
      <c r="AF2" s="1312" t="s">
        <v>393</v>
      </c>
      <c r="AG2" s="1312" t="s">
        <v>3</v>
      </c>
      <c r="AH2" s="1327" t="s">
        <v>312</v>
      </c>
      <c r="AI2" s="1312" t="s">
        <v>393</v>
      </c>
      <c r="AJ2" s="1326" t="s">
        <v>366</v>
      </c>
      <c r="AK2" s="1314" t="s">
        <v>81</v>
      </c>
      <c r="AL2" s="1326" t="s">
        <v>325</v>
      </c>
      <c r="AM2" s="1314" t="s">
        <v>80</v>
      </c>
      <c r="AN2" s="1326" t="s">
        <v>367</v>
      </c>
      <c r="AO2" s="1314" t="s">
        <v>80</v>
      </c>
      <c r="AP2" s="1326" t="s">
        <v>324</v>
      </c>
      <c r="AQ2" s="1314" t="s">
        <v>80</v>
      </c>
      <c r="AR2" s="1330" t="s">
        <v>1332</v>
      </c>
      <c r="AS2" s="1321" t="s">
        <v>1297</v>
      </c>
      <c r="AT2" s="1332" t="s">
        <v>80</v>
      </c>
      <c r="AU2" s="1330" t="s">
        <v>1375</v>
      </c>
      <c r="AV2" s="1321" t="s">
        <v>72</v>
      </c>
      <c r="AW2" s="1323" t="s">
        <v>1107</v>
      </c>
      <c r="AX2" s="1323" t="s">
        <v>80</v>
      </c>
      <c r="AY2" s="1323" t="s">
        <v>78</v>
      </c>
      <c r="AZ2" s="1323" t="s">
        <v>500</v>
      </c>
      <c r="BA2" s="1312" t="s">
        <v>1376</v>
      </c>
      <c r="BB2" s="1312" t="s">
        <v>80</v>
      </c>
      <c r="BC2" s="1312" t="s">
        <v>72</v>
      </c>
    </row>
    <row r="3" spans="1:55" s="295" customFormat="1" ht="27.75" customHeight="1" x14ac:dyDescent="0.2">
      <c r="A3" s="1319"/>
      <c r="B3" s="1320"/>
      <c r="C3" s="827" t="s">
        <v>1191</v>
      </c>
      <c r="D3" s="827" t="s">
        <v>1191</v>
      </c>
      <c r="E3" s="1314"/>
      <c r="F3" s="827" t="s">
        <v>1192</v>
      </c>
      <c r="G3" s="1314"/>
      <c r="H3" s="827" t="s">
        <v>1193</v>
      </c>
      <c r="I3" s="1314"/>
      <c r="J3" s="827" t="s">
        <v>1193</v>
      </c>
      <c r="K3" s="1314"/>
      <c r="L3" s="1314"/>
      <c r="M3" s="1314"/>
      <c r="N3" s="1314"/>
      <c r="O3" s="1325"/>
      <c r="P3" s="1325"/>
      <c r="Q3" s="1314"/>
      <c r="R3" s="1325"/>
      <c r="S3" s="1325"/>
      <c r="T3" s="1336"/>
      <c r="U3" s="1328"/>
      <c r="V3" s="1325"/>
      <c r="W3" s="1329"/>
      <c r="X3" s="1329"/>
      <c r="Y3" s="1325"/>
      <c r="Z3" s="1325"/>
      <c r="AA3" s="1325"/>
      <c r="AB3" s="1314"/>
      <c r="AC3" s="1329"/>
      <c r="AD3" s="1314"/>
      <c r="AE3" s="1328"/>
      <c r="AF3" s="1325"/>
      <c r="AG3" s="1325"/>
      <c r="AH3" s="1328"/>
      <c r="AI3" s="1325"/>
      <c r="AJ3" s="1326"/>
      <c r="AK3" s="1314"/>
      <c r="AL3" s="1326"/>
      <c r="AM3" s="1314"/>
      <c r="AN3" s="1326"/>
      <c r="AO3" s="1314"/>
      <c r="AP3" s="1326"/>
      <c r="AQ3" s="1314"/>
      <c r="AR3" s="1331"/>
      <c r="AS3" s="1322"/>
      <c r="AT3" s="1333"/>
      <c r="AU3" s="1331"/>
      <c r="AV3" s="1322"/>
      <c r="AW3" s="1324"/>
      <c r="AX3" s="1324"/>
      <c r="AY3" s="1324"/>
      <c r="AZ3" s="1337"/>
      <c r="BA3" s="1313"/>
      <c r="BB3" s="1314"/>
      <c r="BC3" s="1313"/>
    </row>
    <row r="4" spans="1:55" s="297" customFormat="1" ht="13.15" customHeight="1" x14ac:dyDescent="0.2">
      <c r="A4" s="704"/>
      <c r="B4" s="704"/>
      <c r="C4" s="1070">
        <v>1</v>
      </c>
      <c r="D4" s="1071" t="s">
        <v>266</v>
      </c>
      <c r="E4" s="1071">
        <v>2</v>
      </c>
      <c r="F4" s="1071" t="s">
        <v>267</v>
      </c>
      <c r="G4" s="1071">
        <v>3</v>
      </c>
      <c r="H4" s="1071" t="s">
        <v>287</v>
      </c>
      <c r="I4" s="1071">
        <v>4</v>
      </c>
      <c r="J4" s="1071" t="s">
        <v>340</v>
      </c>
      <c r="K4" s="1070">
        <v>5</v>
      </c>
      <c r="L4" s="1071" t="s">
        <v>136</v>
      </c>
      <c r="M4" s="1071" t="s">
        <v>341</v>
      </c>
      <c r="N4" s="1071">
        <v>6</v>
      </c>
      <c r="O4" s="1071">
        <f t="shared" ref="O4:BC4" si="0">N4+1</f>
        <v>7</v>
      </c>
      <c r="P4" s="1071">
        <f t="shared" si="0"/>
        <v>8</v>
      </c>
      <c r="Q4" s="1071">
        <f t="shared" si="0"/>
        <v>9</v>
      </c>
      <c r="R4" s="1071">
        <f>Q4+1</f>
        <v>10</v>
      </c>
      <c r="S4" s="1071">
        <f>R4+1</f>
        <v>11</v>
      </c>
      <c r="T4" s="1071" t="s">
        <v>342</v>
      </c>
      <c r="U4" s="1071">
        <v>12</v>
      </c>
      <c r="V4" s="1071">
        <f t="shared" si="0"/>
        <v>13</v>
      </c>
      <c r="W4" s="1071">
        <f t="shared" si="0"/>
        <v>14</v>
      </c>
      <c r="X4" s="1071">
        <f t="shared" si="0"/>
        <v>15</v>
      </c>
      <c r="Y4" s="1071">
        <f t="shared" si="0"/>
        <v>16</v>
      </c>
      <c r="Z4" s="1071">
        <f t="shared" si="0"/>
        <v>17</v>
      </c>
      <c r="AA4" s="1071">
        <f t="shared" si="0"/>
        <v>18</v>
      </c>
      <c r="AB4" s="1071">
        <f>AA4+1</f>
        <v>19</v>
      </c>
      <c r="AC4" s="1071">
        <f t="shared" si="0"/>
        <v>20</v>
      </c>
      <c r="AD4" s="1071">
        <f t="shared" si="0"/>
        <v>21</v>
      </c>
      <c r="AE4" s="1071">
        <f t="shared" si="0"/>
        <v>22</v>
      </c>
      <c r="AF4" s="1071">
        <f>AE4+1</f>
        <v>23</v>
      </c>
      <c r="AG4" s="1071">
        <f>AF4+1</f>
        <v>24</v>
      </c>
      <c r="AH4" s="1071">
        <f t="shared" si="0"/>
        <v>25</v>
      </c>
      <c r="AI4" s="1071">
        <f t="shared" si="0"/>
        <v>26</v>
      </c>
      <c r="AJ4" s="1071">
        <f t="shared" si="0"/>
        <v>27</v>
      </c>
      <c r="AK4" s="1071">
        <f t="shared" si="0"/>
        <v>28</v>
      </c>
      <c r="AL4" s="1071">
        <f t="shared" si="0"/>
        <v>29</v>
      </c>
      <c r="AM4" s="1071">
        <f t="shared" si="0"/>
        <v>30</v>
      </c>
      <c r="AN4" s="1071">
        <f t="shared" si="0"/>
        <v>31</v>
      </c>
      <c r="AO4" s="1071">
        <f t="shared" si="0"/>
        <v>32</v>
      </c>
      <c r="AP4" s="1071">
        <f t="shared" si="0"/>
        <v>33</v>
      </c>
      <c r="AQ4" s="1071">
        <f t="shared" si="0"/>
        <v>34</v>
      </c>
      <c r="AR4" s="1072">
        <f>AQ4+1</f>
        <v>35</v>
      </c>
      <c r="AS4" s="1072">
        <f>AR4+1</f>
        <v>36</v>
      </c>
      <c r="AT4" s="1072">
        <f>AS4+1</f>
        <v>37</v>
      </c>
      <c r="AU4" s="1072">
        <f>AT4+1</f>
        <v>38</v>
      </c>
      <c r="AV4" s="1072">
        <f>AU4+1</f>
        <v>39</v>
      </c>
      <c r="AW4" s="1071">
        <f t="shared" si="0"/>
        <v>40</v>
      </c>
      <c r="AX4" s="1071">
        <f t="shared" si="0"/>
        <v>41</v>
      </c>
      <c r="AY4" s="1071">
        <f t="shared" si="0"/>
        <v>42</v>
      </c>
      <c r="AZ4" s="1071">
        <f t="shared" si="0"/>
        <v>43</v>
      </c>
      <c r="BA4" s="1071">
        <f t="shared" si="0"/>
        <v>44</v>
      </c>
      <c r="BB4" s="1071">
        <f t="shared" si="0"/>
        <v>45</v>
      </c>
      <c r="BC4" s="1071">
        <f t="shared" si="0"/>
        <v>46</v>
      </c>
    </row>
    <row r="5" spans="1:55" s="680" customFormat="1" ht="27" customHeight="1" x14ac:dyDescent="0.2">
      <c r="A5" s="679"/>
      <c r="B5" s="679"/>
      <c r="C5" s="1073" t="s">
        <v>774</v>
      </c>
      <c r="D5" s="1067" t="s">
        <v>960</v>
      </c>
      <c r="E5" s="1074" t="s">
        <v>942</v>
      </c>
      <c r="F5" s="1067" t="s">
        <v>959</v>
      </c>
      <c r="G5" s="1074" t="s">
        <v>941</v>
      </c>
      <c r="H5" s="1074" t="s">
        <v>957</v>
      </c>
      <c r="I5" s="1074" t="s">
        <v>940</v>
      </c>
      <c r="J5" s="1074" t="s">
        <v>958</v>
      </c>
      <c r="K5" s="1074" t="s">
        <v>939</v>
      </c>
      <c r="L5" s="1074" t="s">
        <v>1025</v>
      </c>
      <c r="M5" s="1074" t="s">
        <v>1026</v>
      </c>
      <c r="N5" s="1074" t="s">
        <v>775</v>
      </c>
      <c r="O5" s="1074" t="s">
        <v>776</v>
      </c>
      <c r="P5" s="1074" t="s">
        <v>777</v>
      </c>
      <c r="Q5" s="1074" t="s">
        <v>799</v>
      </c>
      <c r="R5" s="1074" t="s">
        <v>778</v>
      </c>
      <c r="S5" s="1074" t="s">
        <v>779</v>
      </c>
      <c r="T5" s="1074" t="s">
        <v>1024</v>
      </c>
      <c r="U5" s="1074" t="s">
        <v>780</v>
      </c>
      <c r="V5" s="1074" t="s">
        <v>781</v>
      </c>
      <c r="W5" s="1074" t="s">
        <v>782</v>
      </c>
      <c r="X5" s="1074" t="s">
        <v>783</v>
      </c>
      <c r="Y5" s="1074" t="s">
        <v>239</v>
      </c>
      <c r="Z5" s="1074" t="s">
        <v>784</v>
      </c>
      <c r="AA5" s="1074" t="s">
        <v>938</v>
      </c>
      <c r="AB5" s="1074" t="s">
        <v>1027</v>
      </c>
      <c r="AC5" s="1074" t="s">
        <v>785</v>
      </c>
      <c r="AD5" s="1074" t="s">
        <v>1028</v>
      </c>
      <c r="AE5" s="1074" t="s">
        <v>786</v>
      </c>
      <c r="AF5" s="1074" t="s">
        <v>787</v>
      </c>
      <c r="AG5" s="1074" t="s">
        <v>788</v>
      </c>
      <c r="AH5" s="1074" t="s">
        <v>789</v>
      </c>
      <c r="AI5" s="1074" t="s">
        <v>790</v>
      </c>
      <c r="AJ5" s="1074" t="s">
        <v>1282</v>
      </c>
      <c r="AK5" s="1074" t="s">
        <v>791</v>
      </c>
      <c r="AL5" s="1074" t="s">
        <v>792</v>
      </c>
      <c r="AM5" s="1074" t="s">
        <v>793</v>
      </c>
      <c r="AN5" s="1074" t="s">
        <v>1283</v>
      </c>
      <c r="AO5" s="1074" t="s">
        <v>794</v>
      </c>
      <c r="AP5" s="1074" t="s">
        <v>795</v>
      </c>
      <c r="AQ5" s="1074" t="s">
        <v>796</v>
      </c>
      <c r="AR5" s="1074" t="s">
        <v>1335</v>
      </c>
      <c r="AS5" s="1074" t="s">
        <v>1284</v>
      </c>
      <c r="AT5" s="1074" t="s">
        <v>1291</v>
      </c>
      <c r="AU5" s="1074" t="s">
        <v>1292</v>
      </c>
      <c r="AV5" s="1074" t="s">
        <v>797</v>
      </c>
      <c r="AW5" s="1074" t="s">
        <v>798</v>
      </c>
      <c r="AX5" s="1074" t="s">
        <v>1293</v>
      </c>
      <c r="AY5" s="1074" t="s">
        <v>797</v>
      </c>
      <c r="AZ5" s="1074" t="s">
        <v>1294</v>
      </c>
      <c r="BA5" s="1074" t="s">
        <v>1295</v>
      </c>
      <c r="BB5" s="1074" t="s">
        <v>1296</v>
      </c>
      <c r="BC5" s="1074" t="s">
        <v>797</v>
      </c>
    </row>
    <row r="6" spans="1:55" s="680" customFormat="1" ht="22.5" hidden="1" customHeight="1" x14ac:dyDescent="0.2">
      <c r="A6" s="679"/>
      <c r="B6" s="679"/>
      <c r="C6" s="681" t="s">
        <v>603</v>
      </c>
      <c r="D6" s="682" t="s">
        <v>694</v>
      </c>
      <c r="E6" s="682" t="s">
        <v>604</v>
      </c>
      <c r="F6" s="682" t="s">
        <v>694</v>
      </c>
      <c r="G6" s="682" t="s">
        <v>604</v>
      </c>
      <c r="H6" s="682" t="s">
        <v>694</v>
      </c>
      <c r="I6" s="682" t="s">
        <v>604</v>
      </c>
      <c r="J6" s="682" t="s">
        <v>694</v>
      </c>
      <c r="K6" s="682" t="s">
        <v>604</v>
      </c>
      <c r="L6" s="682" t="s">
        <v>604</v>
      </c>
      <c r="M6" s="682" t="s">
        <v>604</v>
      </c>
      <c r="N6" s="682" t="s">
        <v>604</v>
      </c>
      <c r="O6" s="682" t="s">
        <v>604</v>
      </c>
      <c r="P6" s="682" t="s">
        <v>604</v>
      </c>
      <c r="Q6" s="682" t="s">
        <v>799</v>
      </c>
      <c r="R6" s="682" t="s">
        <v>604</v>
      </c>
      <c r="S6" s="682" t="s">
        <v>603</v>
      </c>
      <c r="T6" s="682" t="s">
        <v>604</v>
      </c>
      <c r="U6" s="682" t="s">
        <v>604</v>
      </c>
      <c r="V6" s="682" t="s">
        <v>604</v>
      </c>
      <c r="W6" s="682" t="s">
        <v>604</v>
      </c>
      <c r="X6" s="682" t="s">
        <v>604</v>
      </c>
      <c r="Y6" s="682" t="s">
        <v>603</v>
      </c>
      <c r="Z6" s="682" t="s">
        <v>604</v>
      </c>
      <c r="AA6" s="682" t="s">
        <v>604</v>
      </c>
      <c r="AB6" s="682" t="s">
        <v>604</v>
      </c>
      <c r="AC6" s="682" t="s">
        <v>604</v>
      </c>
      <c r="AD6" s="682" t="s">
        <v>604</v>
      </c>
      <c r="AE6" s="682" t="s">
        <v>604</v>
      </c>
      <c r="AF6" s="682" t="s">
        <v>604</v>
      </c>
      <c r="AG6" s="682" t="s">
        <v>604</v>
      </c>
      <c r="AH6" s="682" t="s">
        <v>604</v>
      </c>
      <c r="AI6" s="682" t="s">
        <v>604</v>
      </c>
      <c r="AJ6" s="682" t="s">
        <v>603</v>
      </c>
      <c r="AK6" s="682" t="s">
        <v>604</v>
      </c>
      <c r="AL6" s="682" t="s">
        <v>604</v>
      </c>
      <c r="AM6" s="682" t="s">
        <v>604</v>
      </c>
      <c r="AN6" s="682" t="s">
        <v>603</v>
      </c>
      <c r="AO6" s="682" t="s">
        <v>604</v>
      </c>
      <c r="AP6" s="682" t="s">
        <v>604</v>
      </c>
      <c r="AQ6" s="682" t="s">
        <v>604</v>
      </c>
      <c r="AR6" s="956"/>
      <c r="AS6" s="956"/>
      <c r="AT6" s="959"/>
      <c r="AU6" s="682" t="s">
        <v>604</v>
      </c>
      <c r="AV6" s="682" t="s">
        <v>604</v>
      </c>
      <c r="AW6" s="682" t="s">
        <v>604</v>
      </c>
      <c r="AX6" s="682" t="s">
        <v>604</v>
      </c>
      <c r="AY6" s="682" t="s">
        <v>604</v>
      </c>
      <c r="AZ6" s="682" t="s">
        <v>604</v>
      </c>
      <c r="BA6" s="682" t="s">
        <v>604</v>
      </c>
      <c r="BB6" s="682" t="s">
        <v>604</v>
      </c>
      <c r="BC6" s="682" t="s">
        <v>604</v>
      </c>
    </row>
    <row r="7" spans="1:55" s="313" customFormat="1" ht="15.6" customHeight="1" x14ac:dyDescent="0.2">
      <c r="A7" s="683">
        <v>1</v>
      </c>
      <c r="B7" s="298" t="s">
        <v>5</v>
      </c>
      <c r="C7" s="299">
        <f>'8_2.1.19 SIS'!AV7</f>
        <v>9444</v>
      </c>
      <c r="D7" s="299">
        <f>'[8]Econ. Disad.'!$AV7</f>
        <v>6588</v>
      </c>
      <c r="E7" s="299">
        <f>$D$1*D7</f>
        <v>1449.36</v>
      </c>
      <c r="F7" s="299">
        <f>[8]CTE!$AV7</f>
        <v>4270.5</v>
      </c>
      <c r="G7" s="299">
        <f>$F$1*F7</f>
        <v>256.23</v>
      </c>
      <c r="H7" s="299">
        <f>[8]SWD!$AV7</f>
        <v>1032</v>
      </c>
      <c r="I7" s="299">
        <f>$H$1*H7</f>
        <v>1548</v>
      </c>
      <c r="J7" s="299">
        <f>[8]GT!$AV7</f>
        <v>71</v>
      </c>
      <c r="K7" s="299">
        <f>$J$1*J7</f>
        <v>42.6</v>
      </c>
      <c r="L7" s="300">
        <f t="shared" ref="L7:L38" si="1">IF(C7&lt;$L$1,$L$1-C7,0)</f>
        <v>0</v>
      </c>
      <c r="M7" s="301">
        <f t="shared" ref="M7:M38" si="2">ROUND(L7/$M$1,5)</f>
        <v>0</v>
      </c>
      <c r="N7" s="299">
        <f t="shared" ref="N7:N70" si="3">C7*M7</f>
        <v>0</v>
      </c>
      <c r="O7" s="299">
        <f>E7+G7+I7+K7+N7</f>
        <v>3296.19</v>
      </c>
      <c r="P7" s="299">
        <f t="shared" ref="P7:P38" si="4">O7+C7</f>
        <v>12740.19</v>
      </c>
      <c r="Q7" s="302">
        <f>$Q$1</f>
        <v>4015</v>
      </c>
      <c r="R7" s="302">
        <f t="shared" ref="R7:R38" si="5">ROUND(P7*Q7,0)</f>
        <v>51151863</v>
      </c>
      <c r="S7" s="302">
        <f>'6_Local Deduct Calc'!J7</f>
        <v>12510923</v>
      </c>
      <c r="T7" s="302">
        <f>ROUND(IF((S7&gt;R7*$T$1),R7*$T$1,S7),0)</f>
        <v>12510923</v>
      </c>
      <c r="U7" s="303">
        <f>R7-T7</f>
        <v>38640940</v>
      </c>
      <c r="V7" s="304">
        <f>ROUND(U7/R7,4)</f>
        <v>0.75539999999999996</v>
      </c>
      <c r="W7" s="304">
        <f>ROUND(T7/R7,4)</f>
        <v>0.24460000000000001</v>
      </c>
      <c r="X7" s="305">
        <f t="shared" ref="X7:X38" si="6">T7/C7</f>
        <v>1324.748305802626</v>
      </c>
      <c r="Y7" s="302">
        <f>'7_Local Revenue'!AQ7</f>
        <v>24481527</v>
      </c>
      <c r="Z7" s="302">
        <f>IF(Y7-T7&gt;0,Y7-T7,0)</f>
        <v>11970604</v>
      </c>
      <c r="AA7" s="31">
        <f>IF(Y7-T7&lt;0,Y7-T7,0)</f>
        <v>0</v>
      </c>
      <c r="AB7" s="306">
        <f t="shared" ref="AB7:AB38" si="7">R7*$AB$1</f>
        <v>17391633.420000002</v>
      </c>
      <c r="AC7" s="306">
        <f t="shared" ref="AC7:AC38" si="8">IF(Z7&lt;AB7,Z7,AB7)</f>
        <v>11970604</v>
      </c>
      <c r="AD7" s="302">
        <f t="shared" ref="AD7:AD38" si="9">IF(AC7&gt;0,AC7*(W7*$AD$1),0)</f>
        <v>5036176.7500480004</v>
      </c>
      <c r="AE7" s="307">
        <f>ROUND(IF(AC7-AD7&gt;AC7*$AE$1,AC7-AD7,AC7*$AE$1),0)</f>
        <v>6934427</v>
      </c>
      <c r="AF7" s="306">
        <f t="shared" ref="AF7:AF38" si="10">ROUND(AE7/C7,0)</f>
        <v>734</v>
      </c>
      <c r="AG7" s="308">
        <f>IF(AC7=0,0,ROUND(AE7/AC7,4))</f>
        <v>0.57930000000000004</v>
      </c>
      <c r="AH7" s="307">
        <f t="shared" ref="AH7:AH38" si="11">U7+AE7</f>
        <v>45575367</v>
      </c>
      <c r="AI7" s="306">
        <f t="shared" ref="AI7:AI38" si="12">ROUND(AH7/C7,0)</f>
        <v>4826</v>
      </c>
      <c r="AJ7" s="307">
        <f>'3A_Level 3'!J7</f>
        <v>1599813</v>
      </c>
      <c r="AK7" s="306">
        <f t="shared" ref="AK7:AK38" si="13">AJ7/C7</f>
        <v>169.39993646759848</v>
      </c>
      <c r="AL7" s="307">
        <f>AJ7+AH7</f>
        <v>47175180</v>
      </c>
      <c r="AM7" s="306">
        <f t="shared" ref="AM7:AM38" si="14">AL7/C7</f>
        <v>4995.254129606099</v>
      </c>
      <c r="AN7" s="309">
        <f>'3A_Level 3'!K7</f>
        <v>8942334</v>
      </c>
      <c r="AO7" s="310">
        <f t="shared" ref="AO7:AO38" si="15">AN7/C7</f>
        <v>946.87992376111822</v>
      </c>
      <c r="AP7" s="307">
        <f>AH7+AN7</f>
        <v>54517701</v>
      </c>
      <c r="AQ7" s="306">
        <f t="shared" ref="AQ7:AQ38" si="16">AP7/C7</f>
        <v>5772.734116899619</v>
      </c>
      <c r="AR7" s="306">
        <f>'3A_Level 3'!L7</f>
        <v>1240679.9584405266</v>
      </c>
      <c r="AS7" s="1095">
        <f t="shared" ref="AS7:AS38" si="17">AP7+AR7</f>
        <v>55758380.958440527</v>
      </c>
      <c r="AT7" s="306">
        <f t="shared" ref="AT7:AT38" si="18">AS7/C7</f>
        <v>5904.1064123719325</v>
      </c>
      <c r="AU7" s="308">
        <f>AS7/BA7</f>
        <v>0.69489587385020468</v>
      </c>
      <c r="AV7" s="311">
        <f>RANK(AU7,$AU$7:$AU$75)</f>
        <v>19</v>
      </c>
      <c r="AW7" s="306">
        <f t="shared" ref="AW7:AW38" si="19">ROUND(AC7+T7,2)</f>
        <v>24481527</v>
      </c>
      <c r="AX7" s="306">
        <f t="shared" ref="AX7:AX38" si="20">ROUND(AW7/C7,2)</f>
        <v>2592.2800000000002</v>
      </c>
      <c r="AY7" s="311">
        <f>RANK(AX7,$AX$7:$AX$75)</f>
        <v>64</v>
      </c>
      <c r="AZ7" s="308">
        <f>AW7/BA7</f>
        <v>0.30510412614979526</v>
      </c>
      <c r="BA7" s="311">
        <f>AS7+AW7</f>
        <v>80239907.958440527</v>
      </c>
      <c r="BB7" s="312">
        <f t="shared" ref="BB7:BB38" si="21">BA7/C7</f>
        <v>8496.3900845447406</v>
      </c>
      <c r="BC7" s="311">
        <f>RANK(BB7,$BB$7:$BB$75)</f>
        <v>69</v>
      </c>
    </row>
    <row r="8" spans="1:55" s="313" customFormat="1" ht="15.6" customHeight="1" x14ac:dyDescent="0.2">
      <c r="A8" s="683">
        <v>2</v>
      </c>
      <c r="B8" s="298" t="s">
        <v>6</v>
      </c>
      <c r="C8" s="298">
        <f>'8_2.1.19 SIS'!AV8</f>
        <v>4001</v>
      </c>
      <c r="D8" s="299">
        <f>'[8]Econ. Disad.'!$AV8</f>
        <v>2687</v>
      </c>
      <c r="E8" s="299">
        <f t="shared" ref="E8:E71" si="22">$D$1*D8</f>
        <v>591.14</v>
      </c>
      <c r="F8" s="299">
        <f>[8]CTE!$AV8</f>
        <v>1981</v>
      </c>
      <c r="G8" s="299">
        <f t="shared" ref="G8:G71" si="23">$F$1*F8</f>
        <v>118.86</v>
      </c>
      <c r="H8" s="299">
        <f>[8]SWD!$AV8</f>
        <v>478</v>
      </c>
      <c r="I8" s="299">
        <f t="shared" ref="I8:I71" si="24">$H$1*H8</f>
        <v>717</v>
      </c>
      <c r="J8" s="299">
        <f>[8]GT!$AV8</f>
        <v>39</v>
      </c>
      <c r="K8" s="299">
        <f t="shared" ref="K8:K71" si="25">$J$1*J8</f>
        <v>23.4</v>
      </c>
      <c r="L8" s="299">
        <f t="shared" si="1"/>
        <v>3499</v>
      </c>
      <c r="M8" s="301">
        <f t="shared" si="2"/>
        <v>9.3310000000000004E-2</v>
      </c>
      <c r="N8" s="299">
        <f t="shared" si="3"/>
        <v>373.33331000000004</v>
      </c>
      <c r="O8" s="299">
        <f t="shared" ref="O8:O71" si="26">E8+G8+I8+K8+N8</f>
        <v>1823.7333100000001</v>
      </c>
      <c r="P8" s="299">
        <f t="shared" si="4"/>
        <v>5824.7333099999996</v>
      </c>
      <c r="Q8" s="302">
        <f t="shared" ref="Q8:Q71" si="27">$Q$1</f>
        <v>4015</v>
      </c>
      <c r="R8" s="302">
        <f t="shared" si="5"/>
        <v>23386304</v>
      </c>
      <c r="S8" s="302">
        <f>'6_Local Deduct Calc'!J8</f>
        <v>3458442</v>
      </c>
      <c r="T8" s="302">
        <f t="shared" ref="T8:T71" si="28">ROUND(IF((S8&gt;R8*$T$1),R8*$T$1,S8),0)</f>
        <v>3458442</v>
      </c>
      <c r="U8" s="303">
        <f t="shared" ref="U8:U71" si="29">R8-T8</f>
        <v>19927862</v>
      </c>
      <c r="V8" s="304">
        <f>ROUND(U8/R8,4)</f>
        <v>0.85209999999999997</v>
      </c>
      <c r="W8" s="304">
        <f t="shared" ref="W8:W71" si="30">ROUND(T8/R8,4)</f>
        <v>0.1479</v>
      </c>
      <c r="X8" s="305">
        <f t="shared" si="6"/>
        <v>864.39440139965006</v>
      </c>
      <c r="Y8" s="302">
        <f>'7_Local Revenue'!AQ8</f>
        <v>12331269</v>
      </c>
      <c r="Z8" s="302">
        <f t="shared" ref="Z8:Z71" si="31">IF(Y8-T8&gt;0,Y8-T8,0)</f>
        <v>8872827</v>
      </c>
      <c r="AA8" s="31">
        <f t="shared" ref="AA8:AA71" si="32">IF(Y8-T8&lt;0,Y8-T8,0)</f>
        <v>0</v>
      </c>
      <c r="AB8" s="306">
        <f t="shared" si="7"/>
        <v>7951343.3600000003</v>
      </c>
      <c r="AC8" s="306">
        <f t="shared" si="8"/>
        <v>7951343.3600000003</v>
      </c>
      <c r="AD8" s="302">
        <f t="shared" si="9"/>
        <v>2022726.3346636801</v>
      </c>
      <c r="AE8" s="307">
        <f t="shared" ref="AE8:AE71" si="33">ROUND(IF(AC8-AD8&gt;AC8*$AE$1,AC8-AD8,AC8*$AE$1),0)</f>
        <v>5928617</v>
      </c>
      <c r="AF8" s="306">
        <f t="shared" si="10"/>
        <v>1482</v>
      </c>
      <c r="AG8" s="308">
        <f t="shared" ref="AG8:AG71" si="34">IF(AC8=0,0,ROUND(AE8/AC8,4))</f>
        <v>0.74560000000000004</v>
      </c>
      <c r="AH8" s="307">
        <f t="shared" si="11"/>
        <v>25856479</v>
      </c>
      <c r="AI8" s="306">
        <f t="shared" si="12"/>
        <v>6463</v>
      </c>
      <c r="AJ8" s="307">
        <f>'3A_Level 3'!J8</f>
        <v>677769</v>
      </c>
      <c r="AK8" s="306">
        <f t="shared" si="13"/>
        <v>169.39990002499374</v>
      </c>
      <c r="AL8" s="307">
        <f t="shared" ref="AL8:AL71" si="35">AJ8+AH8</f>
        <v>26534248</v>
      </c>
      <c r="AM8" s="306">
        <f t="shared" si="14"/>
        <v>6631.9040239940014</v>
      </c>
      <c r="AN8" s="309">
        <f>'3A_Level 3'!K8</f>
        <v>4047891</v>
      </c>
      <c r="AO8" s="310">
        <f t="shared" si="15"/>
        <v>1011.7198200449888</v>
      </c>
      <c r="AP8" s="307">
        <f t="shared" ref="AP8:AP71" si="36">AH8+AN8</f>
        <v>29904370</v>
      </c>
      <c r="AQ8" s="306">
        <f t="shared" si="16"/>
        <v>7474.2239440139965</v>
      </c>
      <c r="AR8" s="306">
        <f>'3A_Level 3'!L8</f>
        <v>640117.04397095379</v>
      </c>
      <c r="AS8" s="1095">
        <f t="shared" si="17"/>
        <v>30544487.043970954</v>
      </c>
      <c r="AT8" s="306">
        <f t="shared" si="18"/>
        <v>7634.2132076908156</v>
      </c>
      <c r="AU8" s="308">
        <f t="shared" ref="AU8:AU71" si="37">AS8/BA8</f>
        <v>0.7280423492955137</v>
      </c>
      <c r="AV8" s="311">
        <f t="shared" ref="AV8:AV71" si="38">RANK(AU8,$AU$7:$AU$75)</f>
        <v>8</v>
      </c>
      <c r="AW8" s="306">
        <f t="shared" si="19"/>
        <v>11409785.359999999</v>
      </c>
      <c r="AX8" s="306">
        <f t="shared" si="20"/>
        <v>2851.73</v>
      </c>
      <c r="AY8" s="311">
        <f t="shared" ref="AY8:AY71" si="39">RANK(AX8,$AX$7:$AX$75)</f>
        <v>57</v>
      </c>
      <c r="AZ8" s="308">
        <f t="shared" ref="AZ8:AZ71" si="40">AW8/BA8</f>
        <v>0.27195765070448624</v>
      </c>
      <c r="BA8" s="312">
        <f t="shared" ref="BA8:BA71" si="41">AS8+AW8</f>
        <v>41954272.403970957</v>
      </c>
      <c r="BB8" s="312">
        <f t="shared" si="21"/>
        <v>10485.946614339155</v>
      </c>
      <c r="BC8" s="311">
        <f t="shared" ref="BC8:BC71" si="42">RANK(BB8,$BB$7:$BB$75)</f>
        <v>10</v>
      </c>
    </row>
    <row r="9" spans="1:55" s="313" customFormat="1" ht="15.6" customHeight="1" x14ac:dyDescent="0.2">
      <c r="A9" s="683">
        <v>3</v>
      </c>
      <c r="B9" s="298" t="s">
        <v>7</v>
      </c>
      <c r="C9" s="298">
        <f>'8_2.1.19 SIS'!AV9</f>
        <v>22388</v>
      </c>
      <c r="D9" s="299">
        <f>'[8]Econ. Disad.'!$AV9</f>
        <v>11349</v>
      </c>
      <c r="E9" s="299">
        <f t="shared" si="22"/>
        <v>2496.7800000000002</v>
      </c>
      <c r="F9" s="299">
        <f>[8]CTE!$AV9</f>
        <v>11860</v>
      </c>
      <c r="G9" s="299">
        <f t="shared" si="23"/>
        <v>711.6</v>
      </c>
      <c r="H9" s="299">
        <f>[8]SWD!$AV9</f>
        <v>2266</v>
      </c>
      <c r="I9" s="299">
        <f t="shared" si="24"/>
        <v>3399</v>
      </c>
      <c r="J9" s="299">
        <f>[8]GT!$AV9</f>
        <v>540</v>
      </c>
      <c r="K9" s="299">
        <f t="shared" si="25"/>
        <v>324</v>
      </c>
      <c r="L9" s="299">
        <f t="shared" si="1"/>
        <v>0</v>
      </c>
      <c r="M9" s="301">
        <f t="shared" si="2"/>
        <v>0</v>
      </c>
      <c r="N9" s="299">
        <f t="shared" si="3"/>
        <v>0</v>
      </c>
      <c r="O9" s="299">
        <f t="shared" si="26"/>
        <v>6931.38</v>
      </c>
      <c r="P9" s="299">
        <f t="shared" si="4"/>
        <v>29319.38</v>
      </c>
      <c r="Q9" s="302">
        <f t="shared" si="27"/>
        <v>4015</v>
      </c>
      <c r="R9" s="302">
        <f t="shared" si="5"/>
        <v>117717311</v>
      </c>
      <c r="S9" s="302">
        <f>'6_Local Deduct Calc'!J9</f>
        <v>42663611</v>
      </c>
      <c r="T9" s="302">
        <f t="shared" si="28"/>
        <v>42663611</v>
      </c>
      <c r="U9" s="303">
        <f t="shared" si="29"/>
        <v>75053700</v>
      </c>
      <c r="V9" s="304">
        <f t="shared" ref="V9:V71" si="43">ROUND(U9/R9,4)</f>
        <v>0.63759999999999994</v>
      </c>
      <c r="W9" s="304">
        <f t="shared" si="30"/>
        <v>0.3624</v>
      </c>
      <c r="X9" s="305">
        <f t="shared" si="6"/>
        <v>1905.6463730569949</v>
      </c>
      <c r="Y9" s="302">
        <f>'7_Local Revenue'!AQ9</f>
        <v>140018046</v>
      </c>
      <c r="Z9" s="302">
        <f t="shared" si="31"/>
        <v>97354435</v>
      </c>
      <c r="AA9" s="31">
        <f t="shared" si="32"/>
        <v>0</v>
      </c>
      <c r="AB9" s="306">
        <f t="shared" si="7"/>
        <v>40023885.740000002</v>
      </c>
      <c r="AC9" s="306">
        <f t="shared" si="8"/>
        <v>40023885.740000002</v>
      </c>
      <c r="AD9" s="302">
        <f t="shared" si="9"/>
        <v>24948008.650542721</v>
      </c>
      <c r="AE9" s="307">
        <f t="shared" si="33"/>
        <v>15075877</v>
      </c>
      <c r="AF9" s="306">
        <f t="shared" si="10"/>
        <v>673</v>
      </c>
      <c r="AG9" s="308">
        <f t="shared" si="34"/>
        <v>0.37669999999999998</v>
      </c>
      <c r="AH9" s="307">
        <f t="shared" si="11"/>
        <v>90129577</v>
      </c>
      <c r="AI9" s="306">
        <f t="shared" si="12"/>
        <v>4026</v>
      </c>
      <c r="AJ9" s="307">
        <f>'3A_Level 3'!J9</f>
        <v>3792525</v>
      </c>
      <c r="AK9" s="306">
        <f t="shared" si="13"/>
        <v>169.39990173307129</v>
      </c>
      <c r="AL9" s="307">
        <f>AJ9+AH9</f>
        <v>93922102</v>
      </c>
      <c r="AM9" s="306">
        <f t="shared" si="14"/>
        <v>4195.1984098624262</v>
      </c>
      <c r="AN9" s="309">
        <f>'3A_Level 3'!K9</f>
        <v>17154579</v>
      </c>
      <c r="AO9" s="310">
        <f t="shared" si="15"/>
        <v>766.23990530641413</v>
      </c>
      <c r="AP9" s="307">
        <f t="shared" si="36"/>
        <v>107284156</v>
      </c>
      <c r="AQ9" s="306">
        <f t="shared" si="16"/>
        <v>4792.0384134357691</v>
      </c>
      <c r="AR9" s="306">
        <f>'3A_Level 3'!L9</f>
        <v>3055422.4529477688</v>
      </c>
      <c r="AS9" s="1095">
        <f t="shared" si="17"/>
        <v>110339578.45294777</v>
      </c>
      <c r="AT9" s="306">
        <f t="shared" si="18"/>
        <v>4928.5143136031702</v>
      </c>
      <c r="AU9" s="308">
        <f t="shared" si="37"/>
        <v>0.57162746906180661</v>
      </c>
      <c r="AV9" s="311">
        <f t="shared" si="38"/>
        <v>50</v>
      </c>
      <c r="AW9" s="306">
        <f t="shared" si="19"/>
        <v>82687496.739999995</v>
      </c>
      <c r="AX9" s="306">
        <f t="shared" si="20"/>
        <v>3693.38</v>
      </c>
      <c r="AY9" s="311">
        <f t="shared" si="39"/>
        <v>29</v>
      </c>
      <c r="AZ9" s="308">
        <f t="shared" si="40"/>
        <v>0.42837253093819344</v>
      </c>
      <c r="BA9" s="312">
        <f t="shared" si="41"/>
        <v>193027075.19294775</v>
      </c>
      <c r="BB9" s="312">
        <f t="shared" si="21"/>
        <v>8621.8990170157122</v>
      </c>
      <c r="BC9" s="311">
        <f t="shared" si="42"/>
        <v>67</v>
      </c>
    </row>
    <row r="10" spans="1:55" s="313" customFormat="1" ht="15.6" customHeight="1" x14ac:dyDescent="0.2">
      <c r="A10" s="683">
        <v>4</v>
      </c>
      <c r="B10" s="298" t="s">
        <v>8</v>
      </c>
      <c r="C10" s="298">
        <f>'8_2.1.19 SIS'!AV10</f>
        <v>3149</v>
      </c>
      <c r="D10" s="299">
        <f>'[8]Econ. Disad.'!$AV10</f>
        <v>2253</v>
      </c>
      <c r="E10" s="299">
        <f t="shared" si="22"/>
        <v>495.66</v>
      </c>
      <c r="F10" s="299">
        <f>[8]CTE!$AV10</f>
        <v>1426</v>
      </c>
      <c r="G10" s="299">
        <f t="shared" si="23"/>
        <v>85.56</v>
      </c>
      <c r="H10" s="299">
        <f>[8]SWD!$AV10</f>
        <v>448</v>
      </c>
      <c r="I10" s="299">
        <f t="shared" si="24"/>
        <v>672</v>
      </c>
      <c r="J10" s="299">
        <f>[8]GT!$AV10</f>
        <v>102</v>
      </c>
      <c r="K10" s="299">
        <f t="shared" si="25"/>
        <v>61.199999999999996</v>
      </c>
      <c r="L10" s="299">
        <f t="shared" si="1"/>
        <v>4351</v>
      </c>
      <c r="M10" s="301">
        <f t="shared" si="2"/>
        <v>0.11602999999999999</v>
      </c>
      <c r="N10" s="299">
        <f t="shared" si="3"/>
        <v>365.37846999999999</v>
      </c>
      <c r="O10" s="299">
        <f t="shared" si="26"/>
        <v>1679.7984700000002</v>
      </c>
      <c r="P10" s="299">
        <f t="shared" si="4"/>
        <v>4828.7984699999997</v>
      </c>
      <c r="Q10" s="302">
        <f t="shared" si="27"/>
        <v>4015</v>
      </c>
      <c r="R10" s="302">
        <f t="shared" si="5"/>
        <v>19387626</v>
      </c>
      <c r="S10" s="302">
        <f>'6_Local Deduct Calc'!J10</f>
        <v>4412366</v>
      </c>
      <c r="T10" s="302">
        <f t="shared" si="28"/>
        <v>4412366</v>
      </c>
      <c r="U10" s="303">
        <f t="shared" si="29"/>
        <v>14975260</v>
      </c>
      <c r="V10" s="304">
        <f t="shared" si="43"/>
        <v>0.77239999999999998</v>
      </c>
      <c r="W10" s="304">
        <f t="shared" si="30"/>
        <v>0.2276</v>
      </c>
      <c r="X10" s="305">
        <f t="shared" si="6"/>
        <v>1401.1959352175293</v>
      </c>
      <c r="Y10" s="302">
        <f>'7_Local Revenue'!AQ10</f>
        <v>13629898</v>
      </c>
      <c r="Z10" s="302">
        <f t="shared" si="31"/>
        <v>9217532</v>
      </c>
      <c r="AA10" s="31">
        <f t="shared" si="32"/>
        <v>0</v>
      </c>
      <c r="AB10" s="306">
        <f t="shared" si="7"/>
        <v>6591792.8400000008</v>
      </c>
      <c r="AC10" s="306">
        <f t="shared" si="8"/>
        <v>6591792.8400000008</v>
      </c>
      <c r="AD10" s="302">
        <f t="shared" si="9"/>
        <v>2580502.3266604804</v>
      </c>
      <c r="AE10" s="307">
        <f t="shared" si="33"/>
        <v>4011291</v>
      </c>
      <c r="AF10" s="306">
        <f t="shared" si="10"/>
        <v>1274</v>
      </c>
      <c r="AG10" s="308">
        <f t="shared" si="34"/>
        <v>0.60850000000000004</v>
      </c>
      <c r="AH10" s="307">
        <f t="shared" si="11"/>
        <v>18986551</v>
      </c>
      <c r="AI10" s="306">
        <f t="shared" si="12"/>
        <v>6029</v>
      </c>
      <c r="AJ10" s="307">
        <f>'3A_Level 3'!J10</f>
        <v>533440</v>
      </c>
      <c r="AK10" s="306">
        <f t="shared" si="13"/>
        <v>169.3998094633217</v>
      </c>
      <c r="AL10" s="307">
        <f t="shared" si="35"/>
        <v>19519991</v>
      </c>
      <c r="AM10" s="306">
        <f t="shared" si="14"/>
        <v>6198.7904096538587</v>
      </c>
      <c r="AN10" s="309">
        <f>'3A_Level 3'!K10</f>
        <v>2377998</v>
      </c>
      <c r="AO10" s="310">
        <f t="shared" si="15"/>
        <v>755.15973324865035</v>
      </c>
      <c r="AP10" s="307">
        <f t="shared" si="36"/>
        <v>21364549</v>
      </c>
      <c r="AQ10" s="306">
        <f t="shared" si="16"/>
        <v>6784.5503334391869</v>
      </c>
      <c r="AR10" s="306">
        <f>'3A_Level 3'!L10</f>
        <v>444501.4182952306</v>
      </c>
      <c r="AS10" s="1095">
        <f t="shared" si="17"/>
        <v>21809050.418295231</v>
      </c>
      <c r="AT10" s="306">
        <f t="shared" si="18"/>
        <v>6925.7067063497079</v>
      </c>
      <c r="AU10" s="308">
        <f t="shared" si="37"/>
        <v>0.66464240808088193</v>
      </c>
      <c r="AV10" s="311">
        <f t="shared" si="38"/>
        <v>28</v>
      </c>
      <c r="AW10" s="306">
        <f t="shared" si="19"/>
        <v>11004158.84</v>
      </c>
      <c r="AX10" s="306">
        <f t="shared" si="20"/>
        <v>3494.49</v>
      </c>
      <c r="AY10" s="311">
        <f t="shared" si="39"/>
        <v>35</v>
      </c>
      <c r="AZ10" s="308">
        <f t="shared" si="40"/>
        <v>0.33535759191911813</v>
      </c>
      <c r="BA10" s="312">
        <f t="shared" si="41"/>
        <v>32813209.258295231</v>
      </c>
      <c r="BB10" s="312">
        <f t="shared" si="21"/>
        <v>10420.199827975621</v>
      </c>
      <c r="BC10" s="311">
        <f t="shared" si="42"/>
        <v>13</v>
      </c>
    </row>
    <row r="11" spans="1:55" s="315" customFormat="1" ht="15.6" customHeight="1" x14ac:dyDescent="0.2">
      <c r="A11" s="684">
        <v>5</v>
      </c>
      <c r="B11" s="685" t="s">
        <v>9</v>
      </c>
      <c r="C11" s="685">
        <f>'8_2.1.19 SIS'!AV11</f>
        <v>5131</v>
      </c>
      <c r="D11" s="686">
        <f>'[8]Econ. Disad.'!$AV11</f>
        <v>4073</v>
      </c>
      <c r="E11" s="686">
        <f t="shared" si="22"/>
        <v>896.06000000000006</v>
      </c>
      <c r="F11" s="686">
        <f>[8]CTE!$AV11</f>
        <v>3485.5</v>
      </c>
      <c r="G11" s="686">
        <f t="shared" si="23"/>
        <v>209.13</v>
      </c>
      <c r="H11" s="686">
        <f>[8]SWD!$AV11</f>
        <v>579</v>
      </c>
      <c r="I11" s="686">
        <f t="shared" si="24"/>
        <v>868.5</v>
      </c>
      <c r="J11" s="686">
        <f>[8]GT!$AV11</f>
        <v>24</v>
      </c>
      <c r="K11" s="686">
        <f t="shared" si="25"/>
        <v>14.399999999999999</v>
      </c>
      <c r="L11" s="686">
        <f t="shared" si="1"/>
        <v>2369</v>
      </c>
      <c r="M11" s="687">
        <f t="shared" si="2"/>
        <v>6.3170000000000004E-2</v>
      </c>
      <c r="N11" s="686">
        <f t="shared" si="3"/>
        <v>324.12527</v>
      </c>
      <c r="O11" s="686">
        <f t="shared" si="26"/>
        <v>2312.2152700000001</v>
      </c>
      <c r="P11" s="314">
        <f t="shared" si="4"/>
        <v>7443.2152700000006</v>
      </c>
      <c r="Q11" s="606">
        <f t="shared" si="27"/>
        <v>4015</v>
      </c>
      <c r="R11" s="606">
        <f t="shared" si="5"/>
        <v>29884509</v>
      </c>
      <c r="S11" s="606">
        <f>'6_Local Deduct Calc'!J11</f>
        <v>5935660</v>
      </c>
      <c r="T11" s="606">
        <f t="shared" si="28"/>
        <v>5935660</v>
      </c>
      <c r="U11" s="607">
        <f t="shared" si="29"/>
        <v>23948849</v>
      </c>
      <c r="V11" s="688">
        <f t="shared" si="43"/>
        <v>0.8014</v>
      </c>
      <c r="W11" s="608">
        <f t="shared" si="30"/>
        <v>0.1986</v>
      </c>
      <c r="X11" s="609">
        <f t="shared" si="6"/>
        <v>1156.8232313389203</v>
      </c>
      <c r="Y11" s="606">
        <f>'7_Local Revenue'!AQ11</f>
        <v>11815443</v>
      </c>
      <c r="Z11" s="606">
        <f t="shared" si="31"/>
        <v>5879783</v>
      </c>
      <c r="AA11" s="689">
        <f t="shared" si="32"/>
        <v>0</v>
      </c>
      <c r="AB11" s="690">
        <f t="shared" si="7"/>
        <v>10160733.060000001</v>
      </c>
      <c r="AC11" s="690">
        <f t="shared" si="8"/>
        <v>5879783</v>
      </c>
      <c r="AD11" s="606">
        <f t="shared" si="9"/>
        <v>2008486.8345360002</v>
      </c>
      <c r="AE11" s="691">
        <f t="shared" si="33"/>
        <v>3871296</v>
      </c>
      <c r="AF11" s="690">
        <f t="shared" si="10"/>
        <v>754</v>
      </c>
      <c r="AG11" s="692">
        <f t="shared" si="34"/>
        <v>0.65839999999999999</v>
      </c>
      <c r="AH11" s="691">
        <f t="shared" si="11"/>
        <v>27820145</v>
      </c>
      <c r="AI11" s="690">
        <f t="shared" si="12"/>
        <v>5422</v>
      </c>
      <c r="AJ11" s="691">
        <f>'3A_Level 3'!J11</f>
        <v>869191</v>
      </c>
      <c r="AK11" s="690">
        <f t="shared" si="13"/>
        <v>169.39992204248685</v>
      </c>
      <c r="AL11" s="691">
        <f t="shared" si="35"/>
        <v>28689336</v>
      </c>
      <c r="AM11" s="690">
        <f t="shared" si="14"/>
        <v>5591.3732215942309</v>
      </c>
      <c r="AN11" s="693">
        <f>'3A_Level 3'!K11</f>
        <v>3721565</v>
      </c>
      <c r="AO11" s="694">
        <f t="shared" si="15"/>
        <v>725.30988111479246</v>
      </c>
      <c r="AP11" s="691">
        <f t="shared" si="36"/>
        <v>31541710</v>
      </c>
      <c r="AQ11" s="690">
        <f t="shared" si="16"/>
        <v>6147.2831806665372</v>
      </c>
      <c r="AR11" s="957">
        <f>'3A_Level 3'!L11</f>
        <v>629593.89246904687</v>
      </c>
      <c r="AS11" s="1096">
        <f t="shared" si="17"/>
        <v>32171303.892469049</v>
      </c>
      <c r="AT11" s="961">
        <f t="shared" si="18"/>
        <v>6269.9871160532157</v>
      </c>
      <c r="AU11" s="692">
        <f t="shared" si="37"/>
        <v>0.73138629622044371</v>
      </c>
      <c r="AV11" s="695">
        <f t="shared" si="38"/>
        <v>7</v>
      </c>
      <c r="AW11" s="690">
        <f t="shared" si="19"/>
        <v>11815443</v>
      </c>
      <c r="AX11" s="690">
        <f t="shared" si="20"/>
        <v>2302.7600000000002</v>
      </c>
      <c r="AY11" s="695">
        <f t="shared" si="39"/>
        <v>66</v>
      </c>
      <c r="AZ11" s="692">
        <f t="shared" si="40"/>
        <v>0.26861370377955629</v>
      </c>
      <c r="BA11" s="696">
        <f t="shared" si="41"/>
        <v>43986746.892469049</v>
      </c>
      <c r="BB11" s="696">
        <f t="shared" si="21"/>
        <v>8572.7434988246059</v>
      </c>
      <c r="BC11" s="695">
        <f t="shared" si="42"/>
        <v>68</v>
      </c>
    </row>
    <row r="12" spans="1:55" s="313" customFormat="1" ht="15.6" customHeight="1" x14ac:dyDescent="0.2">
      <c r="A12" s="683">
        <v>6</v>
      </c>
      <c r="B12" s="298" t="s">
        <v>10</v>
      </c>
      <c r="C12" s="299">
        <f>'8_2.1.19 SIS'!AV12</f>
        <v>5787</v>
      </c>
      <c r="D12" s="299">
        <f>'[8]Econ. Disad.'!$AV12</f>
        <v>3517</v>
      </c>
      <c r="E12" s="299">
        <f t="shared" si="22"/>
        <v>773.74</v>
      </c>
      <c r="F12" s="299">
        <f>[8]CTE!$AV12</f>
        <v>2341</v>
      </c>
      <c r="G12" s="299">
        <f t="shared" si="23"/>
        <v>140.46</v>
      </c>
      <c r="H12" s="299">
        <f>[8]SWD!$AV12</f>
        <v>904</v>
      </c>
      <c r="I12" s="299">
        <f t="shared" si="24"/>
        <v>1356</v>
      </c>
      <c r="J12" s="299">
        <f>[8]GT!$AV12</f>
        <v>60</v>
      </c>
      <c r="K12" s="299">
        <f t="shared" si="25"/>
        <v>36</v>
      </c>
      <c r="L12" s="300">
        <f t="shared" si="1"/>
        <v>1713</v>
      </c>
      <c r="M12" s="301">
        <f t="shared" si="2"/>
        <v>4.5679999999999998E-2</v>
      </c>
      <c r="N12" s="299">
        <f t="shared" si="3"/>
        <v>264.35016000000002</v>
      </c>
      <c r="O12" s="299">
        <f t="shared" si="26"/>
        <v>2570.5501599999998</v>
      </c>
      <c r="P12" s="299">
        <f t="shared" si="4"/>
        <v>8357.5501599999989</v>
      </c>
      <c r="Q12" s="302">
        <f t="shared" si="27"/>
        <v>4015</v>
      </c>
      <c r="R12" s="302">
        <f t="shared" si="5"/>
        <v>33555564</v>
      </c>
      <c r="S12" s="302">
        <f>'6_Local Deduct Calc'!J12</f>
        <v>7854914</v>
      </c>
      <c r="T12" s="302">
        <f t="shared" si="28"/>
        <v>7854914</v>
      </c>
      <c r="U12" s="303">
        <f t="shared" si="29"/>
        <v>25700650</v>
      </c>
      <c r="V12" s="304">
        <f t="shared" si="43"/>
        <v>0.76590000000000003</v>
      </c>
      <c r="W12" s="304">
        <f t="shared" si="30"/>
        <v>0.2341</v>
      </c>
      <c r="X12" s="305">
        <f t="shared" si="6"/>
        <v>1357.3378261620874</v>
      </c>
      <c r="Y12" s="302">
        <f>'7_Local Revenue'!AQ12</f>
        <v>23363993</v>
      </c>
      <c r="Z12" s="302">
        <f t="shared" si="31"/>
        <v>15509079</v>
      </c>
      <c r="AA12" s="31">
        <f t="shared" si="32"/>
        <v>0</v>
      </c>
      <c r="AB12" s="306">
        <f t="shared" si="7"/>
        <v>11408891.760000002</v>
      </c>
      <c r="AC12" s="306">
        <f t="shared" si="8"/>
        <v>11408891.760000002</v>
      </c>
      <c r="AD12" s="302">
        <f t="shared" si="9"/>
        <v>4593813.0849475209</v>
      </c>
      <c r="AE12" s="307">
        <f t="shared" si="33"/>
        <v>6815079</v>
      </c>
      <c r="AF12" s="306">
        <f t="shared" si="10"/>
        <v>1178</v>
      </c>
      <c r="AG12" s="308">
        <f t="shared" si="34"/>
        <v>0.59730000000000005</v>
      </c>
      <c r="AH12" s="307">
        <f t="shared" si="11"/>
        <v>32515729</v>
      </c>
      <c r="AI12" s="306">
        <f t="shared" si="12"/>
        <v>5619</v>
      </c>
      <c r="AJ12" s="307">
        <f>'3A_Level 3'!J12</f>
        <v>980317</v>
      </c>
      <c r="AK12" s="306">
        <f t="shared" si="13"/>
        <v>169.39986175911525</v>
      </c>
      <c r="AL12" s="307">
        <f t="shared" si="35"/>
        <v>33496046</v>
      </c>
      <c r="AM12" s="306">
        <f t="shared" si="14"/>
        <v>5788.1537929842752</v>
      </c>
      <c r="AN12" s="309">
        <f>'3A_Level 3'!K12</f>
        <v>4137010</v>
      </c>
      <c r="AO12" s="310">
        <f t="shared" si="15"/>
        <v>714.87990323138069</v>
      </c>
      <c r="AP12" s="307">
        <f t="shared" si="36"/>
        <v>36652739</v>
      </c>
      <c r="AQ12" s="306">
        <f t="shared" si="16"/>
        <v>6333.6338344565402</v>
      </c>
      <c r="AR12" s="306">
        <f>'3A_Level 3'!L12</f>
        <v>856909.82372052257</v>
      </c>
      <c r="AS12" s="1095">
        <f t="shared" si="17"/>
        <v>37509648.823720522</v>
      </c>
      <c r="AT12" s="306">
        <f t="shared" si="18"/>
        <v>6481.7087996752243</v>
      </c>
      <c r="AU12" s="308">
        <f t="shared" si="37"/>
        <v>0.66068991395278265</v>
      </c>
      <c r="AV12" s="311">
        <f t="shared" si="38"/>
        <v>30</v>
      </c>
      <c r="AW12" s="306">
        <f t="shared" si="19"/>
        <v>19263805.760000002</v>
      </c>
      <c r="AX12" s="306">
        <f t="shared" si="20"/>
        <v>3328.81</v>
      </c>
      <c r="AY12" s="311">
        <f t="shared" si="39"/>
        <v>46</v>
      </c>
      <c r="AZ12" s="308">
        <f t="shared" si="40"/>
        <v>0.33931008604721746</v>
      </c>
      <c r="BA12" s="312">
        <f t="shared" si="41"/>
        <v>56773454.58372052</v>
      </c>
      <c r="BB12" s="312">
        <f t="shared" si="21"/>
        <v>9810.5157393676382</v>
      </c>
      <c r="BC12" s="311">
        <f t="shared" si="42"/>
        <v>28</v>
      </c>
    </row>
    <row r="13" spans="1:55" s="313" customFormat="1" ht="15.6" customHeight="1" x14ac:dyDescent="0.2">
      <c r="A13" s="683">
        <v>7</v>
      </c>
      <c r="B13" s="298" t="s">
        <v>11</v>
      </c>
      <c r="C13" s="298">
        <f>'8_2.1.19 SIS'!AV13</f>
        <v>2086</v>
      </c>
      <c r="D13" s="299">
        <f>'[8]Econ. Disad.'!$AV13</f>
        <v>1557</v>
      </c>
      <c r="E13" s="299">
        <f t="shared" si="22"/>
        <v>342.54</v>
      </c>
      <c r="F13" s="299">
        <f>[8]CTE!$AV13</f>
        <v>897</v>
      </c>
      <c r="G13" s="299">
        <f t="shared" si="23"/>
        <v>53.82</v>
      </c>
      <c r="H13" s="299">
        <f>[8]SWD!$AV13</f>
        <v>278</v>
      </c>
      <c r="I13" s="299">
        <f t="shared" si="24"/>
        <v>417</v>
      </c>
      <c r="J13" s="299">
        <f>[8]GT!$AV13</f>
        <v>61</v>
      </c>
      <c r="K13" s="299">
        <f t="shared" si="25"/>
        <v>36.6</v>
      </c>
      <c r="L13" s="299">
        <f t="shared" si="1"/>
        <v>5414</v>
      </c>
      <c r="M13" s="301">
        <f t="shared" si="2"/>
        <v>0.14437</v>
      </c>
      <c r="N13" s="299">
        <f t="shared" si="3"/>
        <v>301.15582000000001</v>
      </c>
      <c r="O13" s="299">
        <f t="shared" si="26"/>
        <v>1151.11582</v>
      </c>
      <c r="P13" s="299">
        <f t="shared" si="4"/>
        <v>3237.11582</v>
      </c>
      <c r="Q13" s="302">
        <f t="shared" si="27"/>
        <v>4015</v>
      </c>
      <c r="R13" s="302">
        <f t="shared" si="5"/>
        <v>12997020</v>
      </c>
      <c r="S13" s="302">
        <f>'6_Local Deduct Calc'!J13</f>
        <v>7157557</v>
      </c>
      <c r="T13" s="302">
        <f t="shared" si="28"/>
        <v>7157557</v>
      </c>
      <c r="U13" s="303">
        <f t="shared" si="29"/>
        <v>5839463</v>
      </c>
      <c r="V13" s="304">
        <f t="shared" si="43"/>
        <v>0.44929999999999998</v>
      </c>
      <c r="W13" s="304">
        <f t="shared" si="30"/>
        <v>0.55069999999999997</v>
      </c>
      <c r="X13" s="305">
        <f t="shared" si="6"/>
        <v>3431.2353787152447</v>
      </c>
      <c r="Y13" s="302">
        <f>'7_Local Revenue'!AQ13</f>
        <v>26378524</v>
      </c>
      <c r="Z13" s="302">
        <f t="shared" si="31"/>
        <v>19220967</v>
      </c>
      <c r="AA13" s="31">
        <f t="shared" si="32"/>
        <v>0</v>
      </c>
      <c r="AB13" s="306">
        <f t="shared" si="7"/>
        <v>4418986.8000000007</v>
      </c>
      <c r="AC13" s="306">
        <f t="shared" si="8"/>
        <v>4418986.8000000007</v>
      </c>
      <c r="AD13" s="302">
        <f t="shared" si="9"/>
        <v>4185681.9729072005</v>
      </c>
      <c r="AE13" s="307">
        <f t="shared" si="33"/>
        <v>233305</v>
      </c>
      <c r="AF13" s="306">
        <f t="shared" si="10"/>
        <v>112</v>
      </c>
      <c r="AG13" s="308">
        <f t="shared" si="34"/>
        <v>5.28E-2</v>
      </c>
      <c r="AH13" s="307">
        <f t="shared" si="11"/>
        <v>6072768</v>
      </c>
      <c r="AI13" s="306">
        <f t="shared" si="12"/>
        <v>2911</v>
      </c>
      <c r="AJ13" s="307">
        <f>'3A_Level 3'!J13</f>
        <v>353368</v>
      </c>
      <c r="AK13" s="306">
        <f t="shared" si="13"/>
        <v>169.39980824544583</v>
      </c>
      <c r="AL13" s="307">
        <f t="shared" si="35"/>
        <v>6426136</v>
      </c>
      <c r="AM13" s="306">
        <f t="shared" si="14"/>
        <v>3080.6021093000959</v>
      </c>
      <c r="AN13" s="309">
        <f>'3A_Level 3'!K13</f>
        <v>1932303</v>
      </c>
      <c r="AO13" s="310">
        <f t="shared" si="15"/>
        <v>926.31975071907959</v>
      </c>
      <c r="AP13" s="307">
        <f t="shared" si="36"/>
        <v>8005071</v>
      </c>
      <c r="AQ13" s="306">
        <f t="shared" si="16"/>
        <v>3837.5220517737298</v>
      </c>
      <c r="AR13" s="306">
        <f>'3A_Level 3'!L13</f>
        <v>402722.51328408998</v>
      </c>
      <c r="AS13" s="1095">
        <f t="shared" si="17"/>
        <v>8407793.5132840909</v>
      </c>
      <c r="AT13" s="306">
        <f t="shared" si="18"/>
        <v>4030.5817417469275</v>
      </c>
      <c r="AU13" s="308">
        <f t="shared" si="37"/>
        <v>0.42071915528043152</v>
      </c>
      <c r="AV13" s="311">
        <f t="shared" si="38"/>
        <v>61</v>
      </c>
      <c r="AW13" s="306">
        <f t="shared" si="19"/>
        <v>11576543.800000001</v>
      </c>
      <c r="AX13" s="306">
        <f t="shared" si="20"/>
        <v>5549.64</v>
      </c>
      <c r="AY13" s="311">
        <f t="shared" si="39"/>
        <v>8</v>
      </c>
      <c r="AZ13" s="308">
        <f t="shared" si="40"/>
        <v>0.57928084471956853</v>
      </c>
      <c r="BA13" s="312">
        <f t="shared" si="41"/>
        <v>19984337.313284092</v>
      </c>
      <c r="BB13" s="312">
        <f t="shared" si="21"/>
        <v>9580.2192297622678</v>
      </c>
      <c r="BC13" s="311">
        <f t="shared" si="42"/>
        <v>39</v>
      </c>
    </row>
    <row r="14" spans="1:55" s="313" customFormat="1" ht="15.6" customHeight="1" x14ac:dyDescent="0.2">
      <c r="A14" s="683">
        <v>8</v>
      </c>
      <c r="B14" s="298" t="s">
        <v>12</v>
      </c>
      <c r="C14" s="298">
        <f>'8_2.1.19 SIS'!AV14</f>
        <v>22452</v>
      </c>
      <c r="D14" s="299">
        <f>'[8]Econ. Disad.'!$AV14</f>
        <v>11877</v>
      </c>
      <c r="E14" s="299">
        <f t="shared" si="22"/>
        <v>2612.94</v>
      </c>
      <c r="F14" s="299">
        <f>[8]CTE!$AV14</f>
        <v>8111</v>
      </c>
      <c r="G14" s="299">
        <f t="shared" si="23"/>
        <v>486.65999999999997</v>
      </c>
      <c r="H14" s="299">
        <f>[8]SWD!$AV14</f>
        <v>3178</v>
      </c>
      <c r="I14" s="299">
        <f t="shared" si="24"/>
        <v>4767</v>
      </c>
      <c r="J14" s="299">
        <f>[8]GT!$AV14</f>
        <v>1393</v>
      </c>
      <c r="K14" s="299">
        <f t="shared" si="25"/>
        <v>835.8</v>
      </c>
      <c r="L14" s="299">
        <f t="shared" si="1"/>
        <v>0</v>
      </c>
      <c r="M14" s="301">
        <f t="shared" si="2"/>
        <v>0</v>
      </c>
      <c r="N14" s="299">
        <f t="shared" si="3"/>
        <v>0</v>
      </c>
      <c r="O14" s="299">
        <f t="shared" si="26"/>
        <v>8702.4</v>
      </c>
      <c r="P14" s="299">
        <f t="shared" si="4"/>
        <v>31154.400000000001</v>
      </c>
      <c r="Q14" s="302">
        <f t="shared" si="27"/>
        <v>4015</v>
      </c>
      <c r="R14" s="302">
        <f t="shared" si="5"/>
        <v>125084916</v>
      </c>
      <c r="S14" s="302">
        <f>'6_Local Deduct Calc'!J14</f>
        <v>34804273</v>
      </c>
      <c r="T14" s="302">
        <f t="shared" si="28"/>
        <v>34804273</v>
      </c>
      <c r="U14" s="303">
        <f t="shared" si="29"/>
        <v>90280643</v>
      </c>
      <c r="V14" s="304">
        <f t="shared" si="43"/>
        <v>0.7218</v>
      </c>
      <c r="W14" s="304">
        <f t="shared" si="30"/>
        <v>0.2782</v>
      </c>
      <c r="X14" s="305">
        <f t="shared" si="6"/>
        <v>1550.1635934437911</v>
      </c>
      <c r="Y14" s="302">
        <f>'7_Local Revenue'!AQ14</f>
        <v>108793719</v>
      </c>
      <c r="Z14" s="302">
        <f t="shared" si="31"/>
        <v>73989446</v>
      </c>
      <c r="AA14" s="31">
        <f t="shared" si="32"/>
        <v>0</v>
      </c>
      <c r="AB14" s="306">
        <f t="shared" si="7"/>
        <v>42528871.440000005</v>
      </c>
      <c r="AC14" s="306">
        <f t="shared" si="8"/>
        <v>42528871.440000005</v>
      </c>
      <c r="AD14" s="302">
        <f t="shared" si="9"/>
        <v>20350235.099525761</v>
      </c>
      <c r="AE14" s="307">
        <f t="shared" si="33"/>
        <v>22178636</v>
      </c>
      <c r="AF14" s="306">
        <f t="shared" si="10"/>
        <v>988</v>
      </c>
      <c r="AG14" s="308">
        <f t="shared" si="34"/>
        <v>0.52149999999999996</v>
      </c>
      <c r="AH14" s="307">
        <f t="shared" si="11"/>
        <v>112459279</v>
      </c>
      <c r="AI14" s="306">
        <f t="shared" si="12"/>
        <v>5009</v>
      </c>
      <c r="AJ14" s="307">
        <f>'3A_Level 3'!J14</f>
        <v>3803367</v>
      </c>
      <c r="AK14" s="306">
        <f t="shared" si="13"/>
        <v>169.39991982896848</v>
      </c>
      <c r="AL14" s="307">
        <f t="shared" si="35"/>
        <v>116262646</v>
      </c>
      <c r="AM14" s="306">
        <f t="shared" si="14"/>
        <v>5178.2756992695531</v>
      </c>
      <c r="AN14" s="309">
        <f>'3A_Level 3'!K14</f>
        <v>20098131</v>
      </c>
      <c r="AO14" s="310">
        <f t="shared" si="15"/>
        <v>895.15994120791026</v>
      </c>
      <c r="AP14" s="307">
        <f t="shared" si="36"/>
        <v>132557410</v>
      </c>
      <c r="AQ14" s="306">
        <f t="shared" si="16"/>
        <v>5904.0357206484941</v>
      </c>
      <c r="AR14" s="306">
        <f>'3A_Level 3'!L14</f>
        <v>3182243.2904865895</v>
      </c>
      <c r="AS14" s="1095">
        <f t="shared" si="17"/>
        <v>135739653.2904866</v>
      </c>
      <c r="AT14" s="306">
        <f t="shared" si="18"/>
        <v>6045.7711246430872</v>
      </c>
      <c r="AU14" s="308">
        <f t="shared" si="37"/>
        <v>0.63705763821706685</v>
      </c>
      <c r="AV14" s="311">
        <f t="shared" si="38"/>
        <v>38</v>
      </c>
      <c r="AW14" s="306">
        <f t="shared" si="19"/>
        <v>77333144.439999998</v>
      </c>
      <c r="AX14" s="306">
        <f t="shared" si="20"/>
        <v>3444.38</v>
      </c>
      <c r="AY14" s="311">
        <f t="shared" si="39"/>
        <v>40</v>
      </c>
      <c r="AZ14" s="308">
        <f t="shared" si="40"/>
        <v>0.3629423617829331</v>
      </c>
      <c r="BA14" s="312">
        <f t="shared" si="41"/>
        <v>213072797.7304866</v>
      </c>
      <c r="BB14" s="312">
        <f t="shared" si="21"/>
        <v>9490.1477699308125</v>
      </c>
      <c r="BC14" s="311">
        <f t="shared" si="42"/>
        <v>45</v>
      </c>
    </row>
    <row r="15" spans="1:55" s="313" customFormat="1" ht="15.6" customHeight="1" x14ac:dyDescent="0.2">
      <c r="A15" s="683">
        <v>9</v>
      </c>
      <c r="B15" s="298" t="s">
        <v>13</v>
      </c>
      <c r="C15" s="298">
        <f>'8_2.1.19 SIS'!AV15</f>
        <v>38537</v>
      </c>
      <c r="D15" s="299">
        <f>'[8]Econ. Disad.'!$AV15</f>
        <v>27425</v>
      </c>
      <c r="E15" s="299">
        <f t="shared" si="22"/>
        <v>6033.5</v>
      </c>
      <c r="F15" s="299">
        <f>[8]CTE!$AV15</f>
        <v>11786</v>
      </c>
      <c r="G15" s="299">
        <f t="shared" si="23"/>
        <v>707.16</v>
      </c>
      <c r="H15" s="299">
        <f>[8]SWD!$AV15</f>
        <v>4396</v>
      </c>
      <c r="I15" s="299">
        <f t="shared" si="24"/>
        <v>6594</v>
      </c>
      <c r="J15" s="299">
        <f>[8]GT!$AV15</f>
        <v>1803</v>
      </c>
      <c r="K15" s="299">
        <f t="shared" si="25"/>
        <v>1081.8</v>
      </c>
      <c r="L15" s="299">
        <f t="shared" si="1"/>
        <v>0</v>
      </c>
      <c r="M15" s="301">
        <f t="shared" si="2"/>
        <v>0</v>
      </c>
      <c r="N15" s="299">
        <f t="shared" si="3"/>
        <v>0</v>
      </c>
      <c r="O15" s="299">
        <f t="shared" si="26"/>
        <v>14416.46</v>
      </c>
      <c r="P15" s="299">
        <f t="shared" si="4"/>
        <v>52953.46</v>
      </c>
      <c r="Q15" s="302">
        <f t="shared" si="27"/>
        <v>4015</v>
      </c>
      <c r="R15" s="302">
        <f t="shared" si="5"/>
        <v>212608142</v>
      </c>
      <c r="S15" s="302">
        <f>'6_Local Deduct Calc'!J15</f>
        <v>67349608</v>
      </c>
      <c r="T15" s="302">
        <f t="shared" si="28"/>
        <v>67349608</v>
      </c>
      <c r="U15" s="303">
        <f t="shared" si="29"/>
        <v>145258534</v>
      </c>
      <c r="V15" s="304">
        <f t="shared" si="43"/>
        <v>0.68320000000000003</v>
      </c>
      <c r="W15" s="304">
        <f t="shared" si="30"/>
        <v>0.31680000000000003</v>
      </c>
      <c r="X15" s="305">
        <f t="shared" si="6"/>
        <v>1747.6608973194593</v>
      </c>
      <c r="Y15" s="302">
        <f>'7_Local Revenue'!AQ15</f>
        <v>209864699</v>
      </c>
      <c r="Z15" s="302">
        <f t="shared" si="31"/>
        <v>142515091</v>
      </c>
      <c r="AA15" s="31">
        <f t="shared" si="32"/>
        <v>0</v>
      </c>
      <c r="AB15" s="306">
        <f t="shared" si="7"/>
        <v>72286768.280000001</v>
      </c>
      <c r="AC15" s="306">
        <f t="shared" si="8"/>
        <v>72286768.280000001</v>
      </c>
      <c r="AD15" s="302">
        <f t="shared" si="9"/>
        <v>39388770.888698883</v>
      </c>
      <c r="AE15" s="307">
        <f t="shared" si="33"/>
        <v>32897997</v>
      </c>
      <c r="AF15" s="306">
        <f t="shared" si="10"/>
        <v>854</v>
      </c>
      <c r="AG15" s="308">
        <f t="shared" si="34"/>
        <v>0.4551</v>
      </c>
      <c r="AH15" s="307">
        <f t="shared" si="11"/>
        <v>178156531</v>
      </c>
      <c r="AI15" s="306">
        <f t="shared" si="12"/>
        <v>4623</v>
      </c>
      <c r="AJ15" s="307">
        <f>'3A_Level 3'!J15</f>
        <v>6528164</v>
      </c>
      <c r="AK15" s="306">
        <f t="shared" si="13"/>
        <v>169.39990139346602</v>
      </c>
      <c r="AL15" s="307">
        <f t="shared" si="35"/>
        <v>184684695</v>
      </c>
      <c r="AM15" s="306">
        <f t="shared" si="14"/>
        <v>4792.3993824117078</v>
      </c>
      <c r="AN15" s="309">
        <f>'3A_Level 3'!K15</f>
        <v>35228980</v>
      </c>
      <c r="AO15" s="310">
        <f t="shared" si="15"/>
        <v>914.15989827957549</v>
      </c>
      <c r="AP15" s="307">
        <f t="shared" si="36"/>
        <v>213385511</v>
      </c>
      <c r="AQ15" s="306">
        <f t="shared" si="16"/>
        <v>5537.1593792978174</v>
      </c>
      <c r="AR15" s="306">
        <f>'3A_Level 3'!L15</f>
        <v>5245217.2068733349</v>
      </c>
      <c r="AS15" s="1095">
        <f t="shared" si="17"/>
        <v>218630728.20687333</v>
      </c>
      <c r="AT15" s="306">
        <f t="shared" si="18"/>
        <v>5673.2679815988095</v>
      </c>
      <c r="AU15" s="308">
        <f t="shared" si="37"/>
        <v>0.61024505311478805</v>
      </c>
      <c r="AV15" s="311">
        <f t="shared" si="38"/>
        <v>43</v>
      </c>
      <c r="AW15" s="306">
        <f t="shared" si="19"/>
        <v>139636376.28</v>
      </c>
      <c r="AX15" s="306">
        <f t="shared" si="20"/>
        <v>3623.44</v>
      </c>
      <c r="AY15" s="311">
        <f t="shared" si="39"/>
        <v>33</v>
      </c>
      <c r="AZ15" s="308">
        <f t="shared" si="40"/>
        <v>0.38975494688521195</v>
      </c>
      <c r="BA15" s="312">
        <f t="shared" si="41"/>
        <v>358267104.48687333</v>
      </c>
      <c r="BB15" s="312">
        <f t="shared" si="21"/>
        <v>9296.7045822682958</v>
      </c>
      <c r="BC15" s="311">
        <f t="shared" si="42"/>
        <v>51</v>
      </c>
    </row>
    <row r="16" spans="1:55" s="315" customFormat="1" ht="15.6" customHeight="1" x14ac:dyDescent="0.2">
      <c r="A16" s="684">
        <v>10</v>
      </c>
      <c r="B16" s="685" t="s">
        <v>14</v>
      </c>
      <c r="C16" s="685">
        <f>'8_2.1.19 SIS'!AV16</f>
        <v>33201</v>
      </c>
      <c r="D16" s="686">
        <f>'[8]Econ. Disad.'!$AV16</f>
        <v>21468</v>
      </c>
      <c r="E16" s="686">
        <f t="shared" si="22"/>
        <v>4722.96</v>
      </c>
      <c r="F16" s="686">
        <f>[8]CTE!$AV16</f>
        <v>10422.5</v>
      </c>
      <c r="G16" s="686">
        <f t="shared" si="23"/>
        <v>625.35</v>
      </c>
      <c r="H16" s="686">
        <f>[8]SWD!$AV16</f>
        <v>5367</v>
      </c>
      <c r="I16" s="686">
        <f t="shared" si="24"/>
        <v>8050.5</v>
      </c>
      <c r="J16" s="686">
        <f>[8]GT!$AV16</f>
        <v>995</v>
      </c>
      <c r="K16" s="686">
        <f t="shared" si="25"/>
        <v>597</v>
      </c>
      <c r="L16" s="686">
        <f t="shared" si="1"/>
        <v>0</v>
      </c>
      <c r="M16" s="687">
        <f t="shared" si="2"/>
        <v>0</v>
      </c>
      <c r="N16" s="686">
        <f t="shared" si="3"/>
        <v>0</v>
      </c>
      <c r="O16" s="686">
        <f t="shared" si="26"/>
        <v>13995.810000000001</v>
      </c>
      <c r="P16" s="314">
        <f t="shared" si="4"/>
        <v>47196.81</v>
      </c>
      <c r="Q16" s="606">
        <f t="shared" si="27"/>
        <v>4015</v>
      </c>
      <c r="R16" s="606">
        <f t="shared" si="5"/>
        <v>189495192</v>
      </c>
      <c r="S16" s="606">
        <f>'6_Local Deduct Calc'!J16</f>
        <v>91038528</v>
      </c>
      <c r="T16" s="606">
        <f t="shared" si="28"/>
        <v>91038528</v>
      </c>
      <c r="U16" s="607">
        <f t="shared" si="29"/>
        <v>98456664</v>
      </c>
      <c r="V16" s="688">
        <f t="shared" si="43"/>
        <v>0.51959999999999995</v>
      </c>
      <c r="W16" s="608">
        <f t="shared" si="30"/>
        <v>0.48039999999999999</v>
      </c>
      <c r="X16" s="609">
        <f t="shared" si="6"/>
        <v>2742.0417457305502</v>
      </c>
      <c r="Y16" s="606">
        <f>'7_Local Revenue'!AQ16</f>
        <v>261521398</v>
      </c>
      <c r="Z16" s="606">
        <f>IF(Y16-T16&gt;0,Y16-T16,0)</f>
        <v>170482870</v>
      </c>
      <c r="AA16" s="689">
        <f t="shared" si="32"/>
        <v>0</v>
      </c>
      <c r="AB16" s="690">
        <f t="shared" si="7"/>
        <v>64428365.280000001</v>
      </c>
      <c r="AC16" s="690">
        <f t="shared" si="8"/>
        <v>64428365.280000001</v>
      </c>
      <c r="AD16" s="606">
        <f t="shared" si="9"/>
        <v>53236385.090480641</v>
      </c>
      <c r="AE16" s="691">
        <f t="shared" si="33"/>
        <v>11191980</v>
      </c>
      <c r="AF16" s="690">
        <f t="shared" si="10"/>
        <v>337</v>
      </c>
      <c r="AG16" s="692">
        <f t="shared" si="34"/>
        <v>0.17369999999999999</v>
      </c>
      <c r="AH16" s="691">
        <f t="shared" si="11"/>
        <v>109648644</v>
      </c>
      <c r="AI16" s="690">
        <f t="shared" si="12"/>
        <v>3303</v>
      </c>
      <c r="AJ16" s="691">
        <f>'3A_Level 3'!J16</f>
        <v>5624246</v>
      </c>
      <c r="AK16" s="690">
        <f t="shared" si="13"/>
        <v>169.39989759344598</v>
      </c>
      <c r="AL16" s="691">
        <f t="shared" si="35"/>
        <v>115272890</v>
      </c>
      <c r="AM16" s="690">
        <f t="shared" si="14"/>
        <v>3471.9704225776331</v>
      </c>
      <c r="AN16" s="693">
        <f>'3A_Level 3'!K16</f>
        <v>25811782</v>
      </c>
      <c r="AO16" s="694">
        <f t="shared" si="15"/>
        <v>777.43989638866299</v>
      </c>
      <c r="AP16" s="691">
        <f t="shared" si="36"/>
        <v>135460426</v>
      </c>
      <c r="AQ16" s="690">
        <f t="shared" si="16"/>
        <v>4080.01042137285</v>
      </c>
      <c r="AR16" s="957">
        <f>'3A_Level 3'!L16</f>
        <v>5295371.6520684268</v>
      </c>
      <c r="AS16" s="1096">
        <f t="shared" si="17"/>
        <v>140755797.65206844</v>
      </c>
      <c r="AT16" s="961">
        <f t="shared" si="18"/>
        <v>4239.5047634730408</v>
      </c>
      <c r="AU16" s="692">
        <f t="shared" si="37"/>
        <v>0.47516885762254918</v>
      </c>
      <c r="AV16" s="695">
        <f t="shared" si="38"/>
        <v>59</v>
      </c>
      <c r="AW16" s="690">
        <f t="shared" si="19"/>
        <v>155466893.28</v>
      </c>
      <c r="AX16" s="690">
        <f t="shared" si="20"/>
        <v>4682.6000000000004</v>
      </c>
      <c r="AY16" s="695">
        <f t="shared" si="39"/>
        <v>15</v>
      </c>
      <c r="AZ16" s="692">
        <f t="shared" si="40"/>
        <v>0.52483114237745065</v>
      </c>
      <c r="BA16" s="696">
        <f t="shared" si="41"/>
        <v>296222690.93206847</v>
      </c>
      <c r="BB16" s="696">
        <f t="shared" si="21"/>
        <v>8922.1014708011353</v>
      </c>
      <c r="BC16" s="695">
        <f t="shared" si="42"/>
        <v>60</v>
      </c>
    </row>
    <row r="17" spans="1:55" s="313" customFormat="1" ht="15.6" customHeight="1" x14ac:dyDescent="0.2">
      <c r="A17" s="683">
        <v>11</v>
      </c>
      <c r="B17" s="298" t="s">
        <v>15</v>
      </c>
      <c r="C17" s="299">
        <f>'8_2.1.19 SIS'!AV17</f>
        <v>1546</v>
      </c>
      <c r="D17" s="299">
        <f>'[8]Econ. Disad.'!$AV17</f>
        <v>1123</v>
      </c>
      <c r="E17" s="299">
        <f t="shared" si="22"/>
        <v>247.06</v>
      </c>
      <c r="F17" s="299">
        <f>[8]CTE!$AV17</f>
        <v>956</v>
      </c>
      <c r="G17" s="299">
        <f t="shared" si="23"/>
        <v>57.36</v>
      </c>
      <c r="H17" s="299">
        <f>[8]SWD!$AV17</f>
        <v>283</v>
      </c>
      <c r="I17" s="299">
        <f t="shared" si="24"/>
        <v>424.5</v>
      </c>
      <c r="J17" s="299">
        <f>[8]GT!$AV17</f>
        <v>51</v>
      </c>
      <c r="K17" s="299">
        <f t="shared" si="25"/>
        <v>30.599999999999998</v>
      </c>
      <c r="L17" s="300">
        <f t="shared" si="1"/>
        <v>5954</v>
      </c>
      <c r="M17" s="301">
        <f t="shared" si="2"/>
        <v>0.15876999999999999</v>
      </c>
      <c r="N17" s="299">
        <f t="shared" si="3"/>
        <v>245.45841999999999</v>
      </c>
      <c r="O17" s="299">
        <f t="shared" si="26"/>
        <v>1004.9784200000001</v>
      </c>
      <c r="P17" s="299">
        <f t="shared" si="4"/>
        <v>2550.9784200000004</v>
      </c>
      <c r="Q17" s="302">
        <f t="shared" si="27"/>
        <v>4015</v>
      </c>
      <c r="R17" s="302">
        <f t="shared" si="5"/>
        <v>10242178</v>
      </c>
      <c r="S17" s="302">
        <f>'6_Local Deduct Calc'!J17</f>
        <v>1801606</v>
      </c>
      <c r="T17" s="904">
        <f t="shared" si="28"/>
        <v>1801606</v>
      </c>
      <c r="U17" s="303">
        <f t="shared" si="29"/>
        <v>8440572</v>
      </c>
      <c r="V17" s="304">
        <f t="shared" si="43"/>
        <v>0.82410000000000005</v>
      </c>
      <c r="W17" s="304">
        <f t="shared" si="30"/>
        <v>0.1759</v>
      </c>
      <c r="X17" s="305">
        <f t="shared" si="6"/>
        <v>1165.3337645536869</v>
      </c>
      <c r="Y17" s="302">
        <f>'7_Local Revenue'!AQ17</f>
        <v>5630822</v>
      </c>
      <c r="Z17" s="302">
        <f t="shared" si="31"/>
        <v>3829216</v>
      </c>
      <c r="AA17" s="31">
        <f t="shared" si="32"/>
        <v>0</v>
      </c>
      <c r="AB17" s="306">
        <f t="shared" si="7"/>
        <v>3482340.52</v>
      </c>
      <c r="AC17" s="306">
        <f t="shared" si="8"/>
        <v>3482340.52</v>
      </c>
      <c r="AD17" s="302">
        <f t="shared" si="9"/>
        <v>1053575.15964496</v>
      </c>
      <c r="AE17" s="307">
        <f t="shared" si="33"/>
        <v>2428765</v>
      </c>
      <c r="AF17" s="306">
        <f t="shared" si="10"/>
        <v>1571</v>
      </c>
      <c r="AG17" s="308">
        <f t="shared" si="34"/>
        <v>0.69750000000000001</v>
      </c>
      <c r="AH17" s="307">
        <f t="shared" si="11"/>
        <v>10869337</v>
      </c>
      <c r="AI17" s="306">
        <f t="shared" si="12"/>
        <v>7031</v>
      </c>
      <c r="AJ17" s="307">
        <f>'3A_Level 3'!J17</f>
        <v>261892</v>
      </c>
      <c r="AK17" s="306">
        <f t="shared" si="13"/>
        <v>169.39974126778785</v>
      </c>
      <c r="AL17" s="307">
        <f t="shared" si="35"/>
        <v>11131229</v>
      </c>
      <c r="AM17" s="306">
        <f t="shared" si="14"/>
        <v>7200.0187580853817</v>
      </c>
      <c r="AN17" s="309">
        <f>'3A_Level 3'!K17</f>
        <v>1354218</v>
      </c>
      <c r="AO17" s="310">
        <f t="shared" si="15"/>
        <v>875.94954721862871</v>
      </c>
      <c r="AP17" s="307">
        <f t="shared" si="36"/>
        <v>12223555</v>
      </c>
      <c r="AQ17" s="306">
        <f t="shared" si="16"/>
        <v>7906.5685640362226</v>
      </c>
      <c r="AR17" s="306">
        <f>'3A_Level 3'!L17</f>
        <v>268017.01274988905</v>
      </c>
      <c r="AS17" s="1095">
        <f t="shared" si="17"/>
        <v>12491572.01274989</v>
      </c>
      <c r="AT17" s="306">
        <f t="shared" si="18"/>
        <v>8079.9301505497351</v>
      </c>
      <c r="AU17" s="308">
        <f t="shared" si="37"/>
        <v>0.70274023172574251</v>
      </c>
      <c r="AV17" s="311">
        <f t="shared" si="38"/>
        <v>14</v>
      </c>
      <c r="AW17" s="306">
        <f t="shared" si="19"/>
        <v>5283946.5199999996</v>
      </c>
      <c r="AX17" s="306">
        <f t="shared" si="20"/>
        <v>3417.82</v>
      </c>
      <c r="AY17" s="311">
        <f t="shared" si="39"/>
        <v>42</v>
      </c>
      <c r="AZ17" s="308">
        <f t="shared" si="40"/>
        <v>0.29725976827425732</v>
      </c>
      <c r="BA17" s="312">
        <f t="shared" si="41"/>
        <v>17775518.532749891</v>
      </c>
      <c r="BB17" s="312">
        <f t="shared" si="21"/>
        <v>11497.748080692038</v>
      </c>
      <c r="BC17" s="311">
        <f t="shared" si="42"/>
        <v>3</v>
      </c>
    </row>
    <row r="18" spans="1:55" s="313" customFormat="1" ht="15.6" customHeight="1" x14ac:dyDescent="0.2">
      <c r="A18" s="683">
        <v>12</v>
      </c>
      <c r="B18" s="298" t="s">
        <v>16</v>
      </c>
      <c r="C18" s="298">
        <f>'8_2.1.19 SIS'!AV18</f>
        <v>1315</v>
      </c>
      <c r="D18" s="299">
        <f>'[8]Econ. Disad.'!$AV18</f>
        <v>674</v>
      </c>
      <c r="E18" s="299">
        <f t="shared" si="22"/>
        <v>148.28</v>
      </c>
      <c r="F18" s="299">
        <f>[8]CTE!$AV18</f>
        <v>527</v>
      </c>
      <c r="G18" s="299">
        <f t="shared" si="23"/>
        <v>31.619999999999997</v>
      </c>
      <c r="H18" s="299">
        <f>[8]SWD!$AV18</f>
        <v>183</v>
      </c>
      <c r="I18" s="299">
        <f t="shared" si="24"/>
        <v>274.5</v>
      </c>
      <c r="J18" s="299">
        <f>[8]GT!$AV18</f>
        <v>77</v>
      </c>
      <c r="K18" s="299">
        <f t="shared" si="25"/>
        <v>46.199999999999996</v>
      </c>
      <c r="L18" s="299">
        <f t="shared" si="1"/>
        <v>6185</v>
      </c>
      <c r="M18" s="301">
        <f t="shared" si="2"/>
        <v>0.16492999999999999</v>
      </c>
      <c r="N18" s="299">
        <f t="shared" si="3"/>
        <v>216.88294999999999</v>
      </c>
      <c r="O18" s="299">
        <f t="shared" si="26"/>
        <v>717.48294999999996</v>
      </c>
      <c r="P18" s="299">
        <f t="shared" si="4"/>
        <v>2032.4829500000001</v>
      </c>
      <c r="Q18" s="302">
        <f t="shared" si="27"/>
        <v>4015</v>
      </c>
      <c r="R18" s="302">
        <f t="shared" si="5"/>
        <v>8160419</v>
      </c>
      <c r="S18" s="302">
        <f>'6_Local Deduct Calc'!J18</f>
        <v>6813972</v>
      </c>
      <c r="T18" s="302">
        <f t="shared" si="28"/>
        <v>6120314</v>
      </c>
      <c r="U18" s="303">
        <f t="shared" si="29"/>
        <v>2040105</v>
      </c>
      <c r="V18" s="304">
        <f t="shared" si="43"/>
        <v>0.25</v>
      </c>
      <c r="W18" s="304">
        <f t="shared" si="30"/>
        <v>0.75</v>
      </c>
      <c r="X18" s="305">
        <f t="shared" si="6"/>
        <v>4654.231178707224</v>
      </c>
      <c r="Y18" s="302">
        <f>'7_Local Revenue'!AQ18</f>
        <v>8627980</v>
      </c>
      <c r="Z18" s="302">
        <f t="shared" si="31"/>
        <v>2507666</v>
      </c>
      <c r="AA18" s="31">
        <f t="shared" si="32"/>
        <v>0</v>
      </c>
      <c r="AB18" s="306">
        <f t="shared" si="7"/>
        <v>2774542.4600000004</v>
      </c>
      <c r="AC18" s="306">
        <f t="shared" si="8"/>
        <v>2507666</v>
      </c>
      <c r="AD18" s="302">
        <f t="shared" si="9"/>
        <v>3234889.14</v>
      </c>
      <c r="AE18" s="307">
        <f t="shared" si="33"/>
        <v>0</v>
      </c>
      <c r="AF18" s="306">
        <f t="shared" si="10"/>
        <v>0</v>
      </c>
      <c r="AG18" s="308">
        <f t="shared" si="34"/>
        <v>0</v>
      </c>
      <c r="AH18" s="307">
        <f t="shared" si="11"/>
        <v>2040105</v>
      </c>
      <c r="AI18" s="306">
        <f t="shared" si="12"/>
        <v>1551</v>
      </c>
      <c r="AJ18" s="307">
        <f>'3A_Level 3'!J18</f>
        <v>222761</v>
      </c>
      <c r="AK18" s="306">
        <f t="shared" si="13"/>
        <v>169.4</v>
      </c>
      <c r="AL18" s="307">
        <f t="shared" si="35"/>
        <v>2262866</v>
      </c>
      <c r="AM18" s="306">
        <f t="shared" si="14"/>
        <v>1720.8106463878328</v>
      </c>
      <c r="AN18" s="309">
        <f>'3A_Level 3'!K18</f>
        <v>1621014</v>
      </c>
      <c r="AO18" s="310">
        <f t="shared" si="15"/>
        <v>1232.7102661596957</v>
      </c>
      <c r="AP18" s="307">
        <f t="shared" si="36"/>
        <v>3661119</v>
      </c>
      <c r="AQ18" s="306">
        <f t="shared" si="16"/>
        <v>2784.1209125475284</v>
      </c>
      <c r="AR18" s="306">
        <f>'3A_Level 3'!L18</f>
        <v>271622.96109510085</v>
      </c>
      <c r="AS18" s="1095">
        <f t="shared" si="17"/>
        <v>3932741.9610951007</v>
      </c>
      <c r="AT18" s="306">
        <f t="shared" si="18"/>
        <v>2990.6782974107232</v>
      </c>
      <c r="AU18" s="308">
        <f t="shared" si="37"/>
        <v>0.31309840097377861</v>
      </c>
      <c r="AV18" s="311">
        <f t="shared" si="38"/>
        <v>68</v>
      </c>
      <c r="AW18" s="306">
        <f t="shared" si="19"/>
        <v>8627980</v>
      </c>
      <c r="AX18" s="306">
        <f t="shared" si="20"/>
        <v>6561.2</v>
      </c>
      <c r="AY18" s="311">
        <f t="shared" si="39"/>
        <v>2</v>
      </c>
      <c r="AZ18" s="308">
        <f t="shared" si="40"/>
        <v>0.68690159902622139</v>
      </c>
      <c r="BA18" s="312">
        <f t="shared" si="41"/>
        <v>12560721.9610951</v>
      </c>
      <c r="BB18" s="312">
        <f t="shared" si="21"/>
        <v>9551.8798183232702</v>
      </c>
      <c r="BC18" s="311">
        <f t="shared" si="42"/>
        <v>41</v>
      </c>
    </row>
    <row r="19" spans="1:55" s="313" customFormat="1" ht="15.6" customHeight="1" x14ac:dyDescent="0.2">
      <c r="A19" s="683">
        <v>13</v>
      </c>
      <c r="B19" s="298" t="s">
        <v>17</v>
      </c>
      <c r="C19" s="298">
        <f>'8_2.1.19 SIS'!AV19</f>
        <v>1265</v>
      </c>
      <c r="D19" s="299">
        <f>'[8]Econ. Disad.'!$AV19</f>
        <v>971</v>
      </c>
      <c r="E19" s="299">
        <f t="shared" si="22"/>
        <v>213.62</v>
      </c>
      <c r="F19" s="299">
        <f>[8]CTE!$AV19</f>
        <v>761.5</v>
      </c>
      <c r="G19" s="299">
        <f t="shared" si="23"/>
        <v>45.69</v>
      </c>
      <c r="H19" s="299">
        <f>[8]SWD!$AV19</f>
        <v>166</v>
      </c>
      <c r="I19" s="299">
        <f t="shared" si="24"/>
        <v>249</v>
      </c>
      <c r="J19" s="299">
        <f>[8]GT!$AV19</f>
        <v>6</v>
      </c>
      <c r="K19" s="299">
        <f t="shared" si="25"/>
        <v>3.5999999999999996</v>
      </c>
      <c r="L19" s="299">
        <f t="shared" si="1"/>
        <v>6235</v>
      </c>
      <c r="M19" s="301">
        <f t="shared" si="2"/>
        <v>0.16627</v>
      </c>
      <c r="N19" s="299">
        <f t="shared" si="3"/>
        <v>210.33154999999999</v>
      </c>
      <c r="O19" s="299">
        <f t="shared" si="26"/>
        <v>722.24154999999996</v>
      </c>
      <c r="P19" s="299">
        <f t="shared" si="4"/>
        <v>1987.24155</v>
      </c>
      <c r="Q19" s="302">
        <f t="shared" si="27"/>
        <v>4015</v>
      </c>
      <c r="R19" s="302">
        <f t="shared" si="5"/>
        <v>7978775</v>
      </c>
      <c r="S19" s="302">
        <f>'6_Local Deduct Calc'!J19</f>
        <v>1370453</v>
      </c>
      <c r="T19" s="302">
        <f t="shared" si="28"/>
        <v>1370453</v>
      </c>
      <c r="U19" s="303">
        <f t="shared" si="29"/>
        <v>6608322</v>
      </c>
      <c r="V19" s="304">
        <f t="shared" si="43"/>
        <v>0.82820000000000005</v>
      </c>
      <c r="W19" s="304">
        <f t="shared" si="30"/>
        <v>0.17180000000000001</v>
      </c>
      <c r="X19" s="305">
        <f t="shared" si="6"/>
        <v>1083.3620553359683</v>
      </c>
      <c r="Y19" s="302">
        <f>'7_Local Revenue'!AQ19</f>
        <v>3674926</v>
      </c>
      <c r="Z19" s="302">
        <f t="shared" si="31"/>
        <v>2304473</v>
      </c>
      <c r="AA19" s="31">
        <f t="shared" si="32"/>
        <v>0</v>
      </c>
      <c r="AB19" s="306">
        <f t="shared" si="7"/>
        <v>2712783.5</v>
      </c>
      <c r="AC19" s="306">
        <f t="shared" si="8"/>
        <v>2304473</v>
      </c>
      <c r="AD19" s="302">
        <f t="shared" si="9"/>
        <v>680962.55360800005</v>
      </c>
      <c r="AE19" s="307">
        <f t="shared" si="33"/>
        <v>1623510</v>
      </c>
      <c r="AF19" s="306">
        <f t="shared" si="10"/>
        <v>1283</v>
      </c>
      <c r="AG19" s="308">
        <f t="shared" si="34"/>
        <v>0.70450000000000002</v>
      </c>
      <c r="AH19" s="307">
        <f t="shared" si="11"/>
        <v>8231832</v>
      </c>
      <c r="AI19" s="306">
        <f t="shared" si="12"/>
        <v>6507</v>
      </c>
      <c r="AJ19" s="307">
        <f>'3A_Level 3'!J19</f>
        <v>214291</v>
      </c>
      <c r="AK19" s="306">
        <f t="shared" si="13"/>
        <v>169.4</v>
      </c>
      <c r="AL19" s="307">
        <f t="shared" si="35"/>
        <v>8446123</v>
      </c>
      <c r="AM19" s="306">
        <f t="shared" si="14"/>
        <v>6676.7770750988138</v>
      </c>
      <c r="AN19" s="309">
        <f>'3A_Level 3'!K19</f>
        <v>1162320</v>
      </c>
      <c r="AO19" s="310">
        <f t="shared" si="15"/>
        <v>918.83003952569175</v>
      </c>
      <c r="AP19" s="307">
        <f t="shared" si="36"/>
        <v>9394152</v>
      </c>
      <c r="AQ19" s="306">
        <f t="shared" si="16"/>
        <v>7426.2071146245062</v>
      </c>
      <c r="AR19" s="306">
        <f>'3A_Level 3'!L19</f>
        <v>210090.92104077287</v>
      </c>
      <c r="AS19" s="1095">
        <f t="shared" si="17"/>
        <v>9604242.9210407734</v>
      </c>
      <c r="AT19" s="306">
        <f t="shared" si="18"/>
        <v>7592.2868941033785</v>
      </c>
      <c r="AU19" s="308">
        <f t="shared" si="37"/>
        <v>0.72325632561409026</v>
      </c>
      <c r="AV19" s="311">
        <f t="shared" si="38"/>
        <v>9</v>
      </c>
      <c r="AW19" s="306">
        <f t="shared" si="19"/>
        <v>3674926</v>
      </c>
      <c r="AX19" s="306">
        <f t="shared" si="20"/>
        <v>2905.08</v>
      </c>
      <c r="AY19" s="311">
        <f t="shared" si="39"/>
        <v>56</v>
      </c>
      <c r="AZ19" s="308">
        <f t="shared" si="40"/>
        <v>0.27674367438590974</v>
      </c>
      <c r="BA19" s="312">
        <f t="shared" si="41"/>
        <v>13279168.921040773</v>
      </c>
      <c r="BB19" s="312">
        <f t="shared" si="21"/>
        <v>10497.366736000611</v>
      </c>
      <c r="BC19" s="311">
        <f t="shared" si="42"/>
        <v>8</v>
      </c>
    </row>
    <row r="20" spans="1:55" s="313" customFormat="1" ht="15.6" customHeight="1" x14ac:dyDescent="0.2">
      <c r="A20" s="683">
        <v>14</v>
      </c>
      <c r="B20" s="298" t="s">
        <v>18</v>
      </c>
      <c r="C20" s="298">
        <f>'8_2.1.19 SIS'!AV20</f>
        <v>1741</v>
      </c>
      <c r="D20" s="299">
        <f>'[8]Econ. Disad.'!$AV20</f>
        <v>1422</v>
      </c>
      <c r="E20" s="299">
        <f t="shared" si="22"/>
        <v>312.83999999999997</v>
      </c>
      <c r="F20" s="299">
        <f>[8]CTE!$AV20</f>
        <v>855.5</v>
      </c>
      <c r="G20" s="299">
        <f t="shared" si="23"/>
        <v>51.33</v>
      </c>
      <c r="H20" s="299">
        <f>[8]SWD!$AV20</f>
        <v>397</v>
      </c>
      <c r="I20" s="299">
        <f t="shared" si="24"/>
        <v>595.5</v>
      </c>
      <c r="J20" s="299">
        <f>[8]GT!$AV20</f>
        <v>141</v>
      </c>
      <c r="K20" s="299">
        <f t="shared" si="25"/>
        <v>84.6</v>
      </c>
      <c r="L20" s="299">
        <f t="shared" si="1"/>
        <v>5759</v>
      </c>
      <c r="M20" s="301">
        <f t="shared" si="2"/>
        <v>0.15357000000000001</v>
      </c>
      <c r="N20" s="299">
        <f t="shared" si="3"/>
        <v>267.36537000000004</v>
      </c>
      <c r="O20" s="299">
        <f t="shared" si="26"/>
        <v>1311.63537</v>
      </c>
      <c r="P20" s="299">
        <f t="shared" si="4"/>
        <v>3052.63537</v>
      </c>
      <c r="Q20" s="302">
        <f t="shared" si="27"/>
        <v>4015</v>
      </c>
      <c r="R20" s="302">
        <f t="shared" si="5"/>
        <v>12256331</v>
      </c>
      <c r="S20" s="302">
        <f>'6_Local Deduct Calc'!J20</f>
        <v>3107853</v>
      </c>
      <c r="T20" s="302">
        <f t="shared" si="28"/>
        <v>3107853</v>
      </c>
      <c r="U20" s="303">
        <f t="shared" si="29"/>
        <v>9148478</v>
      </c>
      <c r="V20" s="304">
        <f t="shared" si="43"/>
        <v>0.74639999999999995</v>
      </c>
      <c r="W20" s="304">
        <f t="shared" si="30"/>
        <v>0.25359999999999999</v>
      </c>
      <c r="X20" s="305">
        <f t="shared" si="6"/>
        <v>1785.0964962665134</v>
      </c>
      <c r="Y20" s="302">
        <f>'7_Local Revenue'!AQ20</f>
        <v>6014773</v>
      </c>
      <c r="Z20" s="302">
        <f t="shared" si="31"/>
        <v>2906920</v>
      </c>
      <c r="AA20" s="31">
        <f t="shared" si="32"/>
        <v>0</v>
      </c>
      <c r="AB20" s="306">
        <f t="shared" si="7"/>
        <v>4167152.5400000005</v>
      </c>
      <c r="AC20" s="306">
        <f t="shared" si="8"/>
        <v>2906920</v>
      </c>
      <c r="AD20" s="302">
        <f t="shared" si="9"/>
        <v>1267975.2486399999</v>
      </c>
      <c r="AE20" s="307">
        <f t="shared" si="33"/>
        <v>1638945</v>
      </c>
      <c r="AF20" s="306">
        <f t="shared" si="10"/>
        <v>941</v>
      </c>
      <c r="AG20" s="308">
        <f t="shared" si="34"/>
        <v>0.56379999999999997</v>
      </c>
      <c r="AH20" s="307">
        <f t="shared" si="11"/>
        <v>10787423</v>
      </c>
      <c r="AI20" s="306">
        <f t="shared" si="12"/>
        <v>6196</v>
      </c>
      <c r="AJ20" s="307">
        <f>'3A_Level 3'!J20</f>
        <v>294925</v>
      </c>
      <c r="AK20" s="306">
        <f t="shared" si="13"/>
        <v>169.3997702469845</v>
      </c>
      <c r="AL20" s="307">
        <f t="shared" si="35"/>
        <v>11082348</v>
      </c>
      <c r="AM20" s="306">
        <f t="shared" si="14"/>
        <v>6365.5071797817345</v>
      </c>
      <c r="AN20" s="309">
        <f>'3A_Level 3'!K20</f>
        <v>1705100</v>
      </c>
      <c r="AO20" s="310">
        <f t="shared" si="15"/>
        <v>979.37966685812751</v>
      </c>
      <c r="AP20" s="307">
        <f t="shared" si="36"/>
        <v>12492523</v>
      </c>
      <c r="AQ20" s="306">
        <f t="shared" si="16"/>
        <v>7175.4870763928775</v>
      </c>
      <c r="AR20" s="306">
        <f>'3A_Level 3'!L20</f>
        <v>279491.15634442662</v>
      </c>
      <c r="AS20" s="1095">
        <f t="shared" si="17"/>
        <v>12772014.156344427</v>
      </c>
      <c r="AT20" s="306">
        <f t="shared" si="18"/>
        <v>7336.0219163379825</v>
      </c>
      <c r="AU20" s="308">
        <f t="shared" si="37"/>
        <v>0.67984025421990413</v>
      </c>
      <c r="AV20" s="311">
        <f t="shared" si="38"/>
        <v>23</v>
      </c>
      <c r="AW20" s="306">
        <f t="shared" si="19"/>
        <v>6014773</v>
      </c>
      <c r="AX20" s="306">
        <f t="shared" si="20"/>
        <v>3454.78</v>
      </c>
      <c r="AY20" s="311">
        <f t="shared" si="39"/>
        <v>39</v>
      </c>
      <c r="AZ20" s="308">
        <f t="shared" si="40"/>
        <v>0.32015974578009576</v>
      </c>
      <c r="BA20" s="312">
        <f t="shared" si="41"/>
        <v>18786787.156344429</v>
      </c>
      <c r="BB20" s="312">
        <f t="shared" si="21"/>
        <v>10790.802502208173</v>
      </c>
      <c r="BC20" s="311">
        <f t="shared" si="42"/>
        <v>6</v>
      </c>
    </row>
    <row r="21" spans="1:55" s="315" customFormat="1" ht="15.6" customHeight="1" x14ac:dyDescent="0.2">
      <c r="A21" s="684">
        <v>15</v>
      </c>
      <c r="B21" s="685" t="s">
        <v>19</v>
      </c>
      <c r="C21" s="685">
        <f>'8_2.1.19 SIS'!AV21</f>
        <v>3568</v>
      </c>
      <c r="D21" s="686">
        <f>'[8]Econ. Disad.'!$AV21</f>
        <v>2933</v>
      </c>
      <c r="E21" s="686">
        <f t="shared" si="22"/>
        <v>645.26</v>
      </c>
      <c r="F21" s="686">
        <f>[8]CTE!$AV21</f>
        <v>2013</v>
      </c>
      <c r="G21" s="686">
        <f t="shared" si="23"/>
        <v>120.78</v>
      </c>
      <c r="H21" s="686">
        <f>[8]SWD!$AV21</f>
        <v>441</v>
      </c>
      <c r="I21" s="686">
        <f t="shared" si="24"/>
        <v>661.5</v>
      </c>
      <c r="J21" s="686">
        <f>[8]GT!$AV21</f>
        <v>122</v>
      </c>
      <c r="K21" s="686">
        <f t="shared" si="25"/>
        <v>73.2</v>
      </c>
      <c r="L21" s="686">
        <f t="shared" si="1"/>
        <v>3932</v>
      </c>
      <c r="M21" s="687">
        <f t="shared" si="2"/>
        <v>0.10485</v>
      </c>
      <c r="N21" s="686">
        <f t="shared" si="3"/>
        <v>374.10480000000001</v>
      </c>
      <c r="O21" s="686">
        <f t="shared" si="26"/>
        <v>1874.8448000000001</v>
      </c>
      <c r="P21" s="314">
        <f t="shared" si="4"/>
        <v>5442.8447999999999</v>
      </c>
      <c r="Q21" s="606">
        <f t="shared" si="27"/>
        <v>4015</v>
      </c>
      <c r="R21" s="606">
        <f t="shared" si="5"/>
        <v>21853022</v>
      </c>
      <c r="S21" s="606">
        <f>'6_Local Deduct Calc'!J21</f>
        <v>4067199</v>
      </c>
      <c r="T21" s="606">
        <f t="shared" si="28"/>
        <v>4067199</v>
      </c>
      <c r="U21" s="607">
        <f t="shared" si="29"/>
        <v>17785823</v>
      </c>
      <c r="V21" s="688">
        <f t="shared" si="43"/>
        <v>0.81389999999999996</v>
      </c>
      <c r="W21" s="608">
        <f t="shared" si="30"/>
        <v>0.18609999999999999</v>
      </c>
      <c r="X21" s="609">
        <f t="shared" si="6"/>
        <v>1139.910033632287</v>
      </c>
      <c r="Y21" s="606">
        <f>'7_Local Revenue'!AQ21</f>
        <v>10648373</v>
      </c>
      <c r="Z21" s="606">
        <f t="shared" si="31"/>
        <v>6581174</v>
      </c>
      <c r="AA21" s="689">
        <f t="shared" si="32"/>
        <v>0</v>
      </c>
      <c r="AB21" s="690">
        <f t="shared" si="7"/>
        <v>7430027.4800000004</v>
      </c>
      <c r="AC21" s="690">
        <f t="shared" si="8"/>
        <v>6581174</v>
      </c>
      <c r="AD21" s="606">
        <f t="shared" si="9"/>
        <v>2106581.1480080001</v>
      </c>
      <c r="AE21" s="691">
        <f t="shared" si="33"/>
        <v>4474593</v>
      </c>
      <c r="AF21" s="690">
        <f t="shared" si="10"/>
        <v>1254</v>
      </c>
      <c r="AG21" s="692">
        <f t="shared" si="34"/>
        <v>0.67989999999999995</v>
      </c>
      <c r="AH21" s="691">
        <f t="shared" si="11"/>
        <v>22260416</v>
      </c>
      <c r="AI21" s="690">
        <f t="shared" si="12"/>
        <v>6239</v>
      </c>
      <c r="AJ21" s="691">
        <f>'3A_Level 3'!J21</f>
        <v>356800</v>
      </c>
      <c r="AK21" s="690">
        <f t="shared" si="13"/>
        <v>100</v>
      </c>
      <c r="AL21" s="691">
        <f t="shared" si="35"/>
        <v>22617216</v>
      </c>
      <c r="AM21" s="690">
        <f t="shared" si="14"/>
        <v>6338.9058295964123</v>
      </c>
      <c r="AN21" s="693">
        <f>'3A_Level 3'!K21</f>
        <v>2332758</v>
      </c>
      <c r="AO21" s="694">
        <f t="shared" si="15"/>
        <v>653.79988789237666</v>
      </c>
      <c r="AP21" s="691">
        <f t="shared" si="36"/>
        <v>24593174</v>
      </c>
      <c r="AQ21" s="690">
        <f t="shared" si="16"/>
        <v>6892.7057174887896</v>
      </c>
      <c r="AR21" s="957">
        <f>'3A_Level 3'!L21</f>
        <v>565458.34568331402</v>
      </c>
      <c r="AS21" s="1096">
        <f t="shared" si="17"/>
        <v>25158632.345683314</v>
      </c>
      <c r="AT21" s="961">
        <f t="shared" si="18"/>
        <v>7051.186195539045</v>
      </c>
      <c r="AU21" s="692">
        <f t="shared" si="37"/>
        <v>0.70261760520881689</v>
      </c>
      <c r="AV21" s="695">
        <f t="shared" si="38"/>
        <v>15</v>
      </c>
      <c r="AW21" s="690">
        <f t="shared" si="19"/>
        <v>10648373</v>
      </c>
      <c r="AX21" s="690">
        <f t="shared" si="20"/>
        <v>2984.41</v>
      </c>
      <c r="AY21" s="695">
        <f t="shared" si="39"/>
        <v>53</v>
      </c>
      <c r="AZ21" s="692">
        <f t="shared" si="40"/>
        <v>0.29738239479118311</v>
      </c>
      <c r="BA21" s="696">
        <f t="shared" si="41"/>
        <v>35807005.345683314</v>
      </c>
      <c r="BB21" s="696">
        <f t="shared" si="21"/>
        <v>10035.595668633216</v>
      </c>
      <c r="BC21" s="695">
        <f t="shared" si="42"/>
        <v>19</v>
      </c>
    </row>
    <row r="22" spans="1:55" s="313" customFormat="1" ht="15.6" customHeight="1" x14ac:dyDescent="0.2">
      <c r="A22" s="683">
        <v>16</v>
      </c>
      <c r="B22" s="298" t="s">
        <v>20</v>
      </c>
      <c r="C22" s="298">
        <f>'8_2.1.19 SIS'!AV22</f>
        <v>4825</v>
      </c>
      <c r="D22" s="299">
        <f>'[8]Econ. Disad.'!$AV22</f>
        <v>2911</v>
      </c>
      <c r="E22" s="299">
        <f t="shared" si="22"/>
        <v>640.41999999999996</v>
      </c>
      <c r="F22" s="299">
        <f>[8]CTE!$AV22</f>
        <v>2812</v>
      </c>
      <c r="G22" s="299">
        <f t="shared" si="23"/>
        <v>168.72</v>
      </c>
      <c r="H22" s="299">
        <f>[8]SWD!$AV22</f>
        <v>509</v>
      </c>
      <c r="I22" s="299">
        <f t="shared" si="24"/>
        <v>763.5</v>
      </c>
      <c r="J22" s="299">
        <f>[8]GT!$AV22</f>
        <v>247</v>
      </c>
      <c r="K22" s="299">
        <f t="shared" si="25"/>
        <v>148.19999999999999</v>
      </c>
      <c r="L22" s="300">
        <f t="shared" si="1"/>
        <v>2675</v>
      </c>
      <c r="M22" s="301">
        <f t="shared" si="2"/>
        <v>7.1330000000000005E-2</v>
      </c>
      <c r="N22" s="299">
        <f t="shared" si="3"/>
        <v>344.16725000000002</v>
      </c>
      <c r="O22" s="299">
        <f t="shared" si="26"/>
        <v>2065.0072500000001</v>
      </c>
      <c r="P22" s="299">
        <f t="shared" si="4"/>
        <v>6890.0072500000006</v>
      </c>
      <c r="Q22" s="302">
        <f t="shared" si="27"/>
        <v>4015</v>
      </c>
      <c r="R22" s="302">
        <f t="shared" si="5"/>
        <v>27663379</v>
      </c>
      <c r="S22" s="302">
        <f>'6_Local Deduct Calc'!J22</f>
        <v>17957887</v>
      </c>
      <c r="T22" s="302">
        <f t="shared" si="28"/>
        <v>17957887</v>
      </c>
      <c r="U22" s="303">
        <f t="shared" si="29"/>
        <v>9705492</v>
      </c>
      <c r="V22" s="304">
        <f t="shared" si="43"/>
        <v>0.3508</v>
      </c>
      <c r="W22" s="304">
        <f t="shared" si="30"/>
        <v>0.6492</v>
      </c>
      <c r="X22" s="305">
        <f t="shared" si="6"/>
        <v>3721.8418652849741</v>
      </c>
      <c r="Y22" s="302">
        <f>'7_Local Revenue'!AQ22</f>
        <v>73835344</v>
      </c>
      <c r="Z22" s="302">
        <f t="shared" si="31"/>
        <v>55877457</v>
      </c>
      <c r="AA22" s="31">
        <f t="shared" si="32"/>
        <v>0</v>
      </c>
      <c r="AB22" s="306">
        <f t="shared" si="7"/>
        <v>9405548.8600000013</v>
      </c>
      <c r="AC22" s="306">
        <f t="shared" si="8"/>
        <v>9405548.8600000013</v>
      </c>
      <c r="AD22" s="302">
        <f t="shared" si="9"/>
        <v>10502461.590248642</v>
      </c>
      <c r="AE22" s="307">
        <f t="shared" si="33"/>
        <v>0</v>
      </c>
      <c r="AF22" s="306">
        <f t="shared" si="10"/>
        <v>0</v>
      </c>
      <c r="AG22" s="308">
        <f t="shared" si="34"/>
        <v>0</v>
      </c>
      <c r="AH22" s="307">
        <f t="shared" si="11"/>
        <v>9705492</v>
      </c>
      <c r="AI22" s="306">
        <f t="shared" si="12"/>
        <v>2012</v>
      </c>
      <c r="AJ22" s="307">
        <f>'3A_Level 3'!J22</f>
        <v>817355</v>
      </c>
      <c r="AK22" s="306">
        <f t="shared" si="13"/>
        <v>169.4</v>
      </c>
      <c r="AL22" s="307">
        <f t="shared" si="35"/>
        <v>10522847</v>
      </c>
      <c r="AM22" s="306">
        <f t="shared" si="14"/>
        <v>2180.9009326424871</v>
      </c>
      <c r="AN22" s="309">
        <f>'3A_Level 3'!K22</f>
        <v>4130827</v>
      </c>
      <c r="AO22" s="310">
        <f t="shared" si="15"/>
        <v>856.12994818652851</v>
      </c>
      <c r="AP22" s="307">
        <f t="shared" si="36"/>
        <v>13836319</v>
      </c>
      <c r="AQ22" s="306">
        <f t="shared" si="16"/>
        <v>2867.6308808290155</v>
      </c>
      <c r="AR22" s="306">
        <f>'3A_Level 3'!L22</f>
        <v>739175.34419558919</v>
      </c>
      <c r="AS22" s="1095">
        <f t="shared" si="17"/>
        <v>14575494.344195589</v>
      </c>
      <c r="AT22" s="306">
        <f t="shared" si="18"/>
        <v>3020.8278433565988</v>
      </c>
      <c r="AU22" s="308">
        <f t="shared" si="37"/>
        <v>0.34754091897979433</v>
      </c>
      <c r="AV22" s="311">
        <f t="shared" si="38"/>
        <v>67</v>
      </c>
      <c r="AW22" s="306">
        <f t="shared" si="19"/>
        <v>27363435.859999999</v>
      </c>
      <c r="AX22" s="306">
        <f t="shared" si="20"/>
        <v>5671.18</v>
      </c>
      <c r="AY22" s="311">
        <f t="shared" si="39"/>
        <v>7</v>
      </c>
      <c r="AZ22" s="308">
        <f t="shared" si="40"/>
        <v>0.65245908102020567</v>
      </c>
      <c r="BA22" s="312">
        <f t="shared" si="41"/>
        <v>41938930.204195589</v>
      </c>
      <c r="BB22" s="312">
        <f t="shared" si="21"/>
        <v>8692.0062599369103</v>
      </c>
      <c r="BC22" s="311">
        <f t="shared" si="42"/>
        <v>65</v>
      </c>
    </row>
    <row r="23" spans="1:55" s="316" customFormat="1" ht="15.6" customHeight="1" x14ac:dyDescent="0.2">
      <c r="A23" s="683">
        <v>17</v>
      </c>
      <c r="B23" s="298" t="s">
        <v>21</v>
      </c>
      <c r="C23" s="298">
        <f>'8_2.1.19 SIS'!AV23</f>
        <v>44745</v>
      </c>
      <c r="D23" s="299">
        <f>'[8]Econ. Disad.'!$AV23</f>
        <v>35721</v>
      </c>
      <c r="E23" s="299">
        <f t="shared" si="22"/>
        <v>7858.62</v>
      </c>
      <c r="F23" s="299">
        <f>[8]CTE!$AV23</f>
        <v>20928.5</v>
      </c>
      <c r="G23" s="299">
        <f t="shared" si="23"/>
        <v>1255.71</v>
      </c>
      <c r="H23" s="299">
        <f>[8]SWD!$AV23</f>
        <v>5065</v>
      </c>
      <c r="I23" s="299">
        <f t="shared" si="24"/>
        <v>7597.5</v>
      </c>
      <c r="J23" s="299">
        <f>[8]GT!$AV23</f>
        <v>1537</v>
      </c>
      <c r="K23" s="299">
        <f t="shared" si="25"/>
        <v>922.19999999999993</v>
      </c>
      <c r="L23" s="299">
        <f t="shared" si="1"/>
        <v>0</v>
      </c>
      <c r="M23" s="301">
        <f t="shared" si="2"/>
        <v>0</v>
      </c>
      <c r="N23" s="299">
        <f t="shared" si="3"/>
        <v>0</v>
      </c>
      <c r="O23" s="299">
        <f t="shared" si="26"/>
        <v>17634.030000000002</v>
      </c>
      <c r="P23" s="299">
        <f t="shared" si="4"/>
        <v>62379.03</v>
      </c>
      <c r="Q23" s="302">
        <f t="shared" si="27"/>
        <v>4015</v>
      </c>
      <c r="R23" s="302">
        <f t="shared" si="5"/>
        <v>250451805</v>
      </c>
      <c r="S23" s="302">
        <f>'6_Local Deduct Calc'!J23</f>
        <v>126735659</v>
      </c>
      <c r="T23" s="302">
        <f t="shared" si="28"/>
        <v>126735659</v>
      </c>
      <c r="U23" s="303">
        <f t="shared" si="29"/>
        <v>123716146</v>
      </c>
      <c r="V23" s="304">
        <f t="shared" si="43"/>
        <v>0.49399999999999999</v>
      </c>
      <c r="W23" s="304">
        <f t="shared" si="30"/>
        <v>0.50600000000000001</v>
      </c>
      <c r="X23" s="305">
        <f t="shared" si="6"/>
        <v>2832.3982344396022</v>
      </c>
      <c r="Y23" s="302">
        <f>'7_Local Revenue'!AQ23</f>
        <v>344957143</v>
      </c>
      <c r="Z23" s="302">
        <f t="shared" si="31"/>
        <v>218221484</v>
      </c>
      <c r="AA23" s="31">
        <f t="shared" si="32"/>
        <v>0</v>
      </c>
      <c r="AB23" s="306">
        <f t="shared" si="7"/>
        <v>85153613.700000003</v>
      </c>
      <c r="AC23" s="306">
        <f t="shared" si="8"/>
        <v>85153613.700000003</v>
      </c>
      <c r="AD23" s="302">
        <f t="shared" si="9"/>
        <v>74110893.075384006</v>
      </c>
      <c r="AE23" s="307">
        <f t="shared" si="33"/>
        <v>11042721</v>
      </c>
      <c r="AF23" s="306">
        <f t="shared" si="10"/>
        <v>247</v>
      </c>
      <c r="AG23" s="308">
        <f t="shared" si="34"/>
        <v>0.12970000000000001</v>
      </c>
      <c r="AH23" s="307">
        <f t="shared" si="11"/>
        <v>134758867</v>
      </c>
      <c r="AI23" s="306">
        <f t="shared" si="12"/>
        <v>3012</v>
      </c>
      <c r="AJ23" s="307">
        <f>'3A_Level 3'!J23</f>
        <v>18055192</v>
      </c>
      <c r="AK23" s="306">
        <f t="shared" si="13"/>
        <v>403.51306291205719</v>
      </c>
      <c r="AL23" s="307">
        <f t="shared" si="35"/>
        <v>152814059</v>
      </c>
      <c r="AM23" s="306">
        <f t="shared" si="14"/>
        <v>3415.2208961895185</v>
      </c>
      <c r="AN23" s="309">
        <f>'3A_Level 3'!K23</f>
        <v>53917415</v>
      </c>
      <c r="AO23" s="310">
        <f t="shared" si="15"/>
        <v>1204.9930718516034</v>
      </c>
      <c r="AP23" s="307">
        <f t="shared" si="36"/>
        <v>188676282</v>
      </c>
      <c r="AQ23" s="306">
        <f t="shared" si="16"/>
        <v>4216.7009051290643</v>
      </c>
      <c r="AR23" s="306">
        <f>'3A_Level 3'!L23</f>
        <v>6930615.1110452479</v>
      </c>
      <c r="AS23" s="1095">
        <f t="shared" si="17"/>
        <v>195606897.11104524</v>
      </c>
      <c r="AT23" s="306">
        <f t="shared" si="18"/>
        <v>4371.5922921230358</v>
      </c>
      <c r="AU23" s="308">
        <f t="shared" si="37"/>
        <v>0.48002143726098723</v>
      </c>
      <c r="AV23" s="311">
        <f t="shared" si="38"/>
        <v>58</v>
      </c>
      <c r="AW23" s="306">
        <f t="shared" si="19"/>
        <v>211889272.69999999</v>
      </c>
      <c r="AX23" s="306">
        <f t="shared" si="20"/>
        <v>4735.4799999999996</v>
      </c>
      <c r="AY23" s="311">
        <f t="shared" si="39"/>
        <v>14</v>
      </c>
      <c r="AZ23" s="308">
        <f t="shared" si="40"/>
        <v>0.51997856273901277</v>
      </c>
      <c r="BA23" s="312">
        <f t="shared" si="41"/>
        <v>407496169.81104523</v>
      </c>
      <c r="BB23" s="312">
        <f t="shared" si="21"/>
        <v>9107.077211108397</v>
      </c>
      <c r="BC23" s="311">
        <f t="shared" si="42"/>
        <v>57</v>
      </c>
    </row>
    <row r="24" spans="1:55" s="313" customFormat="1" ht="15.6" customHeight="1" x14ac:dyDescent="0.2">
      <c r="A24" s="683">
        <v>18</v>
      </c>
      <c r="B24" s="298" t="s">
        <v>22</v>
      </c>
      <c r="C24" s="298">
        <f>'8_2.1.19 SIS'!AV24</f>
        <v>898</v>
      </c>
      <c r="D24" s="299">
        <f>'[8]Econ. Disad.'!$AV24</f>
        <v>860</v>
      </c>
      <c r="E24" s="299">
        <f t="shared" si="22"/>
        <v>189.2</v>
      </c>
      <c r="F24" s="299">
        <f>[8]CTE!$AV24</f>
        <v>556</v>
      </c>
      <c r="G24" s="299">
        <f t="shared" si="23"/>
        <v>33.36</v>
      </c>
      <c r="H24" s="299">
        <f>[8]SWD!$AV24</f>
        <v>99</v>
      </c>
      <c r="I24" s="299">
        <f t="shared" si="24"/>
        <v>148.5</v>
      </c>
      <c r="J24" s="299">
        <f>[8]GT!$AV24</f>
        <v>0</v>
      </c>
      <c r="K24" s="299">
        <f t="shared" si="25"/>
        <v>0</v>
      </c>
      <c r="L24" s="299">
        <f t="shared" si="1"/>
        <v>6602</v>
      </c>
      <c r="M24" s="301">
        <f t="shared" si="2"/>
        <v>0.17605000000000001</v>
      </c>
      <c r="N24" s="299">
        <f t="shared" si="3"/>
        <v>158.09290000000001</v>
      </c>
      <c r="O24" s="299">
        <f t="shared" si="26"/>
        <v>529.15290000000005</v>
      </c>
      <c r="P24" s="299">
        <f t="shared" si="4"/>
        <v>1427.1529</v>
      </c>
      <c r="Q24" s="302">
        <f t="shared" si="27"/>
        <v>4015</v>
      </c>
      <c r="R24" s="302">
        <f t="shared" si="5"/>
        <v>5730019</v>
      </c>
      <c r="S24" s="302">
        <f>'6_Local Deduct Calc'!J24</f>
        <v>1337369</v>
      </c>
      <c r="T24" s="302">
        <f t="shared" si="28"/>
        <v>1337369</v>
      </c>
      <c r="U24" s="303">
        <f t="shared" si="29"/>
        <v>4392650</v>
      </c>
      <c r="V24" s="304">
        <f t="shared" si="43"/>
        <v>0.76659999999999995</v>
      </c>
      <c r="W24" s="304">
        <f t="shared" si="30"/>
        <v>0.2334</v>
      </c>
      <c r="X24" s="305">
        <f t="shared" si="6"/>
        <v>1489.2750556792873</v>
      </c>
      <c r="Y24" s="302">
        <f>'7_Local Revenue'!AQ24</f>
        <v>3752916</v>
      </c>
      <c r="Z24" s="302">
        <f t="shared" si="31"/>
        <v>2415547</v>
      </c>
      <c r="AA24" s="31">
        <f t="shared" si="32"/>
        <v>0</v>
      </c>
      <c r="AB24" s="306">
        <f t="shared" si="7"/>
        <v>1948206.4600000002</v>
      </c>
      <c r="AC24" s="306">
        <f t="shared" si="8"/>
        <v>1948206.4600000002</v>
      </c>
      <c r="AD24" s="302">
        <f t="shared" si="9"/>
        <v>782103.58695408003</v>
      </c>
      <c r="AE24" s="307">
        <f t="shared" si="33"/>
        <v>1166103</v>
      </c>
      <c r="AF24" s="306">
        <f t="shared" si="10"/>
        <v>1299</v>
      </c>
      <c r="AG24" s="308">
        <f t="shared" si="34"/>
        <v>0.59860000000000002</v>
      </c>
      <c r="AH24" s="307">
        <f t="shared" si="11"/>
        <v>5558753</v>
      </c>
      <c r="AI24" s="306">
        <f t="shared" si="12"/>
        <v>6190</v>
      </c>
      <c r="AJ24" s="307">
        <f>'3A_Level 3'!J24</f>
        <v>152121</v>
      </c>
      <c r="AK24" s="306">
        <f t="shared" si="13"/>
        <v>169.39977728285078</v>
      </c>
      <c r="AL24" s="307">
        <f t="shared" si="35"/>
        <v>5710874</v>
      </c>
      <c r="AM24" s="306">
        <f t="shared" si="14"/>
        <v>6359.5478841870827</v>
      </c>
      <c r="AN24" s="309">
        <f>'3A_Level 3'!K24</f>
        <v>911784</v>
      </c>
      <c r="AO24" s="310">
        <f t="shared" si="15"/>
        <v>1015.3496659242762</v>
      </c>
      <c r="AP24" s="307">
        <f t="shared" si="36"/>
        <v>6470537</v>
      </c>
      <c r="AQ24" s="306">
        <f t="shared" si="16"/>
        <v>7205.4977728285076</v>
      </c>
      <c r="AR24" s="306">
        <f>'3A_Level 3'!L24</f>
        <v>142030.31968328895</v>
      </c>
      <c r="AS24" s="1095">
        <f t="shared" si="17"/>
        <v>6612567.3196832892</v>
      </c>
      <c r="AT24" s="306">
        <f t="shared" si="18"/>
        <v>7363.6607123421927</v>
      </c>
      <c r="AU24" s="308">
        <f t="shared" si="37"/>
        <v>0.66806141989142653</v>
      </c>
      <c r="AV24" s="311">
        <f t="shared" si="38"/>
        <v>26</v>
      </c>
      <c r="AW24" s="306">
        <f t="shared" si="19"/>
        <v>3285575.46</v>
      </c>
      <c r="AX24" s="306">
        <f t="shared" si="20"/>
        <v>3658.77</v>
      </c>
      <c r="AY24" s="311">
        <f t="shared" si="39"/>
        <v>31</v>
      </c>
      <c r="AZ24" s="308">
        <f t="shared" si="40"/>
        <v>0.33193858010857352</v>
      </c>
      <c r="BA24" s="312">
        <f t="shared" si="41"/>
        <v>9898142.7796832882</v>
      </c>
      <c r="BB24" s="312">
        <f t="shared" si="21"/>
        <v>11022.430712342191</v>
      </c>
      <c r="BC24" s="311">
        <f t="shared" si="42"/>
        <v>5</v>
      </c>
    </row>
    <row r="25" spans="1:55" s="313" customFormat="1" ht="15.6" customHeight="1" x14ac:dyDescent="0.2">
      <c r="A25" s="683">
        <v>19</v>
      </c>
      <c r="B25" s="298" t="s">
        <v>23</v>
      </c>
      <c r="C25" s="298">
        <f>'8_2.1.19 SIS'!AV25</f>
        <v>1861</v>
      </c>
      <c r="D25" s="299">
        <f>'[8]Econ. Disad.'!$AV25</f>
        <v>1342</v>
      </c>
      <c r="E25" s="299">
        <f t="shared" si="22"/>
        <v>295.24</v>
      </c>
      <c r="F25" s="299">
        <f>[8]CTE!$AV25</f>
        <v>550</v>
      </c>
      <c r="G25" s="299">
        <f t="shared" si="23"/>
        <v>33</v>
      </c>
      <c r="H25" s="299">
        <f>[8]SWD!$AV25</f>
        <v>239</v>
      </c>
      <c r="I25" s="299">
        <f t="shared" si="24"/>
        <v>358.5</v>
      </c>
      <c r="J25" s="299">
        <f>[8]GT!$AV25</f>
        <v>30</v>
      </c>
      <c r="K25" s="299">
        <f t="shared" si="25"/>
        <v>18</v>
      </c>
      <c r="L25" s="299">
        <f t="shared" si="1"/>
        <v>5639</v>
      </c>
      <c r="M25" s="301">
        <f t="shared" si="2"/>
        <v>0.15037</v>
      </c>
      <c r="N25" s="299">
        <f t="shared" si="3"/>
        <v>279.83857</v>
      </c>
      <c r="O25" s="299">
        <f t="shared" si="26"/>
        <v>984.57857000000001</v>
      </c>
      <c r="P25" s="299">
        <f t="shared" si="4"/>
        <v>2845.5785700000001</v>
      </c>
      <c r="Q25" s="302">
        <f t="shared" si="27"/>
        <v>4015</v>
      </c>
      <c r="R25" s="302">
        <f t="shared" si="5"/>
        <v>11424998</v>
      </c>
      <c r="S25" s="302">
        <f>'6_Local Deduct Calc'!J25</f>
        <v>3750673</v>
      </c>
      <c r="T25" s="302">
        <f t="shared" si="28"/>
        <v>3750673</v>
      </c>
      <c r="U25" s="303">
        <f t="shared" si="29"/>
        <v>7674325</v>
      </c>
      <c r="V25" s="304">
        <f t="shared" si="43"/>
        <v>0.67169999999999996</v>
      </c>
      <c r="W25" s="304">
        <f t="shared" si="30"/>
        <v>0.32829999999999998</v>
      </c>
      <c r="X25" s="305">
        <f t="shared" si="6"/>
        <v>2015.4073078989791</v>
      </c>
      <c r="Y25" s="302">
        <f>'7_Local Revenue'!AQ25</f>
        <v>6779352</v>
      </c>
      <c r="Z25" s="302">
        <f t="shared" si="31"/>
        <v>3028679</v>
      </c>
      <c r="AA25" s="31">
        <f t="shared" si="32"/>
        <v>0</v>
      </c>
      <c r="AB25" s="306">
        <f t="shared" si="7"/>
        <v>3884499.3200000003</v>
      </c>
      <c r="AC25" s="306">
        <f t="shared" si="8"/>
        <v>3028679</v>
      </c>
      <c r="AD25" s="302">
        <f t="shared" si="9"/>
        <v>1710222.3430039999</v>
      </c>
      <c r="AE25" s="307">
        <f t="shared" si="33"/>
        <v>1318457</v>
      </c>
      <c r="AF25" s="306">
        <f t="shared" si="10"/>
        <v>708</v>
      </c>
      <c r="AG25" s="308">
        <f t="shared" si="34"/>
        <v>0.43530000000000002</v>
      </c>
      <c r="AH25" s="307">
        <f t="shared" si="11"/>
        <v>8992782</v>
      </c>
      <c r="AI25" s="306">
        <f t="shared" si="12"/>
        <v>4832</v>
      </c>
      <c r="AJ25" s="307">
        <f>'3A_Level 3'!J25</f>
        <v>315253</v>
      </c>
      <c r="AK25" s="306">
        <f t="shared" si="13"/>
        <v>169.39978506179474</v>
      </c>
      <c r="AL25" s="307">
        <f t="shared" si="35"/>
        <v>9308035</v>
      </c>
      <c r="AM25" s="306">
        <f t="shared" si="14"/>
        <v>5001.6308436324553</v>
      </c>
      <c r="AN25" s="309">
        <f>'3A_Level 3'!K25</f>
        <v>2000258</v>
      </c>
      <c r="AO25" s="310">
        <f t="shared" si="15"/>
        <v>1074.8296614723267</v>
      </c>
      <c r="AP25" s="307">
        <f t="shared" si="36"/>
        <v>10993040</v>
      </c>
      <c r="AQ25" s="306">
        <f t="shared" si="16"/>
        <v>5907.0607200429877</v>
      </c>
      <c r="AR25" s="306">
        <f>'3A_Level 3'!L25</f>
        <v>301521.67752638651</v>
      </c>
      <c r="AS25" s="1095">
        <f t="shared" si="17"/>
        <v>11294561.677526386</v>
      </c>
      <c r="AT25" s="306">
        <f t="shared" si="18"/>
        <v>6069.0820405837649</v>
      </c>
      <c r="AU25" s="308">
        <f t="shared" si="37"/>
        <v>0.62490957293717542</v>
      </c>
      <c r="AV25" s="311">
        <f t="shared" si="38"/>
        <v>40</v>
      </c>
      <c r="AW25" s="306">
        <f t="shared" si="19"/>
        <v>6779352</v>
      </c>
      <c r="AX25" s="306">
        <f t="shared" si="20"/>
        <v>3642.85</v>
      </c>
      <c r="AY25" s="311">
        <f t="shared" si="39"/>
        <v>32</v>
      </c>
      <c r="AZ25" s="308">
        <f t="shared" si="40"/>
        <v>0.37509042706282469</v>
      </c>
      <c r="BA25" s="312">
        <f t="shared" si="41"/>
        <v>18073913.677526385</v>
      </c>
      <c r="BB25" s="312">
        <f t="shared" si="21"/>
        <v>9711.9364199496958</v>
      </c>
      <c r="BC25" s="311">
        <f t="shared" si="42"/>
        <v>35</v>
      </c>
    </row>
    <row r="26" spans="1:55" s="315" customFormat="1" ht="15.6" customHeight="1" x14ac:dyDescent="0.2">
      <c r="A26" s="684">
        <v>20</v>
      </c>
      <c r="B26" s="685" t="s">
        <v>24</v>
      </c>
      <c r="C26" s="685">
        <f>'8_2.1.19 SIS'!AV26</f>
        <v>5609</v>
      </c>
      <c r="D26" s="686">
        <f>'[8]Econ. Disad.'!$AV26</f>
        <v>4050</v>
      </c>
      <c r="E26" s="686">
        <f t="shared" si="22"/>
        <v>891</v>
      </c>
      <c r="F26" s="686">
        <f>[8]CTE!$AV26</f>
        <v>2497.5</v>
      </c>
      <c r="G26" s="686">
        <f t="shared" si="23"/>
        <v>149.85</v>
      </c>
      <c r="H26" s="686">
        <f>[8]SWD!$AV26</f>
        <v>806</v>
      </c>
      <c r="I26" s="686">
        <f t="shared" si="24"/>
        <v>1209</v>
      </c>
      <c r="J26" s="686">
        <f>[8]GT!$AV26</f>
        <v>129</v>
      </c>
      <c r="K26" s="686">
        <f t="shared" si="25"/>
        <v>77.399999999999991</v>
      </c>
      <c r="L26" s="686">
        <f t="shared" si="1"/>
        <v>1891</v>
      </c>
      <c r="M26" s="687">
        <f t="shared" si="2"/>
        <v>5.0430000000000003E-2</v>
      </c>
      <c r="N26" s="686">
        <f t="shared" si="3"/>
        <v>282.86187000000001</v>
      </c>
      <c r="O26" s="686">
        <f t="shared" si="26"/>
        <v>2610.1118700000002</v>
      </c>
      <c r="P26" s="314">
        <f t="shared" si="4"/>
        <v>8219.1118700000006</v>
      </c>
      <c r="Q26" s="606">
        <f t="shared" si="27"/>
        <v>4015</v>
      </c>
      <c r="R26" s="606">
        <f t="shared" si="5"/>
        <v>32999734</v>
      </c>
      <c r="S26" s="606">
        <f>'6_Local Deduct Calc'!J26</f>
        <v>6825015</v>
      </c>
      <c r="T26" s="606">
        <f t="shared" si="28"/>
        <v>6825015</v>
      </c>
      <c r="U26" s="607">
        <f t="shared" si="29"/>
        <v>26174719</v>
      </c>
      <c r="V26" s="688">
        <f t="shared" si="43"/>
        <v>0.79320000000000002</v>
      </c>
      <c r="W26" s="608">
        <f t="shared" si="30"/>
        <v>0.20680000000000001</v>
      </c>
      <c r="X26" s="609">
        <f t="shared" si="6"/>
        <v>1216.7971117846319</v>
      </c>
      <c r="Y26" s="606">
        <f>'7_Local Revenue'!AQ26</f>
        <v>15083005</v>
      </c>
      <c r="Z26" s="606">
        <f t="shared" si="31"/>
        <v>8257990</v>
      </c>
      <c r="AA26" s="689">
        <f t="shared" si="32"/>
        <v>0</v>
      </c>
      <c r="AB26" s="690">
        <f t="shared" si="7"/>
        <v>11219909.560000001</v>
      </c>
      <c r="AC26" s="690">
        <f t="shared" si="8"/>
        <v>8257990</v>
      </c>
      <c r="AD26" s="606">
        <f t="shared" si="9"/>
        <v>2937334.0110400002</v>
      </c>
      <c r="AE26" s="691">
        <f t="shared" si="33"/>
        <v>5320656</v>
      </c>
      <c r="AF26" s="690">
        <f t="shared" si="10"/>
        <v>949</v>
      </c>
      <c r="AG26" s="692">
        <f t="shared" si="34"/>
        <v>0.64429999999999998</v>
      </c>
      <c r="AH26" s="691">
        <f t="shared" si="11"/>
        <v>31495375</v>
      </c>
      <c r="AI26" s="690">
        <f t="shared" si="12"/>
        <v>5615</v>
      </c>
      <c r="AJ26" s="691">
        <f>'3A_Level 3'!J26</f>
        <v>560900</v>
      </c>
      <c r="AK26" s="690">
        <f t="shared" si="13"/>
        <v>100</v>
      </c>
      <c r="AL26" s="691">
        <f t="shared" si="35"/>
        <v>32056275</v>
      </c>
      <c r="AM26" s="690">
        <f t="shared" si="14"/>
        <v>5715.1497593153863</v>
      </c>
      <c r="AN26" s="693">
        <f>'3A_Level 3'!K26</f>
        <v>3848728</v>
      </c>
      <c r="AO26" s="694">
        <f t="shared" si="15"/>
        <v>686.17008379390268</v>
      </c>
      <c r="AP26" s="691">
        <f t="shared" si="36"/>
        <v>35344103</v>
      </c>
      <c r="AQ26" s="690">
        <f t="shared" si="16"/>
        <v>6301.3198431092887</v>
      </c>
      <c r="AR26" s="957">
        <f>'3A_Level 3'!L26</f>
        <v>759777.13866270857</v>
      </c>
      <c r="AS26" s="1096">
        <f t="shared" si="17"/>
        <v>36103880.138662711</v>
      </c>
      <c r="AT26" s="961">
        <f t="shared" si="18"/>
        <v>6436.7766337426838</v>
      </c>
      <c r="AU26" s="692">
        <f t="shared" si="37"/>
        <v>0.70533458015386374</v>
      </c>
      <c r="AV26" s="695">
        <f t="shared" si="38"/>
        <v>12</v>
      </c>
      <c r="AW26" s="690">
        <f t="shared" si="19"/>
        <v>15083005</v>
      </c>
      <c r="AX26" s="690">
        <f t="shared" si="20"/>
        <v>2689.07</v>
      </c>
      <c r="AY26" s="695">
        <f t="shared" si="39"/>
        <v>59</v>
      </c>
      <c r="AZ26" s="692">
        <f t="shared" si="40"/>
        <v>0.29466541984613626</v>
      </c>
      <c r="BA26" s="696">
        <f t="shared" si="41"/>
        <v>51186885.138662711</v>
      </c>
      <c r="BB26" s="696">
        <f t="shared" si="21"/>
        <v>9125.848660841988</v>
      </c>
      <c r="BC26" s="695">
        <f t="shared" si="42"/>
        <v>56</v>
      </c>
    </row>
    <row r="27" spans="1:55" s="313" customFormat="1" ht="15.6" customHeight="1" x14ac:dyDescent="0.2">
      <c r="A27" s="683">
        <v>21</v>
      </c>
      <c r="B27" s="298" t="s">
        <v>25</v>
      </c>
      <c r="C27" s="299">
        <f>'8_2.1.19 SIS'!AV27</f>
        <v>2956</v>
      </c>
      <c r="D27" s="299">
        <f>'[8]Econ. Disad.'!$AV27</f>
        <v>2466</v>
      </c>
      <c r="E27" s="299">
        <f t="shared" si="22"/>
        <v>542.52</v>
      </c>
      <c r="F27" s="299">
        <f>[8]CTE!$AV27</f>
        <v>1151.5</v>
      </c>
      <c r="G27" s="299">
        <f t="shared" si="23"/>
        <v>69.09</v>
      </c>
      <c r="H27" s="299">
        <f>[8]SWD!$AV27</f>
        <v>505</v>
      </c>
      <c r="I27" s="299">
        <f t="shared" si="24"/>
        <v>757.5</v>
      </c>
      <c r="J27" s="299">
        <f>[8]GT!$AV27</f>
        <v>101</v>
      </c>
      <c r="K27" s="299">
        <f t="shared" si="25"/>
        <v>60.599999999999994</v>
      </c>
      <c r="L27" s="300">
        <f t="shared" si="1"/>
        <v>4544</v>
      </c>
      <c r="M27" s="301">
        <f t="shared" si="2"/>
        <v>0.12117</v>
      </c>
      <c r="N27" s="299">
        <f t="shared" si="3"/>
        <v>358.17851999999999</v>
      </c>
      <c r="O27" s="299">
        <f t="shared" si="26"/>
        <v>1787.88852</v>
      </c>
      <c r="P27" s="299">
        <f t="shared" si="4"/>
        <v>4743.8885200000004</v>
      </c>
      <c r="Q27" s="302">
        <f t="shared" si="27"/>
        <v>4015</v>
      </c>
      <c r="R27" s="302">
        <f t="shared" si="5"/>
        <v>19046712</v>
      </c>
      <c r="S27" s="302">
        <f>'6_Local Deduct Calc'!J27</f>
        <v>3516150</v>
      </c>
      <c r="T27" s="302">
        <f t="shared" si="28"/>
        <v>3516150</v>
      </c>
      <c r="U27" s="303">
        <f t="shared" si="29"/>
        <v>15530562</v>
      </c>
      <c r="V27" s="304">
        <f t="shared" si="43"/>
        <v>0.81540000000000001</v>
      </c>
      <c r="W27" s="304">
        <f t="shared" si="30"/>
        <v>0.18459999999999999</v>
      </c>
      <c r="X27" s="305">
        <f t="shared" si="6"/>
        <v>1189.4959404600811</v>
      </c>
      <c r="Y27" s="302">
        <f>'7_Local Revenue'!AQ27</f>
        <v>7734428</v>
      </c>
      <c r="Z27" s="302">
        <f t="shared" si="31"/>
        <v>4218278</v>
      </c>
      <c r="AA27" s="31">
        <f t="shared" si="32"/>
        <v>0</v>
      </c>
      <c r="AB27" s="306">
        <f t="shared" si="7"/>
        <v>6475882.0800000001</v>
      </c>
      <c r="AC27" s="306">
        <f t="shared" si="8"/>
        <v>4218278</v>
      </c>
      <c r="AD27" s="302">
        <f t="shared" si="9"/>
        <v>1339353.8843359998</v>
      </c>
      <c r="AE27" s="307">
        <f t="shared" si="33"/>
        <v>2878924</v>
      </c>
      <c r="AF27" s="306">
        <f t="shared" si="10"/>
        <v>974</v>
      </c>
      <c r="AG27" s="308">
        <f t="shared" si="34"/>
        <v>0.6825</v>
      </c>
      <c r="AH27" s="307">
        <f t="shared" si="11"/>
        <v>18409486</v>
      </c>
      <c r="AI27" s="306">
        <f t="shared" si="12"/>
        <v>6228</v>
      </c>
      <c r="AJ27" s="307">
        <f>'3A_Level 3'!J27</f>
        <v>500746</v>
      </c>
      <c r="AK27" s="306">
        <f t="shared" si="13"/>
        <v>169.39986468200271</v>
      </c>
      <c r="AL27" s="307">
        <f t="shared" si="35"/>
        <v>18910232</v>
      </c>
      <c r="AM27" s="306">
        <f t="shared" si="14"/>
        <v>6397.2368064952643</v>
      </c>
      <c r="AN27" s="309">
        <f>'3A_Level 3'!K27</f>
        <v>2304941</v>
      </c>
      <c r="AO27" s="310">
        <f t="shared" si="15"/>
        <v>779.75</v>
      </c>
      <c r="AP27" s="307">
        <f t="shared" si="36"/>
        <v>20714427</v>
      </c>
      <c r="AQ27" s="306">
        <f t="shared" si="16"/>
        <v>7007.5869418132615</v>
      </c>
      <c r="AR27" s="306">
        <f>'3A_Level 3'!L27</f>
        <v>455949.44849266618</v>
      </c>
      <c r="AS27" s="1095">
        <f t="shared" si="17"/>
        <v>21170376.448492665</v>
      </c>
      <c r="AT27" s="306">
        <f t="shared" si="18"/>
        <v>7161.8323574061787</v>
      </c>
      <c r="AU27" s="308">
        <f t="shared" si="37"/>
        <v>0.73241721756732603</v>
      </c>
      <c r="AV27" s="311">
        <f t="shared" si="38"/>
        <v>6</v>
      </c>
      <c r="AW27" s="306">
        <f t="shared" si="19"/>
        <v>7734428</v>
      </c>
      <c r="AX27" s="306">
        <f t="shared" si="20"/>
        <v>2616.52</v>
      </c>
      <c r="AY27" s="311">
        <f t="shared" si="39"/>
        <v>63</v>
      </c>
      <c r="AZ27" s="308">
        <f t="shared" si="40"/>
        <v>0.26758278243267397</v>
      </c>
      <c r="BA27" s="312">
        <f t="shared" si="41"/>
        <v>28904804.448492665</v>
      </c>
      <c r="BB27" s="312">
        <f t="shared" si="21"/>
        <v>9778.3506253358137</v>
      </c>
      <c r="BC27" s="311">
        <f t="shared" si="42"/>
        <v>30</v>
      </c>
    </row>
    <row r="28" spans="1:55" s="313" customFormat="1" ht="15.6" customHeight="1" x14ac:dyDescent="0.2">
      <c r="A28" s="683">
        <v>22</v>
      </c>
      <c r="B28" s="298" t="s">
        <v>26</v>
      </c>
      <c r="C28" s="298">
        <f>'8_2.1.19 SIS'!AV28</f>
        <v>2915</v>
      </c>
      <c r="D28" s="299">
        <f>'[8]Econ. Disad.'!$AV28</f>
        <v>2090</v>
      </c>
      <c r="E28" s="299">
        <f t="shared" si="22"/>
        <v>459.8</v>
      </c>
      <c r="F28" s="299">
        <f>[8]CTE!$AV28</f>
        <v>1860.5</v>
      </c>
      <c r="G28" s="299">
        <f t="shared" si="23"/>
        <v>111.63</v>
      </c>
      <c r="H28" s="299">
        <f>[8]SWD!$AV28</f>
        <v>570</v>
      </c>
      <c r="I28" s="299">
        <f t="shared" si="24"/>
        <v>855</v>
      </c>
      <c r="J28" s="299">
        <f>[8]GT!$AV28</f>
        <v>17</v>
      </c>
      <c r="K28" s="299">
        <f t="shared" si="25"/>
        <v>10.199999999999999</v>
      </c>
      <c r="L28" s="299">
        <f t="shared" si="1"/>
        <v>4585</v>
      </c>
      <c r="M28" s="301">
        <f t="shared" si="2"/>
        <v>0.12227</v>
      </c>
      <c r="N28" s="299">
        <f t="shared" si="3"/>
        <v>356.41705000000002</v>
      </c>
      <c r="O28" s="299">
        <f t="shared" si="26"/>
        <v>1793.0470500000001</v>
      </c>
      <c r="P28" s="299">
        <f t="shared" si="4"/>
        <v>4708.0470500000001</v>
      </c>
      <c r="Q28" s="302">
        <f t="shared" si="27"/>
        <v>4015</v>
      </c>
      <c r="R28" s="302">
        <f t="shared" si="5"/>
        <v>18902809</v>
      </c>
      <c r="S28" s="302">
        <f>'6_Local Deduct Calc'!J28</f>
        <v>2016388</v>
      </c>
      <c r="T28" s="302">
        <f t="shared" si="28"/>
        <v>2016388</v>
      </c>
      <c r="U28" s="303">
        <f t="shared" si="29"/>
        <v>16886421</v>
      </c>
      <c r="V28" s="304">
        <f t="shared" si="43"/>
        <v>0.89329999999999998</v>
      </c>
      <c r="W28" s="304">
        <f t="shared" si="30"/>
        <v>0.1067</v>
      </c>
      <c r="X28" s="305">
        <f t="shared" si="6"/>
        <v>691.72830188679245</v>
      </c>
      <c r="Y28" s="302">
        <f>'7_Local Revenue'!AQ28</f>
        <v>5727555</v>
      </c>
      <c r="Z28" s="302">
        <f t="shared" si="31"/>
        <v>3711167</v>
      </c>
      <c r="AA28" s="31">
        <f t="shared" si="32"/>
        <v>0</v>
      </c>
      <c r="AB28" s="306">
        <f t="shared" si="7"/>
        <v>6426955.0600000005</v>
      </c>
      <c r="AC28" s="306">
        <f t="shared" si="8"/>
        <v>3711167</v>
      </c>
      <c r="AD28" s="302">
        <f t="shared" si="9"/>
        <v>681088.21250799997</v>
      </c>
      <c r="AE28" s="307">
        <f t="shared" si="33"/>
        <v>3030079</v>
      </c>
      <c r="AF28" s="306">
        <f t="shared" si="10"/>
        <v>1039</v>
      </c>
      <c r="AG28" s="308">
        <f t="shared" si="34"/>
        <v>0.8165</v>
      </c>
      <c r="AH28" s="307">
        <f t="shared" si="11"/>
        <v>19916500</v>
      </c>
      <c r="AI28" s="306">
        <f t="shared" si="12"/>
        <v>6832</v>
      </c>
      <c r="AJ28" s="307">
        <f>'3A_Level 3'!J28</f>
        <v>493801</v>
      </c>
      <c r="AK28" s="306">
        <f t="shared" si="13"/>
        <v>169.4</v>
      </c>
      <c r="AL28" s="307">
        <f t="shared" si="35"/>
        <v>20410301</v>
      </c>
      <c r="AM28" s="306">
        <f t="shared" si="14"/>
        <v>7001.8185248713553</v>
      </c>
      <c r="AN28" s="309">
        <f>'3A_Level 3'!K28</f>
        <v>1940690</v>
      </c>
      <c r="AO28" s="310">
        <f t="shared" si="15"/>
        <v>665.75986277873074</v>
      </c>
      <c r="AP28" s="307">
        <f t="shared" si="36"/>
        <v>21857190</v>
      </c>
      <c r="AQ28" s="306">
        <f t="shared" si="16"/>
        <v>7498.1783876500858</v>
      </c>
      <c r="AR28" s="306">
        <f>'3A_Level 3'!L28</f>
        <v>426087.63496210042</v>
      </c>
      <c r="AS28" s="1095">
        <f t="shared" si="17"/>
        <v>22283277.634962101</v>
      </c>
      <c r="AT28" s="306">
        <f t="shared" si="18"/>
        <v>7644.3491029029501</v>
      </c>
      <c r="AU28" s="308">
        <f t="shared" si="37"/>
        <v>0.79552357208935398</v>
      </c>
      <c r="AV28" s="311">
        <f t="shared" si="38"/>
        <v>2</v>
      </c>
      <c r="AW28" s="306">
        <f t="shared" si="19"/>
        <v>5727555</v>
      </c>
      <c r="AX28" s="306">
        <f t="shared" si="20"/>
        <v>1964.86</v>
      </c>
      <c r="AY28" s="311">
        <f t="shared" si="39"/>
        <v>68</v>
      </c>
      <c r="AZ28" s="308">
        <f t="shared" si="40"/>
        <v>0.20447642791064607</v>
      </c>
      <c r="BA28" s="312">
        <f t="shared" si="41"/>
        <v>28010832.634962101</v>
      </c>
      <c r="BB28" s="312">
        <f t="shared" si="21"/>
        <v>9609.2050205701889</v>
      </c>
      <c r="BC28" s="311">
        <f t="shared" si="42"/>
        <v>38</v>
      </c>
    </row>
    <row r="29" spans="1:55" s="313" customFormat="1" ht="15.6" customHeight="1" x14ac:dyDescent="0.2">
      <c r="A29" s="683">
        <v>23</v>
      </c>
      <c r="B29" s="298" t="s">
        <v>27</v>
      </c>
      <c r="C29" s="298">
        <f>'8_2.1.19 SIS'!AV29</f>
        <v>12241</v>
      </c>
      <c r="D29" s="299">
        <f>'[8]Econ. Disad.'!$AV29</f>
        <v>9009</v>
      </c>
      <c r="E29" s="299">
        <f t="shared" si="22"/>
        <v>1981.98</v>
      </c>
      <c r="F29" s="299">
        <f>[8]CTE!$AV29</f>
        <v>6864.5</v>
      </c>
      <c r="G29" s="299">
        <f t="shared" si="23"/>
        <v>411.87</v>
      </c>
      <c r="H29" s="299">
        <f>[8]SWD!$AV29</f>
        <v>1724</v>
      </c>
      <c r="I29" s="299">
        <f t="shared" si="24"/>
        <v>2586</v>
      </c>
      <c r="J29" s="299">
        <f>[8]GT!$AV29</f>
        <v>419</v>
      </c>
      <c r="K29" s="299">
        <f t="shared" si="25"/>
        <v>251.39999999999998</v>
      </c>
      <c r="L29" s="299">
        <f t="shared" si="1"/>
        <v>0</v>
      </c>
      <c r="M29" s="301">
        <f t="shared" si="2"/>
        <v>0</v>
      </c>
      <c r="N29" s="299">
        <f t="shared" si="3"/>
        <v>0</v>
      </c>
      <c r="O29" s="299">
        <f t="shared" si="26"/>
        <v>5231.25</v>
      </c>
      <c r="P29" s="299">
        <f t="shared" si="4"/>
        <v>17472.25</v>
      </c>
      <c r="Q29" s="302">
        <f t="shared" si="27"/>
        <v>4015</v>
      </c>
      <c r="R29" s="302">
        <f t="shared" si="5"/>
        <v>70151084</v>
      </c>
      <c r="S29" s="302">
        <f>'6_Local Deduct Calc'!J29</f>
        <v>18649560</v>
      </c>
      <c r="T29" s="302">
        <f t="shared" si="28"/>
        <v>18649560</v>
      </c>
      <c r="U29" s="303">
        <f t="shared" si="29"/>
        <v>51501524</v>
      </c>
      <c r="V29" s="304">
        <f t="shared" si="43"/>
        <v>0.73419999999999996</v>
      </c>
      <c r="W29" s="304">
        <f t="shared" si="30"/>
        <v>0.26579999999999998</v>
      </c>
      <c r="X29" s="305">
        <f t="shared" si="6"/>
        <v>1523.5323911445143</v>
      </c>
      <c r="Y29" s="302">
        <f>'7_Local Revenue'!AQ29</f>
        <v>43573350</v>
      </c>
      <c r="Z29" s="302">
        <f t="shared" si="31"/>
        <v>24923790</v>
      </c>
      <c r="AA29" s="31">
        <f t="shared" si="32"/>
        <v>0</v>
      </c>
      <c r="AB29" s="306">
        <f t="shared" si="7"/>
        <v>23851368.560000002</v>
      </c>
      <c r="AC29" s="306">
        <f t="shared" si="8"/>
        <v>23851368.560000002</v>
      </c>
      <c r="AD29" s="302">
        <f t="shared" si="9"/>
        <v>10904273.27278656</v>
      </c>
      <c r="AE29" s="307">
        <f t="shared" si="33"/>
        <v>12947095</v>
      </c>
      <c r="AF29" s="306">
        <f t="shared" si="10"/>
        <v>1058</v>
      </c>
      <c r="AG29" s="308">
        <f t="shared" si="34"/>
        <v>0.54279999999999995</v>
      </c>
      <c r="AH29" s="307">
        <f t="shared" si="11"/>
        <v>64448619</v>
      </c>
      <c r="AI29" s="306">
        <f t="shared" si="12"/>
        <v>5265</v>
      </c>
      <c r="AJ29" s="307">
        <f>'3A_Level 3'!J29</f>
        <v>2073624</v>
      </c>
      <c r="AK29" s="306">
        <f t="shared" si="13"/>
        <v>169.39988563025898</v>
      </c>
      <c r="AL29" s="307">
        <f t="shared" si="35"/>
        <v>66522243</v>
      </c>
      <c r="AM29" s="306">
        <f t="shared" si="14"/>
        <v>5434.3797892329058</v>
      </c>
      <c r="AN29" s="309">
        <f>'3A_Level 3'!K29</f>
        <v>10502532</v>
      </c>
      <c r="AO29" s="310">
        <f t="shared" si="15"/>
        <v>857.9799036026468</v>
      </c>
      <c r="AP29" s="307">
        <f t="shared" si="36"/>
        <v>74951151</v>
      </c>
      <c r="AQ29" s="306">
        <f t="shared" si="16"/>
        <v>6122.9598072052941</v>
      </c>
      <c r="AR29" s="306">
        <f>'3A_Level 3'!L29</f>
        <v>1720408.7900708839</v>
      </c>
      <c r="AS29" s="1095">
        <f t="shared" si="17"/>
        <v>76671559.790070891</v>
      </c>
      <c r="AT29" s="306">
        <f t="shared" si="18"/>
        <v>6263.5045984863073</v>
      </c>
      <c r="AU29" s="308">
        <f t="shared" si="37"/>
        <v>0.64336627397463653</v>
      </c>
      <c r="AV29" s="311">
        <f t="shared" si="38"/>
        <v>32</v>
      </c>
      <c r="AW29" s="306">
        <f t="shared" si="19"/>
        <v>42500928.560000002</v>
      </c>
      <c r="AX29" s="306">
        <f t="shared" si="20"/>
        <v>3472.01</v>
      </c>
      <c r="AY29" s="311">
        <f t="shared" si="39"/>
        <v>37</v>
      </c>
      <c r="AZ29" s="308">
        <f t="shared" si="40"/>
        <v>0.35663372602536347</v>
      </c>
      <c r="BA29" s="312">
        <f t="shared" si="41"/>
        <v>119172488.35007089</v>
      </c>
      <c r="BB29" s="312">
        <f t="shared" si="21"/>
        <v>9735.5190221445064</v>
      </c>
      <c r="BC29" s="311">
        <f t="shared" si="42"/>
        <v>33</v>
      </c>
    </row>
    <row r="30" spans="1:55" s="313" customFormat="1" ht="15.6" customHeight="1" x14ac:dyDescent="0.2">
      <c r="A30" s="683">
        <v>24</v>
      </c>
      <c r="B30" s="298" t="s">
        <v>28</v>
      </c>
      <c r="C30" s="298">
        <f>'8_2.1.19 SIS'!AV30</f>
        <v>4555</v>
      </c>
      <c r="D30" s="299">
        <f>'[8]Econ. Disad.'!$AV30</f>
        <v>3481</v>
      </c>
      <c r="E30" s="299">
        <f t="shared" si="22"/>
        <v>765.82</v>
      </c>
      <c r="F30" s="299">
        <f>[8]CTE!$AV30</f>
        <v>1811.5</v>
      </c>
      <c r="G30" s="299">
        <f t="shared" si="23"/>
        <v>108.69</v>
      </c>
      <c r="H30" s="299">
        <f>[8]SWD!$AV30</f>
        <v>493</v>
      </c>
      <c r="I30" s="299">
        <f t="shared" si="24"/>
        <v>739.5</v>
      </c>
      <c r="J30" s="299">
        <f>[8]GT!$AV30</f>
        <v>179</v>
      </c>
      <c r="K30" s="299">
        <f t="shared" si="25"/>
        <v>107.39999999999999</v>
      </c>
      <c r="L30" s="299">
        <f t="shared" si="1"/>
        <v>2945</v>
      </c>
      <c r="M30" s="301">
        <f t="shared" si="2"/>
        <v>7.8530000000000003E-2</v>
      </c>
      <c r="N30" s="299">
        <f t="shared" si="3"/>
        <v>357.70415000000003</v>
      </c>
      <c r="O30" s="299">
        <f t="shared" si="26"/>
        <v>2079.1141500000003</v>
      </c>
      <c r="P30" s="299">
        <f t="shared" si="4"/>
        <v>6634.1141500000003</v>
      </c>
      <c r="Q30" s="302">
        <f t="shared" si="27"/>
        <v>4015</v>
      </c>
      <c r="R30" s="302">
        <f t="shared" si="5"/>
        <v>26635968</v>
      </c>
      <c r="S30" s="302">
        <f>'6_Local Deduct Calc'!J30</f>
        <v>17453111</v>
      </c>
      <c r="T30" s="302">
        <f t="shared" si="28"/>
        <v>17453111</v>
      </c>
      <c r="U30" s="303">
        <f t="shared" si="29"/>
        <v>9182857</v>
      </c>
      <c r="V30" s="304">
        <f t="shared" si="43"/>
        <v>0.3448</v>
      </c>
      <c r="W30" s="304">
        <f t="shared" si="30"/>
        <v>0.6552</v>
      </c>
      <c r="X30" s="305">
        <f t="shared" si="6"/>
        <v>3831.6379802414926</v>
      </c>
      <c r="Y30" s="302">
        <f>'7_Local Revenue'!AQ30</f>
        <v>56714601</v>
      </c>
      <c r="Z30" s="302">
        <f t="shared" si="31"/>
        <v>39261490</v>
      </c>
      <c r="AA30" s="31">
        <f t="shared" si="32"/>
        <v>0</v>
      </c>
      <c r="AB30" s="306">
        <f t="shared" si="7"/>
        <v>9056229.120000001</v>
      </c>
      <c r="AC30" s="306">
        <f t="shared" si="8"/>
        <v>9056229.120000001</v>
      </c>
      <c r="AD30" s="302">
        <f t="shared" si="9"/>
        <v>10205863.069409281</v>
      </c>
      <c r="AE30" s="307">
        <f t="shared" si="33"/>
        <v>0</v>
      </c>
      <c r="AF30" s="306">
        <f t="shared" si="10"/>
        <v>0</v>
      </c>
      <c r="AG30" s="308">
        <f t="shared" si="34"/>
        <v>0</v>
      </c>
      <c r="AH30" s="307">
        <f t="shared" si="11"/>
        <v>9182857</v>
      </c>
      <c r="AI30" s="306">
        <f t="shared" si="12"/>
        <v>2016</v>
      </c>
      <c r="AJ30" s="307">
        <f>'3A_Level 3'!J30</f>
        <v>2110234</v>
      </c>
      <c r="AK30" s="306">
        <f t="shared" si="13"/>
        <v>463.27859495060375</v>
      </c>
      <c r="AL30" s="307">
        <f t="shared" si="35"/>
        <v>11293091</v>
      </c>
      <c r="AM30" s="306">
        <f t="shared" si="14"/>
        <v>2479.2735455543357</v>
      </c>
      <c r="AN30" s="309">
        <f>'3A_Level 3'!K30</f>
        <v>6001343</v>
      </c>
      <c r="AO30" s="310">
        <f t="shared" si="15"/>
        <v>1317.5286498353457</v>
      </c>
      <c r="AP30" s="307">
        <f t="shared" si="36"/>
        <v>15184200</v>
      </c>
      <c r="AQ30" s="306">
        <f t="shared" si="16"/>
        <v>3333.5236004390781</v>
      </c>
      <c r="AR30" s="306">
        <f>'3A_Level 3'!L30</f>
        <v>794604.38171001454</v>
      </c>
      <c r="AS30" s="1095">
        <f t="shared" si="17"/>
        <v>15978804.381710015</v>
      </c>
      <c r="AT30" s="306">
        <f t="shared" si="18"/>
        <v>3507.9702265005521</v>
      </c>
      <c r="AU30" s="308">
        <f t="shared" si="37"/>
        <v>0.37607677551244723</v>
      </c>
      <c r="AV30" s="311">
        <f t="shared" si="38"/>
        <v>65</v>
      </c>
      <c r="AW30" s="306">
        <f t="shared" si="19"/>
        <v>26509340.120000001</v>
      </c>
      <c r="AX30" s="306">
        <f t="shared" si="20"/>
        <v>5819.83</v>
      </c>
      <c r="AY30" s="311">
        <f t="shared" si="39"/>
        <v>5</v>
      </c>
      <c r="AZ30" s="308">
        <f t="shared" si="40"/>
        <v>0.62392322448755289</v>
      </c>
      <c r="BA30" s="312">
        <f t="shared" si="41"/>
        <v>42488144.501710013</v>
      </c>
      <c r="BB30" s="312">
        <f t="shared" si="21"/>
        <v>9327.8034032294217</v>
      </c>
      <c r="BC30" s="311">
        <f t="shared" si="42"/>
        <v>50</v>
      </c>
    </row>
    <row r="31" spans="1:55" s="315" customFormat="1" ht="15.6" customHeight="1" x14ac:dyDescent="0.2">
      <c r="A31" s="684">
        <v>25</v>
      </c>
      <c r="B31" s="685" t="s">
        <v>29</v>
      </c>
      <c r="C31" s="685">
        <f>'8_2.1.19 SIS'!AV31</f>
        <v>2243</v>
      </c>
      <c r="D31" s="686">
        <f>'[8]Econ. Disad.'!$AV31</f>
        <v>1621</v>
      </c>
      <c r="E31" s="686">
        <f t="shared" si="22"/>
        <v>356.62</v>
      </c>
      <c r="F31" s="686">
        <f>[8]CTE!$AV31</f>
        <v>1561.5</v>
      </c>
      <c r="G31" s="686">
        <f t="shared" si="23"/>
        <v>93.69</v>
      </c>
      <c r="H31" s="686">
        <f>[8]SWD!$AV31</f>
        <v>217</v>
      </c>
      <c r="I31" s="686">
        <f t="shared" si="24"/>
        <v>325.5</v>
      </c>
      <c r="J31" s="686">
        <f>[8]GT!$AV31</f>
        <v>85</v>
      </c>
      <c r="K31" s="686">
        <f t="shared" si="25"/>
        <v>51</v>
      </c>
      <c r="L31" s="686">
        <f t="shared" si="1"/>
        <v>5257</v>
      </c>
      <c r="M31" s="687">
        <f t="shared" si="2"/>
        <v>0.14019000000000001</v>
      </c>
      <c r="N31" s="686">
        <f t="shared" si="3"/>
        <v>314.44617</v>
      </c>
      <c r="O31" s="686">
        <f t="shared" si="26"/>
        <v>1141.2561699999999</v>
      </c>
      <c r="P31" s="314">
        <f t="shared" si="4"/>
        <v>3384.2561699999997</v>
      </c>
      <c r="Q31" s="606">
        <f t="shared" si="27"/>
        <v>4015</v>
      </c>
      <c r="R31" s="606">
        <f t="shared" si="5"/>
        <v>13587789</v>
      </c>
      <c r="S31" s="606">
        <f>'6_Local Deduct Calc'!J31</f>
        <v>4879366</v>
      </c>
      <c r="T31" s="606">
        <f t="shared" si="28"/>
        <v>4879366</v>
      </c>
      <c r="U31" s="607">
        <f t="shared" si="29"/>
        <v>8708423</v>
      </c>
      <c r="V31" s="688">
        <f t="shared" si="43"/>
        <v>0.64090000000000003</v>
      </c>
      <c r="W31" s="608">
        <f t="shared" si="30"/>
        <v>0.35909999999999997</v>
      </c>
      <c r="X31" s="609">
        <f t="shared" si="6"/>
        <v>2175.3749442710655</v>
      </c>
      <c r="Y31" s="606">
        <f>'7_Local Revenue'!AQ31</f>
        <v>11403198</v>
      </c>
      <c r="Z31" s="606">
        <f t="shared" si="31"/>
        <v>6523832</v>
      </c>
      <c r="AA31" s="689">
        <f t="shared" si="32"/>
        <v>0</v>
      </c>
      <c r="AB31" s="690">
        <f t="shared" si="7"/>
        <v>4619848.2600000007</v>
      </c>
      <c r="AC31" s="690">
        <f t="shared" si="8"/>
        <v>4619848.2600000007</v>
      </c>
      <c r="AD31" s="606">
        <f t="shared" si="9"/>
        <v>2853458.5174855203</v>
      </c>
      <c r="AE31" s="691">
        <f t="shared" si="33"/>
        <v>1766390</v>
      </c>
      <c r="AF31" s="690">
        <f t="shared" si="10"/>
        <v>788</v>
      </c>
      <c r="AG31" s="692">
        <f t="shared" si="34"/>
        <v>0.38229999999999997</v>
      </c>
      <c r="AH31" s="691">
        <f t="shared" si="11"/>
        <v>10474813</v>
      </c>
      <c r="AI31" s="690">
        <f t="shared" si="12"/>
        <v>4670</v>
      </c>
      <c r="AJ31" s="691">
        <f>'3A_Level 3'!J31</f>
        <v>379964</v>
      </c>
      <c r="AK31" s="690">
        <f t="shared" si="13"/>
        <v>169.39991083370487</v>
      </c>
      <c r="AL31" s="691">
        <f t="shared" si="35"/>
        <v>10854777</v>
      </c>
      <c r="AM31" s="690">
        <f t="shared" si="14"/>
        <v>4839.4012483281322</v>
      </c>
      <c r="AN31" s="693">
        <f>'3A_Level 3'!K31</f>
        <v>1846280</v>
      </c>
      <c r="AO31" s="694">
        <f t="shared" si="15"/>
        <v>823.12973695942935</v>
      </c>
      <c r="AP31" s="691">
        <f t="shared" si="36"/>
        <v>12321093</v>
      </c>
      <c r="AQ31" s="690">
        <f t="shared" si="16"/>
        <v>5493.1310744538569</v>
      </c>
      <c r="AR31" s="957">
        <f>'3A_Level 3'!L31</f>
        <v>336432.72831564653</v>
      </c>
      <c r="AS31" s="1096">
        <f t="shared" si="17"/>
        <v>12657525.728315646</v>
      </c>
      <c r="AT31" s="961">
        <f t="shared" si="18"/>
        <v>5643.1233741933329</v>
      </c>
      <c r="AU31" s="692">
        <f t="shared" si="37"/>
        <v>0.57127202535168042</v>
      </c>
      <c r="AV31" s="695">
        <f t="shared" si="38"/>
        <v>51</v>
      </c>
      <c r="AW31" s="690">
        <f t="shared" si="19"/>
        <v>9499214.2599999998</v>
      </c>
      <c r="AX31" s="690">
        <f t="shared" si="20"/>
        <v>4235.05</v>
      </c>
      <c r="AY31" s="695">
        <f t="shared" si="39"/>
        <v>22</v>
      </c>
      <c r="AZ31" s="692">
        <f t="shared" si="40"/>
        <v>0.42872797464831963</v>
      </c>
      <c r="BA31" s="696">
        <f t="shared" si="41"/>
        <v>22156739.988315646</v>
      </c>
      <c r="BB31" s="696">
        <f t="shared" si="21"/>
        <v>9878.1720857403689</v>
      </c>
      <c r="BC31" s="695">
        <f t="shared" si="42"/>
        <v>25</v>
      </c>
    </row>
    <row r="32" spans="1:55" s="313" customFormat="1" ht="15.6" customHeight="1" x14ac:dyDescent="0.2">
      <c r="A32" s="683">
        <v>26</v>
      </c>
      <c r="B32" s="298" t="s">
        <v>30</v>
      </c>
      <c r="C32" s="299">
        <f>'8_2.1.19 SIS'!AV32</f>
        <v>49561</v>
      </c>
      <c r="D32" s="299">
        <f>'[8]Econ. Disad.'!$AV32</f>
        <v>40658</v>
      </c>
      <c r="E32" s="299">
        <f t="shared" si="22"/>
        <v>8944.76</v>
      </c>
      <c r="F32" s="299">
        <f>[8]CTE!$AV32</f>
        <v>16214.5</v>
      </c>
      <c r="G32" s="299">
        <f t="shared" si="23"/>
        <v>972.87</v>
      </c>
      <c r="H32" s="299">
        <f>[8]SWD!$AV32</f>
        <v>6504</v>
      </c>
      <c r="I32" s="299">
        <f t="shared" si="24"/>
        <v>9756</v>
      </c>
      <c r="J32" s="299">
        <f>[8]GT!$AV32</f>
        <v>2998</v>
      </c>
      <c r="K32" s="299">
        <f t="shared" si="25"/>
        <v>1798.8</v>
      </c>
      <c r="L32" s="300">
        <f t="shared" si="1"/>
        <v>0</v>
      </c>
      <c r="M32" s="301">
        <f t="shared" si="2"/>
        <v>0</v>
      </c>
      <c r="N32" s="299">
        <f t="shared" si="3"/>
        <v>0</v>
      </c>
      <c r="O32" s="299">
        <f t="shared" si="26"/>
        <v>21472.43</v>
      </c>
      <c r="P32" s="299">
        <f t="shared" si="4"/>
        <v>71033.429999999993</v>
      </c>
      <c r="Q32" s="302">
        <f t="shared" si="27"/>
        <v>4015</v>
      </c>
      <c r="R32" s="302">
        <f t="shared" si="5"/>
        <v>285199221</v>
      </c>
      <c r="S32" s="302">
        <f>'6_Local Deduct Calc'!J32</f>
        <v>129181613</v>
      </c>
      <c r="T32" s="302">
        <f t="shared" si="28"/>
        <v>129181613</v>
      </c>
      <c r="U32" s="303">
        <f t="shared" si="29"/>
        <v>156017608</v>
      </c>
      <c r="V32" s="304">
        <f t="shared" si="43"/>
        <v>0.54700000000000004</v>
      </c>
      <c r="W32" s="304">
        <f t="shared" si="30"/>
        <v>0.45300000000000001</v>
      </c>
      <c r="X32" s="305">
        <f t="shared" si="6"/>
        <v>2606.5174835051753</v>
      </c>
      <c r="Y32" s="302">
        <f>'7_Local Revenue'!AQ32</f>
        <v>279811609</v>
      </c>
      <c r="Z32" s="302">
        <f t="shared" si="31"/>
        <v>150629996</v>
      </c>
      <c r="AA32" s="31">
        <f t="shared" si="32"/>
        <v>0</v>
      </c>
      <c r="AB32" s="306">
        <f t="shared" si="7"/>
        <v>96967735.140000001</v>
      </c>
      <c r="AC32" s="306">
        <f t="shared" si="8"/>
        <v>96967735.140000001</v>
      </c>
      <c r="AD32" s="302">
        <f t="shared" si="9"/>
        <v>75553380.511682391</v>
      </c>
      <c r="AE32" s="307">
        <f t="shared" si="33"/>
        <v>21414355</v>
      </c>
      <c r="AF32" s="306">
        <f t="shared" si="10"/>
        <v>432</v>
      </c>
      <c r="AG32" s="308">
        <f t="shared" si="34"/>
        <v>0.2208</v>
      </c>
      <c r="AH32" s="307">
        <f t="shared" si="11"/>
        <v>177431963</v>
      </c>
      <c r="AI32" s="306">
        <f t="shared" si="12"/>
        <v>3580</v>
      </c>
      <c r="AJ32" s="307">
        <f>'3A_Level 3'!J32</f>
        <v>19853847</v>
      </c>
      <c r="AK32" s="306">
        <f t="shared" si="13"/>
        <v>400.59415669578902</v>
      </c>
      <c r="AL32" s="307">
        <f t="shared" si="35"/>
        <v>197285810</v>
      </c>
      <c r="AM32" s="306">
        <f t="shared" si="14"/>
        <v>3980.6664514436757</v>
      </c>
      <c r="AN32" s="309">
        <f>'3A_Level 3'!K32</f>
        <v>61327979</v>
      </c>
      <c r="AO32" s="310">
        <f t="shared" si="15"/>
        <v>1237.4241641613366</v>
      </c>
      <c r="AP32" s="307">
        <f t="shared" si="36"/>
        <v>238759942</v>
      </c>
      <c r="AQ32" s="306">
        <f t="shared" si="16"/>
        <v>4817.4964589092233</v>
      </c>
      <c r="AR32" s="306">
        <f>'3A_Level 3'!L32</f>
        <v>7279637.062123375</v>
      </c>
      <c r="AS32" s="1095">
        <f t="shared" si="17"/>
        <v>246039579.06212339</v>
      </c>
      <c r="AT32" s="306">
        <f t="shared" si="18"/>
        <v>4964.3788273465707</v>
      </c>
      <c r="AU32" s="308">
        <f t="shared" si="37"/>
        <v>0.52106172950727536</v>
      </c>
      <c r="AV32" s="311">
        <f t="shared" si="38"/>
        <v>54</v>
      </c>
      <c r="AW32" s="306">
        <f t="shared" si="19"/>
        <v>226149348.13999999</v>
      </c>
      <c r="AX32" s="306">
        <f t="shared" si="20"/>
        <v>4563.05</v>
      </c>
      <c r="AY32" s="311">
        <f t="shared" si="39"/>
        <v>16</v>
      </c>
      <c r="AZ32" s="308">
        <f t="shared" si="40"/>
        <v>0.47893827049272453</v>
      </c>
      <c r="BA32" s="312">
        <f t="shared" si="41"/>
        <v>472188927.2021234</v>
      </c>
      <c r="BB32" s="312">
        <f t="shared" si="21"/>
        <v>9527.4293739457116</v>
      </c>
      <c r="BC32" s="311">
        <f t="shared" si="42"/>
        <v>42</v>
      </c>
    </row>
    <row r="33" spans="1:55" s="313" customFormat="1" ht="15.6" customHeight="1" x14ac:dyDescent="0.2">
      <c r="A33" s="683">
        <v>27</v>
      </c>
      <c r="B33" s="298" t="s">
        <v>31</v>
      </c>
      <c r="C33" s="298">
        <f>'8_2.1.19 SIS'!AV33</f>
        <v>5530</v>
      </c>
      <c r="D33" s="299">
        <f>'[8]Econ. Disad.'!$AV33</f>
        <v>3489</v>
      </c>
      <c r="E33" s="299">
        <f t="shared" si="22"/>
        <v>767.58</v>
      </c>
      <c r="F33" s="299">
        <f>[8]CTE!$AV33</f>
        <v>3375.5</v>
      </c>
      <c r="G33" s="299">
        <f t="shared" si="23"/>
        <v>202.53</v>
      </c>
      <c r="H33" s="299">
        <f>[8]SWD!$AV33</f>
        <v>784</v>
      </c>
      <c r="I33" s="299">
        <f t="shared" si="24"/>
        <v>1176</v>
      </c>
      <c r="J33" s="299">
        <f>[8]GT!$AV33</f>
        <v>141</v>
      </c>
      <c r="K33" s="299">
        <f t="shared" si="25"/>
        <v>84.6</v>
      </c>
      <c r="L33" s="299">
        <f t="shared" si="1"/>
        <v>1970</v>
      </c>
      <c r="M33" s="301">
        <f t="shared" si="2"/>
        <v>5.253E-2</v>
      </c>
      <c r="N33" s="299">
        <f t="shared" si="3"/>
        <v>290.49090000000001</v>
      </c>
      <c r="O33" s="299">
        <f t="shared" si="26"/>
        <v>2521.2008999999998</v>
      </c>
      <c r="P33" s="299">
        <f t="shared" si="4"/>
        <v>8051.2008999999998</v>
      </c>
      <c r="Q33" s="302">
        <f t="shared" si="27"/>
        <v>4015</v>
      </c>
      <c r="R33" s="302">
        <f t="shared" si="5"/>
        <v>32325572</v>
      </c>
      <c r="S33" s="302">
        <f>'6_Local Deduct Calc'!J33</f>
        <v>7043604</v>
      </c>
      <c r="T33" s="302">
        <f t="shared" si="28"/>
        <v>7043604</v>
      </c>
      <c r="U33" s="303">
        <f t="shared" si="29"/>
        <v>25281968</v>
      </c>
      <c r="V33" s="304">
        <f t="shared" si="43"/>
        <v>0.78210000000000002</v>
      </c>
      <c r="W33" s="304">
        <f t="shared" si="30"/>
        <v>0.21790000000000001</v>
      </c>
      <c r="X33" s="305">
        <f t="shared" si="6"/>
        <v>1273.7077757685352</v>
      </c>
      <c r="Y33" s="302">
        <f>'7_Local Revenue'!AQ33</f>
        <v>20531652</v>
      </c>
      <c r="Z33" s="302">
        <f t="shared" si="31"/>
        <v>13488048</v>
      </c>
      <c r="AA33" s="31">
        <f t="shared" si="32"/>
        <v>0</v>
      </c>
      <c r="AB33" s="306">
        <f t="shared" si="7"/>
        <v>10990694.48</v>
      </c>
      <c r="AC33" s="306">
        <f t="shared" si="8"/>
        <v>10990694.48</v>
      </c>
      <c r="AD33" s="302">
        <f t="shared" si="9"/>
        <v>4119180.4027702403</v>
      </c>
      <c r="AE33" s="307">
        <f t="shared" si="33"/>
        <v>6871514</v>
      </c>
      <c r="AF33" s="306">
        <f t="shared" si="10"/>
        <v>1243</v>
      </c>
      <c r="AG33" s="308">
        <f t="shared" si="34"/>
        <v>0.62519999999999998</v>
      </c>
      <c r="AH33" s="307">
        <f t="shared" si="11"/>
        <v>32153482</v>
      </c>
      <c r="AI33" s="306">
        <f t="shared" si="12"/>
        <v>5814</v>
      </c>
      <c r="AJ33" s="307">
        <f>'3A_Level 3'!J33</f>
        <v>936781</v>
      </c>
      <c r="AK33" s="306">
        <f t="shared" si="13"/>
        <v>169.39981916817359</v>
      </c>
      <c r="AL33" s="307">
        <f t="shared" si="35"/>
        <v>33090263</v>
      </c>
      <c r="AM33" s="306">
        <f t="shared" si="14"/>
        <v>5983.7726943942134</v>
      </c>
      <c r="AN33" s="309">
        <f>'3A_Level 3'!K33</f>
        <v>4769403</v>
      </c>
      <c r="AO33" s="310">
        <f t="shared" si="15"/>
        <v>862.45985533453893</v>
      </c>
      <c r="AP33" s="307">
        <f t="shared" si="36"/>
        <v>36922885</v>
      </c>
      <c r="AQ33" s="306">
        <f t="shared" si="16"/>
        <v>6676.832730560579</v>
      </c>
      <c r="AR33" s="306">
        <f>'3A_Level 3'!L33</f>
        <v>763434.33357007429</v>
      </c>
      <c r="AS33" s="1095">
        <f t="shared" si="17"/>
        <v>37686319.333570078</v>
      </c>
      <c r="AT33" s="306">
        <f t="shared" si="18"/>
        <v>6814.8859554376268</v>
      </c>
      <c r="AU33" s="308">
        <f t="shared" si="37"/>
        <v>0.6763442476474486</v>
      </c>
      <c r="AV33" s="311">
        <f t="shared" si="38"/>
        <v>25</v>
      </c>
      <c r="AW33" s="306">
        <f t="shared" si="19"/>
        <v>18034298.48</v>
      </c>
      <c r="AX33" s="306">
        <f t="shared" si="20"/>
        <v>3261.18</v>
      </c>
      <c r="AY33" s="311">
        <f t="shared" si="39"/>
        <v>47</v>
      </c>
      <c r="AZ33" s="308">
        <f t="shared" si="40"/>
        <v>0.32365575235255134</v>
      </c>
      <c r="BA33" s="312">
        <f t="shared" si="41"/>
        <v>55720617.813570082</v>
      </c>
      <c r="BB33" s="312">
        <f t="shared" si="21"/>
        <v>10076.061087444861</v>
      </c>
      <c r="BC33" s="311">
        <f t="shared" si="42"/>
        <v>18</v>
      </c>
    </row>
    <row r="34" spans="1:55" s="313" customFormat="1" ht="15.6" customHeight="1" x14ac:dyDescent="0.2">
      <c r="A34" s="683">
        <v>28</v>
      </c>
      <c r="B34" s="298" t="s">
        <v>32</v>
      </c>
      <c r="C34" s="298">
        <f>'8_2.1.19 SIS'!AV34</f>
        <v>32587</v>
      </c>
      <c r="D34" s="299">
        <f>'[8]Econ. Disad.'!$AV34</f>
        <v>20744</v>
      </c>
      <c r="E34" s="299">
        <f t="shared" si="22"/>
        <v>4563.68</v>
      </c>
      <c r="F34" s="299">
        <f>[8]CTE!$AV34</f>
        <v>12805</v>
      </c>
      <c r="G34" s="299">
        <f t="shared" si="23"/>
        <v>768.3</v>
      </c>
      <c r="H34" s="299">
        <f>[8]SWD!$AV34</f>
        <v>3233</v>
      </c>
      <c r="I34" s="299">
        <f t="shared" si="24"/>
        <v>4849.5</v>
      </c>
      <c r="J34" s="299">
        <f>[8]GT!$AV34</f>
        <v>1469</v>
      </c>
      <c r="K34" s="299">
        <f t="shared" si="25"/>
        <v>881.4</v>
      </c>
      <c r="L34" s="299">
        <f t="shared" si="1"/>
        <v>0</v>
      </c>
      <c r="M34" s="301">
        <f t="shared" si="2"/>
        <v>0</v>
      </c>
      <c r="N34" s="299">
        <f t="shared" si="3"/>
        <v>0</v>
      </c>
      <c r="O34" s="299">
        <f t="shared" si="26"/>
        <v>11062.88</v>
      </c>
      <c r="P34" s="299">
        <f t="shared" si="4"/>
        <v>43649.88</v>
      </c>
      <c r="Q34" s="302">
        <f t="shared" si="27"/>
        <v>4015</v>
      </c>
      <c r="R34" s="302">
        <f t="shared" si="5"/>
        <v>175254268</v>
      </c>
      <c r="S34" s="302">
        <f>'6_Local Deduct Calc'!J34</f>
        <v>78837174</v>
      </c>
      <c r="T34" s="302">
        <f t="shared" si="28"/>
        <v>78837174</v>
      </c>
      <c r="U34" s="303">
        <f t="shared" si="29"/>
        <v>96417094</v>
      </c>
      <c r="V34" s="304">
        <f t="shared" si="43"/>
        <v>0.55020000000000002</v>
      </c>
      <c r="W34" s="304">
        <f t="shared" si="30"/>
        <v>0.44979999999999998</v>
      </c>
      <c r="X34" s="305">
        <f t="shared" si="6"/>
        <v>2419.2829655997789</v>
      </c>
      <c r="Y34" s="302">
        <f>'7_Local Revenue'!AQ34</f>
        <v>188733437</v>
      </c>
      <c r="Z34" s="302">
        <f t="shared" si="31"/>
        <v>109896263</v>
      </c>
      <c r="AA34" s="31">
        <f t="shared" si="32"/>
        <v>0</v>
      </c>
      <c r="AB34" s="306">
        <f t="shared" si="7"/>
        <v>59586451.120000005</v>
      </c>
      <c r="AC34" s="306">
        <f t="shared" si="8"/>
        <v>59586451.120000005</v>
      </c>
      <c r="AD34" s="302">
        <f t="shared" si="9"/>
        <v>46099415.427694716</v>
      </c>
      <c r="AE34" s="307">
        <f t="shared" si="33"/>
        <v>13487036</v>
      </c>
      <c r="AF34" s="306">
        <f t="shared" si="10"/>
        <v>414</v>
      </c>
      <c r="AG34" s="308">
        <f t="shared" si="34"/>
        <v>0.2263</v>
      </c>
      <c r="AH34" s="307">
        <f t="shared" si="11"/>
        <v>109904130</v>
      </c>
      <c r="AI34" s="306">
        <f t="shared" si="12"/>
        <v>3373</v>
      </c>
      <c r="AJ34" s="307">
        <f>'3A_Level 3'!J34</f>
        <v>7516612</v>
      </c>
      <c r="AK34" s="306">
        <f t="shared" si="13"/>
        <v>230.6629023843864</v>
      </c>
      <c r="AL34" s="307">
        <f t="shared" si="35"/>
        <v>117420742</v>
      </c>
      <c r="AM34" s="306">
        <f t="shared" si="14"/>
        <v>3603.3001503667106</v>
      </c>
      <c r="AN34" s="309">
        <f>'3A_Level 3'!K34</f>
        <v>30145025</v>
      </c>
      <c r="AO34" s="310">
        <f t="shared" si="15"/>
        <v>925.06290852180314</v>
      </c>
      <c r="AP34" s="307">
        <f t="shared" si="36"/>
        <v>140049155</v>
      </c>
      <c r="AQ34" s="306">
        <f t="shared" si="16"/>
        <v>4297.7001565041273</v>
      </c>
      <c r="AR34" s="306">
        <f>'3A_Level 3'!L34</f>
        <v>4490620.3310494749</v>
      </c>
      <c r="AS34" s="1095">
        <f t="shared" si="17"/>
        <v>144539775.33104947</v>
      </c>
      <c r="AT34" s="306">
        <f t="shared" si="18"/>
        <v>4435.5041989458823</v>
      </c>
      <c r="AU34" s="308">
        <f t="shared" si="37"/>
        <v>0.51080731677895486</v>
      </c>
      <c r="AV34" s="311">
        <f t="shared" si="38"/>
        <v>55</v>
      </c>
      <c r="AW34" s="306">
        <f t="shared" si="19"/>
        <v>138423625.12</v>
      </c>
      <c r="AX34" s="306">
        <f t="shared" si="20"/>
        <v>4247.82</v>
      </c>
      <c r="AY34" s="311">
        <f t="shared" si="39"/>
        <v>20</v>
      </c>
      <c r="AZ34" s="308">
        <f t="shared" si="40"/>
        <v>0.48919268322104525</v>
      </c>
      <c r="BA34" s="312">
        <f t="shared" si="41"/>
        <v>282963400.45104945</v>
      </c>
      <c r="BB34" s="312">
        <f t="shared" si="21"/>
        <v>8683.3215837926</v>
      </c>
      <c r="BC34" s="311">
        <f t="shared" si="42"/>
        <v>66</v>
      </c>
    </row>
    <row r="35" spans="1:55" s="313" customFormat="1" ht="15.6" customHeight="1" x14ac:dyDescent="0.2">
      <c r="A35" s="683">
        <v>29</v>
      </c>
      <c r="B35" s="298" t="s">
        <v>33</v>
      </c>
      <c r="C35" s="298">
        <f>'8_2.1.19 SIS'!AV35</f>
        <v>13944</v>
      </c>
      <c r="D35" s="299">
        <f>'[8]Econ. Disad.'!$AV35</f>
        <v>9379</v>
      </c>
      <c r="E35" s="299">
        <f t="shared" si="22"/>
        <v>2063.38</v>
      </c>
      <c r="F35" s="299">
        <f>[8]CTE!$AV35</f>
        <v>8761</v>
      </c>
      <c r="G35" s="299">
        <f t="shared" si="23"/>
        <v>525.66</v>
      </c>
      <c r="H35" s="299">
        <f>[8]SWD!$AV35</f>
        <v>1307</v>
      </c>
      <c r="I35" s="299">
        <f t="shared" si="24"/>
        <v>1960.5</v>
      </c>
      <c r="J35" s="299">
        <f>[8]GT!$AV35</f>
        <v>264</v>
      </c>
      <c r="K35" s="299">
        <f t="shared" si="25"/>
        <v>158.4</v>
      </c>
      <c r="L35" s="299">
        <f t="shared" si="1"/>
        <v>0</v>
      </c>
      <c r="M35" s="301">
        <f t="shared" si="2"/>
        <v>0</v>
      </c>
      <c r="N35" s="299">
        <f t="shared" si="3"/>
        <v>0</v>
      </c>
      <c r="O35" s="299">
        <f t="shared" si="26"/>
        <v>4707.9399999999996</v>
      </c>
      <c r="P35" s="299">
        <f t="shared" si="4"/>
        <v>18651.939999999999</v>
      </c>
      <c r="Q35" s="302">
        <f t="shared" si="27"/>
        <v>4015</v>
      </c>
      <c r="R35" s="302">
        <f t="shared" si="5"/>
        <v>74887539</v>
      </c>
      <c r="S35" s="302">
        <f>'6_Local Deduct Calc'!J35</f>
        <v>26000196</v>
      </c>
      <c r="T35" s="302">
        <f t="shared" si="28"/>
        <v>26000196</v>
      </c>
      <c r="U35" s="303">
        <f t="shared" si="29"/>
        <v>48887343</v>
      </c>
      <c r="V35" s="304">
        <f t="shared" si="43"/>
        <v>0.65280000000000005</v>
      </c>
      <c r="W35" s="304">
        <f t="shared" si="30"/>
        <v>0.34720000000000001</v>
      </c>
      <c r="X35" s="305">
        <f t="shared" si="6"/>
        <v>1864.6153184165232</v>
      </c>
      <c r="Y35" s="302">
        <f>'7_Local Revenue'!AQ35</f>
        <v>71380222</v>
      </c>
      <c r="Z35" s="302">
        <f t="shared" si="31"/>
        <v>45380026</v>
      </c>
      <c r="AA35" s="31">
        <f t="shared" si="32"/>
        <v>0</v>
      </c>
      <c r="AB35" s="306">
        <f t="shared" si="7"/>
        <v>25461763.260000002</v>
      </c>
      <c r="AC35" s="306">
        <f t="shared" si="8"/>
        <v>25461763.260000002</v>
      </c>
      <c r="AD35" s="302">
        <f t="shared" si="9"/>
        <v>15205357.630659843</v>
      </c>
      <c r="AE35" s="307">
        <f t="shared" si="33"/>
        <v>10256406</v>
      </c>
      <c r="AF35" s="306">
        <f t="shared" si="10"/>
        <v>736</v>
      </c>
      <c r="AG35" s="308">
        <f t="shared" si="34"/>
        <v>0.40279999999999999</v>
      </c>
      <c r="AH35" s="307">
        <f t="shared" si="11"/>
        <v>59143749</v>
      </c>
      <c r="AI35" s="306">
        <f t="shared" si="12"/>
        <v>4242</v>
      </c>
      <c r="AJ35" s="307">
        <f>'3A_Level 3'!J35</f>
        <v>2362112</v>
      </c>
      <c r="AK35" s="306">
        <f t="shared" si="13"/>
        <v>169.39988525530694</v>
      </c>
      <c r="AL35" s="307">
        <f t="shared" si="35"/>
        <v>61505861</v>
      </c>
      <c r="AM35" s="306">
        <f t="shared" si="14"/>
        <v>4410.9194635685599</v>
      </c>
      <c r="AN35" s="309">
        <f>'3A_Level 3'!K35</f>
        <v>12889135</v>
      </c>
      <c r="AO35" s="310">
        <f t="shared" si="15"/>
        <v>924.34989959839356</v>
      </c>
      <c r="AP35" s="307">
        <f t="shared" si="36"/>
        <v>72032884</v>
      </c>
      <c r="AQ35" s="306">
        <f t="shared" si="16"/>
        <v>5165.8694779116468</v>
      </c>
      <c r="AR35" s="306">
        <f>'3A_Level 3'!L35</f>
        <v>1869023.5887997432</v>
      </c>
      <c r="AS35" s="1095">
        <f t="shared" si="17"/>
        <v>73901907.588799745</v>
      </c>
      <c r="AT35" s="306">
        <f t="shared" si="18"/>
        <v>5299.9073141709514</v>
      </c>
      <c r="AU35" s="308">
        <f t="shared" si="37"/>
        <v>0.58949926678579712</v>
      </c>
      <c r="AV35" s="311">
        <f t="shared" si="38"/>
        <v>46</v>
      </c>
      <c r="AW35" s="306">
        <f t="shared" si="19"/>
        <v>51461959.259999998</v>
      </c>
      <c r="AX35" s="306">
        <f t="shared" si="20"/>
        <v>3690.62</v>
      </c>
      <c r="AY35" s="311">
        <f t="shared" si="39"/>
        <v>30</v>
      </c>
      <c r="AZ35" s="308">
        <f t="shared" si="40"/>
        <v>0.41050073321420294</v>
      </c>
      <c r="BA35" s="312">
        <f t="shared" si="41"/>
        <v>125363866.84879974</v>
      </c>
      <c r="BB35" s="312">
        <f t="shared" si="21"/>
        <v>8990.5240138267163</v>
      </c>
      <c r="BC35" s="311">
        <f t="shared" si="42"/>
        <v>59</v>
      </c>
    </row>
    <row r="36" spans="1:55" s="315" customFormat="1" ht="15.6" customHeight="1" x14ac:dyDescent="0.2">
      <c r="A36" s="684">
        <v>30</v>
      </c>
      <c r="B36" s="685" t="s">
        <v>34</v>
      </c>
      <c r="C36" s="685">
        <f>'8_2.1.19 SIS'!AV36</f>
        <v>2477</v>
      </c>
      <c r="D36" s="686">
        <f>'[8]Econ. Disad.'!$AV36</f>
        <v>1446</v>
      </c>
      <c r="E36" s="686">
        <f t="shared" si="22"/>
        <v>318.12</v>
      </c>
      <c r="F36" s="686">
        <f>[8]CTE!$AV36</f>
        <v>925</v>
      </c>
      <c r="G36" s="686">
        <f t="shared" si="23"/>
        <v>55.5</v>
      </c>
      <c r="H36" s="686">
        <f>[8]SWD!$AV36</f>
        <v>280</v>
      </c>
      <c r="I36" s="686">
        <f t="shared" si="24"/>
        <v>420</v>
      </c>
      <c r="J36" s="686">
        <f>[8]GT!$AV36</f>
        <v>39</v>
      </c>
      <c r="K36" s="686">
        <f t="shared" si="25"/>
        <v>23.4</v>
      </c>
      <c r="L36" s="686">
        <f t="shared" si="1"/>
        <v>5023</v>
      </c>
      <c r="M36" s="687">
        <f t="shared" si="2"/>
        <v>0.13395000000000001</v>
      </c>
      <c r="N36" s="686">
        <f t="shared" si="3"/>
        <v>331.79415000000006</v>
      </c>
      <c r="O36" s="686">
        <f t="shared" si="26"/>
        <v>1148.8141500000002</v>
      </c>
      <c r="P36" s="314">
        <f t="shared" si="4"/>
        <v>3625.8141500000002</v>
      </c>
      <c r="Q36" s="606">
        <f t="shared" si="27"/>
        <v>4015</v>
      </c>
      <c r="R36" s="606">
        <f t="shared" si="5"/>
        <v>14557644</v>
      </c>
      <c r="S36" s="606">
        <f>'6_Local Deduct Calc'!J36</f>
        <v>3013714</v>
      </c>
      <c r="T36" s="606">
        <f t="shared" si="28"/>
        <v>3013714</v>
      </c>
      <c r="U36" s="607">
        <f t="shared" si="29"/>
        <v>11543930</v>
      </c>
      <c r="V36" s="688">
        <f t="shared" si="43"/>
        <v>0.79300000000000004</v>
      </c>
      <c r="W36" s="608">
        <f t="shared" si="30"/>
        <v>0.20699999999999999</v>
      </c>
      <c r="X36" s="609">
        <f t="shared" si="6"/>
        <v>1216.6790472345579</v>
      </c>
      <c r="Y36" s="606">
        <f>'7_Local Revenue'!AQ36</f>
        <v>10580673</v>
      </c>
      <c r="Z36" s="606">
        <f t="shared" si="31"/>
        <v>7566959</v>
      </c>
      <c r="AA36" s="689">
        <f t="shared" si="32"/>
        <v>0</v>
      </c>
      <c r="AB36" s="690">
        <f t="shared" si="7"/>
        <v>4949598.96</v>
      </c>
      <c r="AC36" s="690">
        <f t="shared" si="8"/>
        <v>4949598.96</v>
      </c>
      <c r="AD36" s="606">
        <f t="shared" si="9"/>
        <v>1762255.2137183999</v>
      </c>
      <c r="AE36" s="691">
        <f t="shared" si="33"/>
        <v>3187344</v>
      </c>
      <c r="AF36" s="690">
        <f t="shared" si="10"/>
        <v>1287</v>
      </c>
      <c r="AG36" s="692">
        <f t="shared" si="34"/>
        <v>0.64400000000000002</v>
      </c>
      <c r="AH36" s="691">
        <f t="shared" si="11"/>
        <v>14731274</v>
      </c>
      <c r="AI36" s="690">
        <f t="shared" si="12"/>
        <v>5947</v>
      </c>
      <c r="AJ36" s="691">
        <f>'3A_Level 3'!J36</f>
        <v>419604</v>
      </c>
      <c r="AK36" s="690">
        <f t="shared" si="13"/>
        <v>169.40008074283406</v>
      </c>
      <c r="AL36" s="691">
        <f t="shared" si="35"/>
        <v>15150878</v>
      </c>
      <c r="AM36" s="690">
        <f t="shared" si="14"/>
        <v>6116.6241421073883</v>
      </c>
      <c r="AN36" s="693">
        <f>'3A_Level 3'!K36</f>
        <v>2220804</v>
      </c>
      <c r="AO36" s="694">
        <f t="shared" si="15"/>
        <v>896.57004440855872</v>
      </c>
      <c r="AP36" s="691">
        <f t="shared" si="36"/>
        <v>16952078</v>
      </c>
      <c r="AQ36" s="690">
        <f t="shared" si="16"/>
        <v>6843.7941057731123</v>
      </c>
      <c r="AR36" s="957">
        <f>'3A_Level 3'!L36</f>
        <v>374881.49326230021</v>
      </c>
      <c r="AS36" s="1096">
        <f t="shared" si="17"/>
        <v>17326959.493262298</v>
      </c>
      <c r="AT36" s="961">
        <f t="shared" si="18"/>
        <v>6995.1390768115862</v>
      </c>
      <c r="AU36" s="692">
        <f t="shared" si="37"/>
        <v>0.68512348078825147</v>
      </c>
      <c r="AV36" s="695">
        <f t="shared" si="38"/>
        <v>21</v>
      </c>
      <c r="AW36" s="690">
        <f t="shared" si="19"/>
        <v>7963312.96</v>
      </c>
      <c r="AX36" s="690">
        <f t="shared" si="20"/>
        <v>3214.9</v>
      </c>
      <c r="AY36" s="695">
        <f t="shared" si="39"/>
        <v>48</v>
      </c>
      <c r="AZ36" s="692">
        <f t="shared" si="40"/>
        <v>0.31487651921174847</v>
      </c>
      <c r="BA36" s="696">
        <f t="shared" si="41"/>
        <v>25290272.453262299</v>
      </c>
      <c r="BB36" s="696">
        <f t="shared" si="21"/>
        <v>10210.04136183379</v>
      </c>
      <c r="BC36" s="695">
        <f t="shared" si="42"/>
        <v>16</v>
      </c>
    </row>
    <row r="37" spans="1:55" s="313" customFormat="1" ht="15.6" customHeight="1" x14ac:dyDescent="0.2">
      <c r="A37" s="683">
        <v>31</v>
      </c>
      <c r="B37" s="298" t="s">
        <v>35</v>
      </c>
      <c r="C37" s="299">
        <f>'8_2.1.19 SIS'!AV37</f>
        <v>6195</v>
      </c>
      <c r="D37" s="299">
        <f>'[8]Econ. Disad.'!$AV37</f>
        <v>3950</v>
      </c>
      <c r="E37" s="299">
        <f t="shared" si="22"/>
        <v>869</v>
      </c>
      <c r="F37" s="299">
        <f>[8]CTE!$AV37</f>
        <v>3203.5</v>
      </c>
      <c r="G37" s="299">
        <f t="shared" si="23"/>
        <v>192.20999999999998</v>
      </c>
      <c r="H37" s="299">
        <f>[8]SWD!$AV37</f>
        <v>1041</v>
      </c>
      <c r="I37" s="299">
        <f t="shared" si="24"/>
        <v>1561.5</v>
      </c>
      <c r="J37" s="299">
        <f>[8]GT!$AV37</f>
        <v>268</v>
      </c>
      <c r="K37" s="299">
        <f t="shared" si="25"/>
        <v>160.79999999999998</v>
      </c>
      <c r="L37" s="300">
        <f t="shared" si="1"/>
        <v>1305</v>
      </c>
      <c r="M37" s="301">
        <f t="shared" si="2"/>
        <v>3.4799999999999998E-2</v>
      </c>
      <c r="N37" s="299">
        <f t="shared" si="3"/>
        <v>215.58599999999998</v>
      </c>
      <c r="O37" s="299">
        <f t="shared" si="26"/>
        <v>2999.096</v>
      </c>
      <c r="P37" s="299">
        <f t="shared" si="4"/>
        <v>9194.0959999999995</v>
      </c>
      <c r="Q37" s="302">
        <f t="shared" si="27"/>
        <v>4015</v>
      </c>
      <c r="R37" s="302">
        <f t="shared" si="5"/>
        <v>36914295</v>
      </c>
      <c r="S37" s="302">
        <f>'6_Local Deduct Calc'!J37</f>
        <v>14575638</v>
      </c>
      <c r="T37" s="302">
        <f t="shared" si="28"/>
        <v>14575638</v>
      </c>
      <c r="U37" s="303">
        <f t="shared" si="29"/>
        <v>22338657</v>
      </c>
      <c r="V37" s="304">
        <f t="shared" si="43"/>
        <v>0.60509999999999997</v>
      </c>
      <c r="W37" s="304">
        <f t="shared" si="30"/>
        <v>0.39489999999999997</v>
      </c>
      <c r="X37" s="305">
        <f t="shared" si="6"/>
        <v>2352.8067796610171</v>
      </c>
      <c r="Y37" s="302">
        <f>'7_Local Revenue'!AQ37</f>
        <v>39592820</v>
      </c>
      <c r="Z37" s="302">
        <f t="shared" si="31"/>
        <v>25017182</v>
      </c>
      <c r="AA37" s="31">
        <f t="shared" si="32"/>
        <v>0</v>
      </c>
      <c r="AB37" s="306">
        <f t="shared" si="7"/>
        <v>12550860.300000001</v>
      </c>
      <c r="AC37" s="306">
        <f t="shared" si="8"/>
        <v>12550860.300000001</v>
      </c>
      <c r="AD37" s="302">
        <f t="shared" si="9"/>
        <v>8524895.7398483995</v>
      </c>
      <c r="AE37" s="307">
        <f t="shared" si="33"/>
        <v>4025965</v>
      </c>
      <c r="AF37" s="306">
        <f t="shared" si="10"/>
        <v>650</v>
      </c>
      <c r="AG37" s="308">
        <f t="shared" si="34"/>
        <v>0.32079999999999997</v>
      </c>
      <c r="AH37" s="307">
        <f t="shared" si="11"/>
        <v>26364622</v>
      </c>
      <c r="AI37" s="306">
        <f t="shared" si="12"/>
        <v>4256</v>
      </c>
      <c r="AJ37" s="307">
        <f>'3A_Level 3'!J37</f>
        <v>1049432</v>
      </c>
      <c r="AK37" s="306">
        <f t="shared" si="13"/>
        <v>169.3998385794996</v>
      </c>
      <c r="AL37" s="307">
        <f t="shared" si="35"/>
        <v>27414054</v>
      </c>
      <c r="AM37" s="306">
        <f t="shared" si="14"/>
        <v>4425.1903147699759</v>
      </c>
      <c r="AN37" s="309">
        <f>'3A_Level 3'!K37</f>
        <v>4895474</v>
      </c>
      <c r="AO37" s="310">
        <f t="shared" si="15"/>
        <v>790.22986279257464</v>
      </c>
      <c r="AP37" s="307">
        <f t="shared" si="36"/>
        <v>31260096</v>
      </c>
      <c r="AQ37" s="306">
        <f t="shared" si="16"/>
        <v>5046.0203389830513</v>
      </c>
      <c r="AR37" s="306">
        <f>'3A_Level 3'!L37</f>
        <v>917390.2495643663</v>
      </c>
      <c r="AS37" s="1095">
        <f t="shared" si="17"/>
        <v>32177486.249564365</v>
      </c>
      <c r="AT37" s="306">
        <f t="shared" si="18"/>
        <v>5194.1059321330695</v>
      </c>
      <c r="AU37" s="308">
        <f t="shared" si="37"/>
        <v>0.54258556982240302</v>
      </c>
      <c r="AV37" s="311">
        <f t="shared" si="38"/>
        <v>53</v>
      </c>
      <c r="AW37" s="306">
        <f t="shared" si="19"/>
        <v>27126498.300000001</v>
      </c>
      <c r="AX37" s="306">
        <f t="shared" si="20"/>
        <v>4378.7700000000004</v>
      </c>
      <c r="AY37" s="311">
        <f t="shared" si="39"/>
        <v>18</v>
      </c>
      <c r="AZ37" s="308">
        <f t="shared" si="40"/>
        <v>0.45741443017759703</v>
      </c>
      <c r="BA37" s="312">
        <f t="shared" si="41"/>
        <v>59303984.549564362</v>
      </c>
      <c r="BB37" s="312">
        <f t="shared" si="21"/>
        <v>9572.878861915151</v>
      </c>
      <c r="BC37" s="311">
        <f t="shared" si="42"/>
        <v>40</v>
      </c>
    </row>
    <row r="38" spans="1:55" s="313" customFormat="1" ht="15.6" customHeight="1" x14ac:dyDescent="0.2">
      <c r="A38" s="683">
        <v>32</v>
      </c>
      <c r="B38" s="298" t="s">
        <v>36</v>
      </c>
      <c r="C38" s="298">
        <f>'8_2.1.19 SIS'!AV38</f>
        <v>25471</v>
      </c>
      <c r="D38" s="299">
        <f>'[8]Econ. Disad.'!$AV38</f>
        <v>12664</v>
      </c>
      <c r="E38" s="299">
        <f t="shared" si="22"/>
        <v>2786.08</v>
      </c>
      <c r="F38" s="299">
        <f>[8]CTE!$AV38</f>
        <v>13615</v>
      </c>
      <c r="G38" s="299">
        <f t="shared" si="23"/>
        <v>816.9</v>
      </c>
      <c r="H38" s="299">
        <f>[8]SWD!$AV38</f>
        <v>3282</v>
      </c>
      <c r="I38" s="299">
        <f t="shared" si="24"/>
        <v>4923</v>
      </c>
      <c r="J38" s="299">
        <f>[8]GT!$AV38</f>
        <v>1000</v>
      </c>
      <c r="K38" s="299">
        <f t="shared" si="25"/>
        <v>600</v>
      </c>
      <c r="L38" s="299">
        <f t="shared" si="1"/>
        <v>0</v>
      </c>
      <c r="M38" s="301">
        <f t="shared" si="2"/>
        <v>0</v>
      </c>
      <c r="N38" s="299">
        <f t="shared" si="3"/>
        <v>0</v>
      </c>
      <c r="O38" s="299">
        <f t="shared" si="26"/>
        <v>9125.98</v>
      </c>
      <c r="P38" s="299">
        <f t="shared" si="4"/>
        <v>34596.979999999996</v>
      </c>
      <c r="Q38" s="302">
        <f t="shared" si="27"/>
        <v>4015</v>
      </c>
      <c r="R38" s="302">
        <f t="shared" si="5"/>
        <v>138906875</v>
      </c>
      <c r="S38" s="302">
        <f>'6_Local Deduct Calc'!J38</f>
        <v>23768622</v>
      </c>
      <c r="T38" s="302">
        <f t="shared" si="28"/>
        <v>23768622</v>
      </c>
      <c r="U38" s="303">
        <f t="shared" si="29"/>
        <v>115138253</v>
      </c>
      <c r="V38" s="304">
        <f t="shared" si="43"/>
        <v>0.82889999999999997</v>
      </c>
      <c r="W38" s="304">
        <f t="shared" si="30"/>
        <v>0.1711</v>
      </c>
      <c r="X38" s="305">
        <f t="shared" si="6"/>
        <v>933.1640689411488</v>
      </c>
      <c r="Y38" s="302">
        <f>'7_Local Revenue'!AQ38</f>
        <v>69529945</v>
      </c>
      <c r="Z38" s="904">
        <f>IF(Y38-T38&gt;0,Y38-T38,0)-1643065</f>
        <v>44118258</v>
      </c>
      <c r="AA38" s="31">
        <f t="shared" si="32"/>
        <v>0</v>
      </c>
      <c r="AB38" s="306">
        <f t="shared" si="7"/>
        <v>47228337.5</v>
      </c>
      <c r="AC38" s="306">
        <f t="shared" si="8"/>
        <v>44118258</v>
      </c>
      <c r="AD38" s="302">
        <f t="shared" si="9"/>
        <v>12983650.383336</v>
      </c>
      <c r="AE38" s="307">
        <f t="shared" si="33"/>
        <v>31134608</v>
      </c>
      <c r="AF38" s="306">
        <f t="shared" si="10"/>
        <v>1222</v>
      </c>
      <c r="AG38" s="308">
        <f t="shared" si="34"/>
        <v>0.70569999999999999</v>
      </c>
      <c r="AH38" s="307">
        <f t="shared" si="11"/>
        <v>146272861</v>
      </c>
      <c r="AI38" s="306">
        <f t="shared" si="12"/>
        <v>5743</v>
      </c>
      <c r="AJ38" s="307">
        <f>'3A_Level 3'!J38</f>
        <v>4314785</v>
      </c>
      <c r="AK38" s="306">
        <f t="shared" si="13"/>
        <v>169.39990577519532</v>
      </c>
      <c r="AL38" s="307">
        <f t="shared" si="35"/>
        <v>150587646</v>
      </c>
      <c r="AM38" s="306">
        <f t="shared" si="14"/>
        <v>5912.1214714773669</v>
      </c>
      <c r="AN38" s="309">
        <f>'3A_Level 3'!K38</f>
        <v>18572687</v>
      </c>
      <c r="AO38" s="310">
        <f t="shared" si="15"/>
        <v>729.16991873110601</v>
      </c>
      <c r="AP38" s="307">
        <f t="shared" si="36"/>
        <v>164845548</v>
      </c>
      <c r="AQ38" s="306">
        <f t="shared" si="16"/>
        <v>6471.8914844332767</v>
      </c>
      <c r="AR38" s="306">
        <f>'3A_Level 3'!L38</f>
        <v>3546050.6340592513</v>
      </c>
      <c r="AS38" s="1095">
        <f t="shared" si="17"/>
        <v>168391598.63405925</v>
      </c>
      <c r="AT38" s="306">
        <f t="shared" si="18"/>
        <v>6611.1106212578716</v>
      </c>
      <c r="AU38" s="308">
        <f t="shared" si="37"/>
        <v>0.71268276149203968</v>
      </c>
      <c r="AV38" s="311">
        <f t="shared" si="38"/>
        <v>10</v>
      </c>
      <c r="AW38" s="306">
        <f t="shared" si="19"/>
        <v>67886880</v>
      </c>
      <c r="AX38" s="306">
        <f t="shared" si="20"/>
        <v>2665.26</v>
      </c>
      <c r="AY38" s="311">
        <f t="shared" si="39"/>
        <v>60</v>
      </c>
      <c r="AZ38" s="308">
        <f t="shared" si="40"/>
        <v>0.28731723850796026</v>
      </c>
      <c r="BA38" s="312">
        <f t="shared" si="41"/>
        <v>236278478.63405925</v>
      </c>
      <c r="BB38" s="312">
        <f t="shared" si="21"/>
        <v>9276.372291392534</v>
      </c>
      <c r="BC38" s="311">
        <f t="shared" si="42"/>
        <v>53</v>
      </c>
    </row>
    <row r="39" spans="1:55" s="313" customFormat="1" ht="15.6" customHeight="1" x14ac:dyDescent="0.2">
      <c r="A39" s="683">
        <v>33</v>
      </c>
      <c r="B39" s="298" t="s">
        <v>37</v>
      </c>
      <c r="C39" s="298">
        <f>'8_2.1.19 SIS'!AV39</f>
        <v>1528</v>
      </c>
      <c r="D39" s="299">
        <f>'[8]Econ. Disad.'!$AV39</f>
        <v>1496</v>
      </c>
      <c r="E39" s="299">
        <f t="shared" si="22"/>
        <v>329.12</v>
      </c>
      <c r="F39" s="299">
        <f>[8]CTE!$AV39</f>
        <v>790.5</v>
      </c>
      <c r="G39" s="299">
        <f t="shared" si="23"/>
        <v>47.43</v>
      </c>
      <c r="H39" s="299">
        <f>[8]SWD!$AV39</f>
        <v>196</v>
      </c>
      <c r="I39" s="299">
        <f t="shared" si="24"/>
        <v>294</v>
      </c>
      <c r="J39" s="299">
        <f>[8]GT!$AV39</f>
        <v>10</v>
      </c>
      <c r="K39" s="299">
        <f t="shared" si="25"/>
        <v>6</v>
      </c>
      <c r="L39" s="299">
        <f t="shared" ref="L39:L75" si="44">IF(C39&lt;$L$1,$L$1-C39,0)</f>
        <v>5972</v>
      </c>
      <c r="M39" s="301">
        <f t="shared" ref="M39:M70" si="45">ROUND(L39/$M$1,5)</f>
        <v>0.15925</v>
      </c>
      <c r="N39" s="299">
        <f t="shared" si="3"/>
        <v>243.334</v>
      </c>
      <c r="O39" s="299">
        <f t="shared" si="26"/>
        <v>919.88400000000001</v>
      </c>
      <c r="P39" s="299">
        <f t="shared" ref="P39:P70" si="46">O39+C39</f>
        <v>2447.884</v>
      </c>
      <c r="Q39" s="302">
        <f t="shared" si="27"/>
        <v>4015</v>
      </c>
      <c r="R39" s="302">
        <f t="shared" ref="R39:R70" si="47">ROUND(P39*Q39,0)</f>
        <v>9828254</v>
      </c>
      <c r="S39" s="302">
        <f>'6_Local Deduct Calc'!J39</f>
        <v>2679625</v>
      </c>
      <c r="T39" s="302">
        <f t="shared" si="28"/>
        <v>2679625</v>
      </c>
      <c r="U39" s="303">
        <f t="shared" si="29"/>
        <v>7148629</v>
      </c>
      <c r="V39" s="304">
        <f t="shared" si="43"/>
        <v>0.72740000000000005</v>
      </c>
      <c r="W39" s="304">
        <f t="shared" si="30"/>
        <v>0.27260000000000001</v>
      </c>
      <c r="X39" s="305">
        <f t="shared" ref="X39:X70" si="48">T39/C39</f>
        <v>1753.6812827225131</v>
      </c>
      <c r="Y39" s="302">
        <f>'7_Local Revenue'!AQ39</f>
        <v>5769794</v>
      </c>
      <c r="Z39" s="302">
        <f t="shared" si="31"/>
        <v>3090169</v>
      </c>
      <c r="AA39" s="31">
        <f t="shared" si="32"/>
        <v>0</v>
      </c>
      <c r="AB39" s="306">
        <f t="shared" ref="AB39:AB75" si="49">R39*$AB$1</f>
        <v>3341606.3600000003</v>
      </c>
      <c r="AC39" s="306">
        <f t="shared" ref="AC39:AC70" si="50">IF(Z39&lt;AB39,Z39,AB39)</f>
        <v>3090169</v>
      </c>
      <c r="AD39" s="302">
        <f t="shared" ref="AD39:AD70" si="51">IF(AC39&gt;0,AC39*(W39*$AD$1),0)</f>
        <v>1448893.719368</v>
      </c>
      <c r="AE39" s="307">
        <f t="shared" si="33"/>
        <v>1641275</v>
      </c>
      <c r="AF39" s="306">
        <f t="shared" ref="AF39:AF70" si="52">ROUND(AE39/C39,0)</f>
        <v>1074</v>
      </c>
      <c r="AG39" s="308">
        <f t="shared" si="34"/>
        <v>0.53110000000000002</v>
      </c>
      <c r="AH39" s="307">
        <f t="shared" ref="AH39:AH75" si="53">U39+AE39</f>
        <v>8789904</v>
      </c>
      <c r="AI39" s="306">
        <f t="shared" ref="AI39:AI70" si="54">ROUND(AH39/C39,0)</f>
        <v>5753</v>
      </c>
      <c r="AJ39" s="307">
        <f>'3A_Level 3'!J39</f>
        <v>258843</v>
      </c>
      <c r="AK39" s="306">
        <f t="shared" ref="AK39:AK70" si="55">AJ39/C39</f>
        <v>169.39986910994764</v>
      </c>
      <c r="AL39" s="307">
        <f t="shared" si="35"/>
        <v>9048747</v>
      </c>
      <c r="AM39" s="306">
        <f t="shared" ref="AM39:AM70" si="56">AL39/C39</f>
        <v>5921.9548429319375</v>
      </c>
      <c r="AN39" s="309">
        <f>'3A_Level 3'!K39</f>
        <v>1260157</v>
      </c>
      <c r="AO39" s="310">
        <f t="shared" ref="AO39:AO70" si="57">AN39/C39</f>
        <v>824.71007853403137</v>
      </c>
      <c r="AP39" s="307">
        <f t="shared" si="36"/>
        <v>10050061</v>
      </c>
      <c r="AQ39" s="306">
        <f t="shared" ref="AQ39:AQ70" si="58">AP39/C39</f>
        <v>6577.2650523560205</v>
      </c>
      <c r="AR39" s="306">
        <f>'3A_Level 3'!L39</f>
        <v>213414.09967241852</v>
      </c>
      <c r="AS39" s="1095">
        <f t="shared" ref="AS39:AS70" si="59">AP39+AR39</f>
        <v>10263475.099672418</v>
      </c>
      <c r="AT39" s="306">
        <f t="shared" ref="AT39:AT70" si="60">AS39/C39</f>
        <v>6716.9339657542005</v>
      </c>
      <c r="AU39" s="308">
        <f t="shared" si="37"/>
        <v>0.64013614665034935</v>
      </c>
      <c r="AV39" s="311">
        <f t="shared" si="38"/>
        <v>37</v>
      </c>
      <c r="AW39" s="306">
        <f t="shared" ref="AW39:AW75" si="61">ROUND(AC39+T39,2)</f>
        <v>5769794</v>
      </c>
      <c r="AX39" s="306">
        <f t="shared" ref="AX39:AX70" si="62">ROUND(AW39/C39,2)</f>
        <v>3776.04</v>
      </c>
      <c r="AY39" s="311">
        <f t="shared" si="39"/>
        <v>26</v>
      </c>
      <c r="AZ39" s="308">
        <f t="shared" si="40"/>
        <v>0.35986385334965065</v>
      </c>
      <c r="BA39" s="312">
        <f t="shared" si="41"/>
        <v>16033269.099672418</v>
      </c>
      <c r="BB39" s="312">
        <f t="shared" ref="BB39:BB70" si="63">BA39/C39</f>
        <v>10492.977159471478</v>
      </c>
      <c r="BC39" s="311">
        <f t="shared" si="42"/>
        <v>9</v>
      </c>
    </row>
    <row r="40" spans="1:55" s="313" customFormat="1" ht="15.6" customHeight="1" x14ac:dyDescent="0.2">
      <c r="A40" s="683">
        <v>34</v>
      </c>
      <c r="B40" s="298" t="s">
        <v>38</v>
      </c>
      <c r="C40" s="298">
        <f>'8_2.1.19 SIS'!AV40</f>
        <v>3701</v>
      </c>
      <c r="D40" s="299">
        <f>'[8]Econ. Disad.'!$AV40</f>
        <v>3085</v>
      </c>
      <c r="E40" s="299">
        <f t="shared" si="22"/>
        <v>678.7</v>
      </c>
      <c r="F40" s="299">
        <f>[8]CTE!$AV40</f>
        <v>1941.5</v>
      </c>
      <c r="G40" s="299">
        <f t="shared" si="23"/>
        <v>116.49</v>
      </c>
      <c r="H40" s="299">
        <f>[8]SWD!$AV40</f>
        <v>625</v>
      </c>
      <c r="I40" s="299">
        <f t="shared" si="24"/>
        <v>937.5</v>
      </c>
      <c r="J40" s="299">
        <f>[8]GT!$AV40</f>
        <v>12</v>
      </c>
      <c r="K40" s="299">
        <f t="shared" si="25"/>
        <v>7.1999999999999993</v>
      </c>
      <c r="L40" s="299">
        <f t="shared" si="44"/>
        <v>3799</v>
      </c>
      <c r="M40" s="301">
        <f t="shared" si="45"/>
        <v>0.10131</v>
      </c>
      <c r="N40" s="299">
        <f t="shared" si="3"/>
        <v>374.94830999999999</v>
      </c>
      <c r="O40" s="299">
        <f t="shared" si="26"/>
        <v>2114.8383100000001</v>
      </c>
      <c r="P40" s="299">
        <f t="shared" si="46"/>
        <v>5815.8383100000001</v>
      </c>
      <c r="Q40" s="302">
        <f t="shared" si="27"/>
        <v>4015</v>
      </c>
      <c r="R40" s="302">
        <f t="shared" si="47"/>
        <v>23350591</v>
      </c>
      <c r="S40" s="302">
        <f>'6_Local Deduct Calc'!J40</f>
        <v>4628071</v>
      </c>
      <c r="T40" s="302">
        <f t="shared" si="28"/>
        <v>4628071</v>
      </c>
      <c r="U40" s="303">
        <f t="shared" si="29"/>
        <v>18722520</v>
      </c>
      <c r="V40" s="304">
        <f t="shared" si="43"/>
        <v>0.80179999999999996</v>
      </c>
      <c r="W40" s="304">
        <f t="shared" si="30"/>
        <v>0.19819999999999999</v>
      </c>
      <c r="X40" s="305">
        <f t="shared" si="48"/>
        <v>1250.4920291813023</v>
      </c>
      <c r="Y40" s="302">
        <f>'7_Local Revenue'!AQ40</f>
        <v>11731426</v>
      </c>
      <c r="Z40" s="302">
        <f t="shared" si="31"/>
        <v>7103355</v>
      </c>
      <c r="AA40" s="31">
        <f t="shared" si="32"/>
        <v>0</v>
      </c>
      <c r="AB40" s="306">
        <f t="shared" si="49"/>
        <v>7939200.9400000004</v>
      </c>
      <c r="AC40" s="306">
        <f t="shared" si="50"/>
        <v>7103355</v>
      </c>
      <c r="AD40" s="302">
        <f t="shared" si="51"/>
        <v>2421562.1329199998</v>
      </c>
      <c r="AE40" s="307">
        <f t="shared" si="33"/>
        <v>4681793</v>
      </c>
      <c r="AF40" s="306">
        <f t="shared" si="52"/>
        <v>1265</v>
      </c>
      <c r="AG40" s="308">
        <f t="shared" si="34"/>
        <v>0.65910000000000002</v>
      </c>
      <c r="AH40" s="307">
        <f t="shared" si="53"/>
        <v>23404313</v>
      </c>
      <c r="AI40" s="306">
        <f t="shared" si="54"/>
        <v>6324</v>
      </c>
      <c r="AJ40" s="307">
        <f>'3A_Level 3'!J40</f>
        <v>626949</v>
      </c>
      <c r="AK40" s="306">
        <f t="shared" si="55"/>
        <v>169.39989192110241</v>
      </c>
      <c r="AL40" s="307">
        <f t="shared" si="35"/>
        <v>24031262</v>
      </c>
      <c r="AM40" s="306">
        <f t="shared" si="56"/>
        <v>6493.1807619562278</v>
      </c>
      <c r="AN40" s="309">
        <f>'3A_Level 3'!K40</f>
        <v>3010800</v>
      </c>
      <c r="AO40" s="310">
        <f t="shared" si="57"/>
        <v>813.50986219940557</v>
      </c>
      <c r="AP40" s="307">
        <f t="shared" si="36"/>
        <v>26415113</v>
      </c>
      <c r="AQ40" s="306">
        <f t="shared" si="58"/>
        <v>7137.2907322345309</v>
      </c>
      <c r="AR40" s="306">
        <f>'3A_Level 3'!L40</f>
        <v>502720.23171027843</v>
      </c>
      <c r="AS40" s="1095">
        <f t="shared" si="59"/>
        <v>26917833.231710277</v>
      </c>
      <c r="AT40" s="306">
        <f t="shared" si="60"/>
        <v>7273.1243533397128</v>
      </c>
      <c r="AU40" s="308">
        <f t="shared" si="37"/>
        <v>0.69646440234034801</v>
      </c>
      <c r="AV40" s="311">
        <f t="shared" si="38"/>
        <v>18</v>
      </c>
      <c r="AW40" s="306">
        <f t="shared" si="61"/>
        <v>11731426</v>
      </c>
      <c r="AX40" s="306">
        <f t="shared" si="62"/>
        <v>3169.8</v>
      </c>
      <c r="AY40" s="311">
        <f t="shared" si="39"/>
        <v>50</v>
      </c>
      <c r="AZ40" s="308">
        <f t="shared" si="40"/>
        <v>0.30353559765965193</v>
      </c>
      <c r="BA40" s="312">
        <f t="shared" si="41"/>
        <v>38649259.231710277</v>
      </c>
      <c r="BB40" s="312">
        <f t="shared" si="63"/>
        <v>10442.923326590186</v>
      </c>
      <c r="BC40" s="311">
        <f t="shared" si="42"/>
        <v>12</v>
      </c>
    </row>
    <row r="41" spans="1:55" s="315" customFormat="1" ht="15.6" customHeight="1" x14ac:dyDescent="0.2">
      <c r="A41" s="684">
        <v>35</v>
      </c>
      <c r="B41" s="685" t="s">
        <v>39</v>
      </c>
      <c r="C41" s="685">
        <f>'8_2.1.19 SIS'!AV41</f>
        <v>5801</v>
      </c>
      <c r="D41" s="686">
        <f>'[8]Econ. Disad.'!$AV41</f>
        <v>4185</v>
      </c>
      <c r="E41" s="686">
        <f t="shared" si="22"/>
        <v>920.7</v>
      </c>
      <c r="F41" s="686">
        <f>[8]CTE!$AV41</f>
        <v>2845</v>
      </c>
      <c r="G41" s="686">
        <f t="shared" si="23"/>
        <v>170.7</v>
      </c>
      <c r="H41" s="686">
        <f>[8]SWD!$AV41</f>
        <v>703</v>
      </c>
      <c r="I41" s="686">
        <f t="shared" si="24"/>
        <v>1054.5</v>
      </c>
      <c r="J41" s="686">
        <f>[8]GT!$AV41</f>
        <v>238</v>
      </c>
      <c r="K41" s="686">
        <f t="shared" si="25"/>
        <v>142.79999999999998</v>
      </c>
      <c r="L41" s="686">
        <f t="shared" si="44"/>
        <v>1699</v>
      </c>
      <c r="M41" s="687">
        <f t="shared" si="45"/>
        <v>4.5310000000000003E-2</v>
      </c>
      <c r="N41" s="686">
        <f t="shared" si="3"/>
        <v>262.84331000000003</v>
      </c>
      <c r="O41" s="686">
        <f t="shared" si="26"/>
        <v>2551.5433100000005</v>
      </c>
      <c r="P41" s="314">
        <f t="shared" si="46"/>
        <v>8352.5433100000009</v>
      </c>
      <c r="Q41" s="606">
        <f t="shared" si="27"/>
        <v>4015</v>
      </c>
      <c r="R41" s="606">
        <f t="shared" si="47"/>
        <v>33535461</v>
      </c>
      <c r="S41" s="606">
        <f>'6_Local Deduct Calc'!J41</f>
        <v>10400554</v>
      </c>
      <c r="T41" s="606">
        <f t="shared" si="28"/>
        <v>10400554</v>
      </c>
      <c r="U41" s="607">
        <f t="shared" si="29"/>
        <v>23134907</v>
      </c>
      <c r="V41" s="688">
        <f t="shared" si="43"/>
        <v>0.68989999999999996</v>
      </c>
      <c r="W41" s="608">
        <f t="shared" si="30"/>
        <v>0.31009999999999999</v>
      </c>
      <c r="X41" s="609">
        <f t="shared" si="48"/>
        <v>1792.8898465781763</v>
      </c>
      <c r="Y41" s="606">
        <f>'7_Local Revenue'!AQ41</f>
        <v>24183286</v>
      </c>
      <c r="Z41" s="606">
        <f t="shared" si="31"/>
        <v>13782732</v>
      </c>
      <c r="AA41" s="689">
        <f t="shared" si="32"/>
        <v>0</v>
      </c>
      <c r="AB41" s="690">
        <f t="shared" si="49"/>
        <v>11402056.74</v>
      </c>
      <c r="AC41" s="690">
        <f t="shared" si="50"/>
        <v>11402056.74</v>
      </c>
      <c r="AD41" s="606">
        <f t="shared" si="51"/>
        <v>6081537.8075272795</v>
      </c>
      <c r="AE41" s="691">
        <f t="shared" si="33"/>
        <v>5320519</v>
      </c>
      <c r="AF41" s="690">
        <f t="shared" si="52"/>
        <v>917</v>
      </c>
      <c r="AG41" s="692">
        <f t="shared" si="34"/>
        <v>0.46660000000000001</v>
      </c>
      <c r="AH41" s="691">
        <f t="shared" si="53"/>
        <v>28455426</v>
      </c>
      <c r="AI41" s="690">
        <f t="shared" si="54"/>
        <v>4905</v>
      </c>
      <c r="AJ41" s="691">
        <f>'3A_Level 3'!J41</f>
        <v>982689</v>
      </c>
      <c r="AK41" s="690">
        <f t="shared" si="55"/>
        <v>169.39993104637131</v>
      </c>
      <c r="AL41" s="691">
        <f t="shared" si="35"/>
        <v>29438115</v>
      </c>
      <c r="AM41" s="690">
        <f t="shared" si="56"/>
        <v>5074.6621272194452</v>
      </c>
      <c r="AN41" s="693">
        <f>'3A_Level 3'!K41</f>
        <v>4103395</v>
      </c>
      <c r="AO41" s="694">
        <f t="shared" si="57"/>
        <v>707.35993794173419</v>
      </c>
      <c r="AP41" s="691">
        <f t="shared" si="36"/>
        <v>32558821</v>
      </c>
      <c r="AQ41" s="690">
        <f t="shared" si="58"/>
        <v>5612.6221341148075</v>
      </c>
      <c r="AR41" s="957">
        <f>'3A_Level 3'!L41</f>
        <v>833392.79013730027</v>
      </c>
      <c r="AS41" s="1096">
        <f t="shared" si="59"/>
        <v>33392213.790137298</v>
      </c>
      <c r="AT41" s="961">
        <f t="shared" si="60"/>
        <v>5756.2857766139114</v>
      </c>
      <c r="AU41" s="692">
        <f t="shared" si="37"/>
        <v>0.60498813202865764</v>
      </c>
      <c r="AV41" s="695">
        <f t="shared" si="38"/>
        <v>44</v>
      </c>
      <c r="AW41" s="690">
        <f t="shared" si="61"/>
        <v>21802610.739999998</v>
      </c>
      <c r="AX41" s="690">
        <f t="shared" si="62"/>
        <v>3758.42</v>
      </c>
      <c r="AY41" s="695">
        <f t="shared" si="39"/>
        <v>27</v>
      </c>
      <c r="AZ41" s="692">
        <f t="shared" si="40"/>
        <v>0.39501186797134225</v>
      </c>
      <c r="BA41" s="696">
        <f t="shared" si="41"/>
        <v>55194824.5301373</v>
      </c>
      <c r="BB41" s="696">
        <f t="shared" si="63"/>
        <v>9514.7085899219619</v>
      </c>
      <c r="BC41" s="695">
        <f t="shared" si="42"/>
        <v>43</v>
      </c>
    </row>
    <row r="42" spans="1:55" s="313" customFormat="1" ht="15.6" customHeight="1" x14ac:dyDescent="0.2">
      <c r="A42" s="683">
        <v>36</v>
      </c>
      <c r="B42" s="298" t="s">
        <v>40</v>
      </c>
      <c r="C42" s="299">
        <f>'8_2.1.19 SIS'!AV42</f>
        <v>46390</v>
      </c>
      <c r="D42" s="299">
        <f>'[8]Econ. Disad.'!$AV42</f>
        <v>38931</v>
      </c>
      <c r="E42" s="299">
        <f t="shared" si="22"/>
        <v>8564.82</v>
      </c>
      <c r="F42" s="299">
        <f>[8]CTE!$AV42</f>
        <v>12621.5</v>
      </c>
      <c r="G42" s="299">
        <f t="shared" si="23"/>
        <v>757.29</v>
      </c>
      <c r="H42" s="299">
        <f>[8]SWD!$AV42</f>
        <v>6888</v>
      </c>
      <c r="I42" s="299">
        <f t="shared" si="24"/>
        <v>10332</v>
      </c>
      <c r="J42" s="299">
        <f>[8]GT!$AV42</f>
        <v>2829</v>
      </c>
      <c r="K42" s="299">
        <f t="shared" si="25"/>
        <v>1697.3999999999999</v>
      </c>
      <c r="L42" s="300">
        <f t="shared" si="44"/>
        <v>0</v>
      </c>
      <c r="M42" s="301">
        <f t="shared" si="45"/>
        <v>0</v>
      </c>
      <c r="N42" s="299">
        <f t="shared" si="3"/>
        <v>0</v>
      </c>
      <c r="O42" s="299">
        <f t="shared" si="26"/>
        <v>21351.510000000002</v>
      </c>
      <c r="P42" s="299">
        <f t="shared" si="46"/>
        <v>67741.510000000009</v>
      </c>
      <c r="Q42" s="302">
        <f t="shared" si="27"/>
        <v>4015</v>
      </c>
      <c r="R42" s="302">
        <f t="shared" si="47"/>
        <v>271982163</v>
      </c>
      <c r="S42" s="302">
        <f>'6_Local Deduct Calc'!J42</f>
        <v>129105799</v>
      </c>
      <c r="T42" s="302">
        <f t="shared" si="28"/>
        <v>129105799</v>
      </c>
      <c r="U42" s="303">
        <f t="shared" si="29"/>
        <v>142876364</v>
      </c>
      <c r="V42" s="304">
        <f t="shared" si="43"/>
        <v>0.52529999999999999</v>
      </c>
      <c r="W42" s="304">
        <f t="shared" si="30"/>
        <v>0.47470000000000001</v>
      </c>
      <c r="X42" s="305">
        <f t="shared" si="48"/>
        <v>2783.052360422505</v>
      </c>
      <c r="Y42" s="302">
        <f>'7_Local Revenue'!AQ42</f>
        <v>311767454</v>
      </c>
      <c r="Z42" s="302">
        <f t="shared" si="31"/>
        <v>182661655</v>
      </c>
      <c r="AA42" s="31">
        <f t="shared" si="32"/>
        <v>0</v>
      </c>
      <c r="AB42" s="306">
        <f t="shared" si="49"/>
        <v>92473935.420000002</v>
      </c>
      <c r="AC42" s="306">
        <f t="shared" si="50"/>
        <v>92473935.420000002</v>
      </c>
      <c r="AD42" s="302">
        <f t="shared" si="51"/>
        <v>75503488.687463284</v>
      </c>
      <c r="AE42" s="307">
        <f t="shared" si="33"/>
        <v>16970447</v>
      </c>
      <c r="AF42" s="306">
        <f t="shared" si="52"/>
        <v>366</v>
      </c>
      <c r="AG42" s="308">
        <f t="shared" si="34"/>
        <v>0.1835</v>
      </c>
      <c r="AH42" s="307">
        <f t="shared" si="53"/>
        <v>159846811</v>
      </c>
      <c r="AI42" s="306">
        <f t="shared" si="54"/>
        <v>3446</v>
      </c>
      <c r="AJ42" s="307">
        <f>'3A_Level 3'!J42</f>
        <v>7858461</v>
      </c>
      <c r="AK42" s="306">
        <f t="shared" si="55"/>
        <v>169.39989221815046</v>
      </c>
      <c r="AL42" s="307">
        <f t="shared" si="35"/>
        <v>167705272</v>
      </c>
      <c r="AM42" s="306">
        <f t="shared" si="56"/>
        <v>3615.1168786376375</v>
      </c>
      <c r="AN42" s="309">
        <f>'3A_Level 3'!K42</f>
        <v>41859535</v>
      </c>
      <c r="AO42" s="310">
        <f t="shared" si="57"/>
        <v>902.33962060788963</v>
      </c>
      <c r="AP42" s="307">
        <f t="shared" si="36"/>
        <v>201706346</v>
      </c>
      <c r="AQ42" s="306">
        <f t="shared" si="58"/>
        <v>4348.0566070273762</v>
      </c>
      <c r="AR42" s="306">
        <f>'3A_Level 3'!L42</f>
        <v>6686994.4964526081</v>
      </c>
      <c r="AS42" s="1095">
        <f t="shared" si="59"/>
        <v>208393340.4964526</v>
      </c>
      <c r="AT42" s="306">
        <f t="shared" si="60"/>
        <v>4492.2039339610392</v>
      </c>
      <c r="AU42" s="308">
        <f t="shared" si="37"/>
        <v>0.48466602365030692</v>
      </c>
      <c r="AV42" s="311">
        <f t="shared" si="38"/>
        <v>57</v>
      </c>
      <c r="AW42" s="306">
        <f t="shared" si="61"/>
        <v>221579734.41999999</v>
      </c>
      <c r="AX42" s="306">
        <f t="shared" si="62"/>
        <v>4776.45</v>
      </c>
      <c r="AY42" s="311">
        <f t="shared" si="39"/>
        <v>13</v>
      </c>
      <c r="AZ42" s="308">
        <f t="shared" si="40"/>
        <v>0.51533397634969302</v>
      </c>
      <c r="BA42" s="312">
        <f t="shared" si="41"/>
        <v>429973074.91645259</v>
      </c>
      <c r="BB42" s="312">
        <f t="shared" si="63"/>
        <v>9268.6586530815384</v>
      </c>
      <c r="BC42" s="311">
        <f t="shared" si="42"/>
        <v>54</v>
      </c>
    </row>
    <row r="43" spans="1:55" s="313" customFormat="1" ht="15.6" customHeight="1" x14ac:dyDescent="0.2">
      <c r="A43" s="683">
        <v>37</v>
      </c>
      <c r="B43" s="298" t="s">
        <v>41</v>
      </c>
      <c r="C43" s="298">
        <f>'8_2.1.19 SIS'!AV43</f>
        <v>18810</v>
      </c>
      <c r="D43" s="299">
        <f>'[8]Econ. Disad.'!$AV43</f>
        <v>12423</v>
      </c>
      <c r="E43" s="299">
        <f t="shared" si="22"/>
        <v>2733.06</v>
      </c>
      <c r="F43" s="299">
        <f>[8]CTE!$AV43</f>
        <v>7645</v>
      </c>
      <c r="G43" s="299">
        <f t="shared" si="23"/>
        <v>458.7</v>
      </c>
      <c r="H43" s="299">
        <f>[8]SWD!$AV43</f>
        <v>2608</v>
      </c>
      <c r="I43" s="299">
        <f t="shared" si="24"/>
        <v>3912</v>
      </c>
      <c r="J43" s="299">
        <f>[8]GT!$AV43</f>
        <v>922</v>
      </c>
      <c r="K43" s="299">
        <f t="shared" si="25"/>
        <v>553.19999999999993</v>
      </c>
      <c r="L43" s="299">
        <f t="shared" si="44"/>
        <v>0</v>
      </c>
      <c r="M43" s="301">
        <f t="shared" si="45"/>
        <v>0</v>
      </c>
      <c r="N43" s="299">
        <f t="shared" si="3"/>
        <v>0</v>
      </c>
      <c r="O43" s="299">
        <f t="shared" si="26"/>
        <v>7656.96</v>
      </c>
      <c r="P43" s="299">
        <f t="shared" si="46"/>
        <v>26466.959999999999</v>
      </c>
      <c r="Q43" s="302">
        <f t="shared" si="27"/>
        <v>4015</v>
      </c>
      <c r="R43" s="302">
        <f t="shared" si="47"/>
        <v>106264844</v>
      </c>
      <c r="S43" s="302">
        <f>'6_Local Deduct Calc'!J43</f>
        <v>22844095</v>
      </c>
      <c r="T43" s="302">
        <f t="shared" si="28"/>
        <v>22844095</v>
      </c>
      <c r="U43" s="303">
        <f t="shared" si="29"/>
        <v>83420749</v>
      </c>
      <c r="V43" s="304">
        <f t="shared" si="43"/>
        <v>0.78500000000000003</v>
      </c>
      <c r="W43" s="304">
        <f t="shared" si="30"/>
        <v>0.215</v>
      </c>
      <c r="X43" s="305">
        <f t="shared" si="48"/>
        <v>1214.4654439128124</v>
      </c>
      <c r="Y43" s="302">
        <f>'7_Local Revenue'!AQ43</f>
        <v>76119581</v>
      </c>
      <c r="Z43" s="302">
        <f t="shared" si="31"/>
        <v>53275486</v>
      </c>
      <c r="AA43" s="31">
        <f t="shared" si="32"/>
        <v>0</v>
      </c>
      <c r="AB43" s="306">
        <f t="shared" si="49"/>
        <v>36130046.960000001</v>
      </c>
      <c r="AC43" s="306">
        <f t="shared" si="50"/>
        <v>36130046.960000001</v>
      </c>
      <c r="AD43" s="302">
        <f t="shared" si="51"/>
        <v>13360891.365807999</v>
      </c>
      <c r="AE43" s="307">
        <f t="shared" si="33"/>
        <v>22769156</v>
      </c>
      <c r="AF43" s="306">
        <f t="shared" si="52"/>
        <v>1210</v>
      </c>
      <c r="AG43" s="308">
        <f t="shared" si="34"/>
        <v>0.63019999999999998</v>
      </c>
      <c r="AH43" s="307">
        <f t="shared" si="53"/>
        <v>106189905</v>
      </c>
      <c r="AI43" s="306">
        <f t="shared" si="54"/>
        <v>5645</v>
      </c>
      <c r="AJ43" s="307">
        <f>'3A_Level 3'!J43</f>
        <v>3186412</v>
      </c>
      <c r="AK43" s="306">
        <f t="shared" si="55"/>
        <v>169.39989367357788</v>
      </c>
      <c r="AL43" s="307">
        <f t="shared" si="35"/>
        <v>109376317</v>
      </c>
      <c r="AM43" s="306">
        <f t="shared" si="56"/>
        <v>5814.7962254120148</v>
      </c>
      <c r="AN43" s="309">
        <f>'3A_Level 3'!K43</f>
        <v>15480816</v>
      </c>
      <c r="AO43" s="310">
        <f t="shared" si="57"/>
        <v>823.00988835725673</v>
      </c>
      <c r="AP43" s="307">
        <f t="shared" si="36"/>
        <v>121670721</v>
      </c>
      <c r="AQ43" s="306">
        <f t="shared" si="58"/>
        <v>6468.4062200956942</v>
      </c>
      <c r="AR43" s="306">
        <f>'3A_Level 3'!L43</f>
        <v>2862702.00183615</v>
      </c>
      <c r="AS43" s="1095">
        <f t="shared" si="59"/>
        <v>124533423.00183615</v>
      </c>
      <c r="AT43" s="306">
        <f t="shared" si="60"/>
        <v>6620.5966508153188</v>
      </c>
      <c r="AU43" s="308">
        <f t="shared" si="37"/>
        <v>0.67862827904525469</v>
      </c>
      <c r="AV43" s="311">
        <f t="shared" si="38"/>
        <v>24</v>
      </c>
      <c r="AW43" s="306">
        <f t="shared" si="61"/>
        <v>58974141.960000001</v>
      </c>
      <c r="AX43" s="306">
        <f t="shared" si="62"/>
        <v>3135.25</v>
      </c>
      <c r="AY43" s="311">
        <f t="shared" si="39"/>
        <v>51</v>
      </c>
      <c r="AZ43" s="308">
        <f t="shared" si="40"/>
        <v>0.32137172095474525</v>
      </c>
      <c r="BA43" s="312">
        <f t="shared" si="41"/>
        <v>183507564.96183616</v>
      </c>
      <c r="BB43" s="312">
        <f t="shared" si="63"/>
        <v>9755.8514067961805</v>
      </c>
      <c r="BC43" s="311">
        <f t="shared" si="42"/>
        <v>31</v>
      </c>
    </row>
    <row r="44" spans="1:55" s="313" customFormat="1" ht="15.6" customHeight="1" x14ac:dyDescent="0.2">
      <c r="A44" s="683">
        <v>38</v>
      </c>
      <c r="B44" s="298" t="s">
        <v>42</v>
      </c>
      <c r="C44" s="298">
        <f>'8_2.1.19 SIS'!AV44</f>
        <v>3889</v>
      </c>
      <c r="D44" s="299">
        <f>'[8]Econ. Disad.'!$AV44</f>
        <v>2730</v>
      </c>
      <c r="E44" s="299">
        <f t="shared" si="22"/>
        <v>600.6</v>
      </c>
      <c r="F44" s="299">
        <f>[8]CTE!$AV44</f>
        <v>2184.5</v>
      </c>
      <c r="G44" s="299">
        <f t="shared" si="23"/>
        <v>131.07</v>
      </c>
      <c r="H44" s="299">
        <f>[8]SWD!$AV44</f>
        <v>579</v>
      </c>
      <c r="I44" s="299">
        <f t="shared" si="24"/>
        <v>868.5</v>
      </c>
      <c r="J44" s="299">
        <f>[8]GT!$AV44</f>
        <v>258</v>
      </c>
      <c r="K44" s="299">
        <f t="shared" si="25"/>
        <v>154.79999999999998</v>
      </c>
      <c r="L44" s="299">
        <f t="shared" si="44"/>
        <v>3611</v>
      </c>
      <c r="M44" s="301">
        <f t="shared" si="45"/>
        <v>9.6290000000000001E-2</v>
      </c>
      <c r="N44" s="299">
        <f t="shared" si="3"/>
        <v>374.47181</v>
      </c>
      <c r="O44" s="299">
        <f t="shared" si="26"/>
        <v>2129.4418100000003</v>
      </c>
      <c r="P44" s="299">
        <f t="shared" si="46"/>
        <v>6018.4418100000003</v>
      </c>
      <c r="Q44" s="302">
        <f t="shared" si="27"/>
        <v>4015</v>
      </c>
      <c r="R44" s="302">
        <f t="shared" si="47"/>
        <v>24164044</v>
      </c>
      <c r="S44" s="302">
        <f>'6_Local Deduct Calc'!J44</f>
        <v>20471425</v>
      </c>
      <c r="T44" s="302">
        <f t="shared" si="28"/>
        <v>18123033</v>
      </c>
      <c r="U44" s="303">
        <f t="shared" si="29"/>
        <v>6041011</v>
      </c>
      <c r="V44" s="304">
        <f t="shared" si="43"/>
        <v>0.25</v>
      </c>
      <c r="W44" s="304">
        <f t="shared" si="30"/>
        <v>0.75</v>
      </c>
      <c r="X44" s="305">
        <f t="shared" si="48"/>
        <v>4660.0753407045513</v>
      </c>
      <c r="Y44" s="302">
        <f>'7_Local Revenue'!AQ44</f>
        <v>44052200</v>
      </c>
      <c r="Z44" s="302">
        <f t="shared" si="31"/>
        <v>25929167</v>
      </c>
      <c r="AA44" s="31">
        <f t="shared" si="32"/>
        <v>0</v>
      </c>
      <c r="AB44" s="306">
        <f t="shared" si="49"/>
        <v>8215774.9600000009</v>
      </c>
      <c r="AC44" s="306">
        <f t="shared" si="50"/>
        <v>8215774.9600000009</v>
      </c>
      <c r="AD44" s="302">
        <f t="shared" si="51"/>
        <v>10598349.698400002</v>
      </c>
      <c r="AE44" s="307">
        <f t="shared" si="33"/>
        <v>0</v>
      </c>
      <c r="AF44" s="306">
        <f t="shared" si="52"/>
        <v>0</v>
      </c>
      <c r="AG44" s="308">
        <f t="shared" si="34"/>
        <v>0</v>
      </c>
      <c r="AH44" s="307">
        <f t="shared" si="53"/>
        <v>6041011</v>
      </c>
      <c r="AI44" s="306">
        <f t="shared" si="54"/>
        <v>1553</v>
      </c>
      <c r="AJ44" s="307">
        <f>'3A_Level 3'!J44</f>
        <v>1646924</v>
      </c>
      <c r="AK44" s="306">
        <f t="shared" si="55"/>
        <v>423.48264335304708</v>
      </c>
      <c r="AL44" s="307">
        <f t="shared" si="35"/>
        <v>7687935</v>
      </c>
      <c r="AM44" s="306">
        <f t="shared" si="56"/>
        <v>1976.8410902545641</v>
      </c>
      <c r="AN44" s="309">
        <f>'3A_Level 3'!K44</f>
        <v>4874483</v>
      </c>
      <c r="AO44" s="310">
        <f t="shared" si="57"/>
        <v>1253.4026742093083</v>
      </c>
      <c r="AP44" s="307">
        <f t="shared" si="36"/>
        <v>10915494</v>
      </c>
      <c r="AQ44" s="306">
        <f t="shared" si="58"/>
        <v>2806.7611211108256</v>
      </c>
      <c r="AR44" s="306">
        <f>'3A_Level 3'!L44</f>
        <v>610629.13581269386</v>
      </c>
      <c r="AS44" s="1095">
        <f t="shared" si="59"/>
        <v>11526123.135812694</v>
      </c>
      <c r="AT44" s="306">
        <f t="shared" si="60"/>
        <v>2963.7755556216748</v>
      </c>
      <c r="AU44" s="308">
        <f t="shared" si="37"/>
        <v>0.30440100647871809</v>
      </c>
      <c r="AV44" s="311">
        <f t="shared" si="38"/>
        <v>69</v>
      </c>
      <c r="AW44" s="306">
        <f t="shared" si="61"/>
        <v>26338807.960000001</v>
      </c>
      <c r="AX44" s="306">
        <f t="shared" si="62"/>
        <v>6772.64</v>
      </c>
      <c r="AY44" s="311">
        <f t="shared" si="39"/>
        <v>1</v>
      </c>
      <c r="AZ44" s="308">
        <f t="shared" si="40"/>
        <v>0.69559899352128196</v>
      </c>
      <c r="BA44" s="312">
        <f t="shared" si="41"/>
        <v>37864931.095812693</v>
      </c>
      <c r="BB44" s="312">
        <f t="shared" si="63"/>
        <v>9736.4183841122885</v>
      </c>
      <c r="BC44" s="311">
        <f t="shared" si="42"/>
        <v>32</v>
      </c>
    </row>
    <row r="45" spans="1:55" s="313" customFormat="1" ht="15.6" customHeight="1" x14ac:dyDescent="0.2">
      <c r="A45" s="683">
        <v>39</v>
      </c>
      <c r="B45" s="298" t="s">
        <v>43</v>
      </c>
      <c r="C45" s="298">
        <f>'8_2.1.19 SIS'!AV45</f>
        <v>2618</v>
      </c>
      <c r="D45" s="299">
        <f>'[8]Econ. Disad.'!$AV45</f>
        <v>2006</v>
      </c>
      <c r="E45" s="299">
        <f t="shared" si="22"/>
        <v>441.32</v>
      </c>
      <c r="F45" s="299">
        <f>[8]CTE!$AV45</f>
        <v>1504</v>
      </c>
      <c r="G45" s="299">
        <f t="shared" si="23"/>
        <v>90.24</v>
      </c>
      <c r="H45" s="299">
        <f>[8]SWD!$AV45</f>
        <v>467</v>
      </c>
      <c r="I45" s="299">
        <f t="shared" si="24"/>
        <v>700.5</v>
      </c>
      <c r="J45" s="299">
        <f>[8]GT!$AV45</f>
        <v>37</v>
      </c>
      <c r="K45" s="299">
        <f t="shared" si="25"/>
        <v>22.2</v>
      </c>
      <c r="L45" s="299">
        <f t="shared" si="44"/>
        <v>4882</v>
      </c>
      <c r="M45" s="301">
        <f t="shared" si="45"/>
        <v>0.13019</v>
      </c>
      <c r="N45" s="299">
        <f t="shared" si="3"/>
        <v>340.83742000000001</v>
      </c>
      <c r="O45" s="299">
        <f t="shared" si="26"/>
        <v>1595.0974200000001</v>
      </c>
      <c r="P45" s="299">
        <f t="shared" si="46"/>
        <v>4213.0974200000001</v>
      </c>
      <c r="Q45" s="302">
        <f t="shared" si="27"/>
        <v>4015</v>
      </c>
      <c r="R45" s="302">
        <f t="shared" si="47"/>
        <v>16915586</v>
      </c>
      <c r="S45" s="302">
        <f>'6_Local Deduct Calc'!J45</f>
        <v>9876785</v>
      </c>
      <c r="T45" s="302">
        <f t="shared" si="28"/>
        <v>9876785</v>
      </c>
      <c r="U45" s="303">
        <f t="shared" si="29"/>
        <v>7038801</v>
      </c>
      <c r="V45" s="304">
        <f t="shared" si="43"/>
        <v>0.41610000000000003</v>
      </c>
      <c r="W45" s="304">
        <f t="shared" si="30"/>
        <v>0.58389999999999997</v>
      </c>
      <c r="X45" s="305">
        <f t="shared" si="48"/>
        <v>3772.6451489686783</v>
      </c>
      <c r="Y45" s="302">
        <f>'7_Local Revenue'!AQ45</f>
        <v>15012521</v>
      </c>
      <c r="Z45" s="302">
        <f t="shared" si="31"/>
        <v>5135736</v>
      </c>
      <c r="AA45" s="31">
        <f t="shared" si="32"/>
        <v>0</v>
      </c>
      <c r="AB45" s="306">
        <f t="shared" si="49"/>
        <v>5751299.2400000002</v>
      </c>
      <c r="AC45" s="306">
        <f t="shared" si="50"/>
        <v>5135736</v>
      </c>
      <c r="AD45" s="302">
        <f t="shared" si="51"/>
        <v>5157860.7506879997</v>
      </c>
      <c r="AE45" s="307">
        <f t="shared" si="33"/>
        <v>0</v>
      </c>
      <c r="AF45" s="306">
        <f t="shared" si="52"/>
        <v>0</v>
      </c>
      <c r="AG45" s="308">
        <f t="shared" si="34"/>
        <v>0</v>
      </c>
      <c r="AH45" s="307">
        <f t="shared" si="53"/>
        <v>7038801</v>
      </c>
      <c r="AI45" s="306">
        <f t="shared" si="54"/>
        <v>2689</v>
      </c>
      <c r="AJ45" s="307">
        <f>'3A_Level 3'!J45</f>
        <v>768177</v>
      </c>
      <c r="AK45" s="306">
        <f t="shared" si="55"/>
        <v>293.42131398013748</v>
      </c>
      <c r="AL45" s="307">
        <f t="shared" si="35"/>
        <v>7806978</v>
      </c>
      <c r="AM45" s="306">
        <f t="shared" si="56"/>
        <v>2982.0389610389611</v>
      </c>
      <c r="AN45" s="309">
        <f>'3A_Level 3'!K45</f>
        <v>2809327</v>
      </c>
      <c r="AO45" s="310">
        <f t="shared" si="57"/>
        <v>1073.081359816654</v>
      </c>
      <c r="AP45" s="307">
        <f t="shared" si="36"/>
        <v>9848128</v>
      </c>
      <c r="AQ45" s="306">
        <f t="shared" si="58"/>
        <v>3761.6990068754776</v>
      </c>
      <c r="AR45" s="306">
        <f>'3A_Level 3'!L45</f>
        <v>321949.4332028827</v>
      </c>
      <c r="AS45" s="1095">
        <f t="shared" si="59"/>
        <v>10170077.433202883</v>
      </c>
      <c r="AT45" s="306">
        <f t="shared" si="60"/>
        <v>3884.6743442333395</v>
      </c>
      <c r="AU45" s="308">
        <f t="shared" si="37"/>
        <v>0.40385337756860651</v>
      </c>
      <c r="AV45" s="311">
        <f t="shared" si="38"/>
        <v>62</v>
      </c>
      <c r="AW45" s="306">
        <f t="shared" si="61"/>
        <v>15012521</v>
      </c>
      <c r="AX45" s="306">
        <f t="shared" si="62"/>
        <v>5734.35</v>
      </c>
      <c r="AY45" s="311">
        <f t="shared" si="39"/>
        <v>6</v>
      </c>
      <c r="AZ45" s="308">
        <f t="shared" si="40"/>
        <v>0.59614662243139338</v>
      </c>
      <c r="BA45" s="312">
        <f t="shared" si="41"/>
        <v>25182598.433202885</v>
      </c>
      <c r="BB45" s="312">
        <f t="shared" si="63"/>
        <v>9619.0215558452583</v>
      </c>
      <c r="BC45" s="311">
        <f t="shared" si="42"/>
        <v>37</v>
      </c>
    </row>
    <row r="46" spans="1:55" s="315" customFormat="1" ht="15.6" customHeight="1" x14ac:dyDescent="0.2">
      <c r="A46" s="684">
        <v>40</v>
      </c>
      <c r="B46" s="685" t="s">
        <v>44</v>
      </c>
      <c r="C46" s="685">
        <f>'8_2.1.19 SIS'!AV46</f>
        <v>22025</v>
      </c>
      <c r="D46" s="686">
        <f>'[8]Econ. Disad.'!$AV46</f>
        <v>16047</v>
      </c>
      <c r="E46" s="686">
        <f t="shared" si="22"/>
        <v>3530.34</v>
      </c>
      <c r="F46" s="686">
        <f>[8]CTE!$AV46</f>
        <v>10162</v>
      </c>
      <c r="G46" s="686">
        <f t="shared" si="23"/>
        <v>609.72</v>
      </c>
      <c r="H46" s="686">
        <f>[8]SWD!$AV46</f>
        <v>3036</v>
      </c>
      <c r="I46" s="686">
        <f t="shared" si="24"/>
        <v>4554</v>
      </c>
      <c r="J46" s="686">
        <f>[8]GT!$AV46</f>
        <v>458</v>
      </c>
      <c r="K46" s="686">
        <f t="shared" si="25"/>
        <v>274.8</v>
      </c>
      <c r="L46" s="686">
        <f t="shared" si="44"/>
        <v>0</v>
      </c>
      <c r="M46" s="687">
        <f t="shared" si="45"/>
        <v>0</v>
      </c>
      <c r="N46" s="686">
        <f t="shared" si="3"/>
        <v>0</v>
      </c>
      <c r="O46" s="686">
        <f t="shared" si="26"/>
        <v>8968.86</v>
      </c>
      <c r="P46" s="314">
        <f t="shared" si="46"/>
        <v>30993.86</v>
      </c>
      <c r="Q46" s="606">
        <f t="shared" si="27"/>
        <v>4015</v>
      </c>
      <c r="R46" s="606">
        <f t="shared" si="47"/>
        <v>124440348</v>
      </c>
      <c r="S46" s="606">
        <f>'6_Local Deduct Calc'!J46</f>
        <v>32263652</v>
      </c>
      <c r="T46" s="606">
        <f t="shared" si="28"/>
        <v>32263652</v>
      </c>
      <c r="U46" s="607">
        <f t="shared" si="29"/>
        <v>92176696</v>
      </c>
      <c r="V46" s="688">
        <f t="shared" si="43"/>
        <v>0.74070000000000003</v>
      </c>
      <c r="W46" s="608">
        <f t="shared" si="30"/>
        <v>0.25929999999999997</v>
      </c>
      <c r="X46" s="609">
        <f t="shared" si="48"/>
        <v>1464.8650170261067</v>
      </c>
      <c r="Y46" s="606">
        <f>'7_Local Revenue'!AQ46</f>
        <v>91221008</v>
      </c>
      <c r="Z46" s="606">
        <f t="shared" si="31"/>
        <v>58957356</v>
      </c>
      <c r="AA46" s="689">
        <f t="shared" si="32"/>
        <v>0</v>
      </c>
      <c r="AB46" s="690">
        <f t="shared" si="49"/>
        <v>42309718.32</v>
      </c>
      <c r="AC46" s="690">
        <f t="shared" si="50"/>
        <v>42309718.32</v>
      </c>
      <c r="AD46" s="606">
        <f t="shared" si="51"/>
        <v>18869965.131846718</v>
      </c>
      <c r="AE46" s="691">
        <f t="shared" si="33"/>
        <v>23439753</v>
      </c>
      <c r="AF46" s="690">
        <f t="shared" si="52"/>
        <v>1064</v>
      </c>
      <c r="AG46" s="692">
        <f t="shared" si="34"/>
        <v>0.55400000000000005</v>
      </c>
      <c r="AH46" s="691">
        <f t="shared" si="53"/>
        <v>115616449</v>
      </c>
      <c r="AI46" s="690">
        <f t="shared" si="54"/>
        <v>5249</v>
      </c>
      <c r="AJ46" s="691">
        <f>'3A_Level 3'!J46</f>
        <v>3731033</v>
      </c>
      <c r="AK46" s="690">
        <f t="shared" si="55"/>
        <v>169.3999091940976</v>
      </c>
      <c r="AL46" s="691">
        <f t="shared" si="35"/>
        <v>119347482</v>
      </c>
      <c r="AM46" s="690">
        <f t="shared" si="56"/>
        <v>5418.7279001135075</v>
      </c>
      <c r="AN46" s="693">
        <f>'3A_Level 3'!K46</f>
        <v>19154480</v>
      </c>
      <c r="AO46" s="694">
        <f t="shared" si="57"/>
        <v>869.66992054483546</v>
      </c>
      <c r="AP46" s="691">
        <f t="shared" si="36"/>
        <v>134770929</v>
      </c>
      <c r="AQ46" s="690">
        <f t="shared" si="58"/>
        <v>6118.9979114642456</v>
      </c>
      <c r="AR46" s="957">
        <f>'3A_Level 3'!L46</f>
        <v>3182299.4998155115</v>
      </c>
      <c r="AS46" s="1096">
        <f t="shared" si="59"/>
        <v>137953228.49981552</v>
      </c>
      <c r="AT46" s="961">
        <f t="shared" si="60"/>
        <v>6263.4837003321463</v>
      </c>
      <c r="AU46" s="692">
        <f t="shared" si="37"/>
        <v>0.64911041378295975</v>
      </c>
      <c r="AV46" s="695">
        <f t="shared" si="38"/>
        <v>31</v>
      </c>
      <c r="AW46" s="690">
        <f t="shared" si="61"/>
        <v>74573370.319999993</v>
      </c>
      <c r="AX46" s="690">
        <f t="shared" si="62"/>
        <v>3385.85</v>
      </c>
      <c r="AY46" s="695">
        <f t="shared" si="39"/>
        <v>44</v>
      </c>
      <c r="AZ46" s="692">
        <f t="shared" si="40"/>
        <v>0.35088958621704031</v>
      </c>
      <c r="BA46" s="696">
        <f t="shared" si="41"/>
        <v>212526598.81981552</v>
      </c>
      <c r="BB46" s="696">
        <f t="shared" si="63"/>
        <v>9649.3347931811804</v>
      </c>
      <c r="BC46" s="695">
        <f t="shared" si="42"/>
        <v>36</v>
      </c>
    </row>
    <row r="47" spans="1:55" s="313" customFormat="1" ht="15.6" customHeight="1" x14ac:dyDescent="0.2">
      <c r="A47" s="683">
        <v>41</v>
      </c>
      <c r="B47" s="298" t="s">
        <v>45</v>
      </c>
      <c r="C47" s="299">
        <f>'8_2.1.19 SIS'!AV47</f>
        <v>1383</v>
      </c>
      <c r="D47" s="299">
        <f>'[8]Econ. Disad.'!$AV47</f>
        <v>1189</v>
      </c>
      <c r="E47" s="299">
        <f t="shared" si="22"/>
        <v>261.58</v>
      </c>
      <c r="F47" s="299">
        <f>[8]CTE!$AV47</f>
        <v>1184.5</v>
      </c>
      <c r="G47" s="299">
        <f t="shared" si="23"/>
        <v>71.069999999999993</v>
      </c>
      <c r="H47" s="299">
        <f>[8]SWD!$AV47</f>
        <v>188</v>
      </c>
      <c r="I47" s="299">
        <f t="shared" si="24"/>
        <v>282</v>
      </c>
      <c r="J47" s="299">
        <f>[8]GT!$AV47</f>
        <v>22</v>
      </c>
      <c r="K47" s="299">
        <f t="shared" si="25"/>
        <v>13.2</v>
      </c>
      <c r="L47" s="300">
        <f t="shared" si="44"/>
        <v>6117</v>
      </c>
      <c r="M47" s="301">
        <f t="shared" si="45"/>
        <v>0.16311999999999999</v>
      </c>
      <c r="N47" s="299">
        <f t="shared" si="3"/>
        <v>225.59495999999999</v>
      </c>
      <c r="O47" s="299">
        <f t="shared" si="26"/>
        <v>853.44496000000004</v>
      </c>
      <c r="P47" s="299">
        <f t="shared" si="46"/>
        <v>2236.4449599999998</v>
      </c>
      <c r="Q47" s="302">
        <f t="shared" si="27"/>
        <v>4015</v>
      </c>
      <c r="R47" s="302">
        <f t="shared" si="47"/>
        <v>8979327</v>
      </c>
      <c r="S47" s="302">
        <f>'6_Local Deduct Calc'!J47</f>
        <v>5208114</v>
      </c>
      <c r="T47" s="302">
        <f t="shared" si="28"/>
        <v>5208114</v>
      </c>
      <c r="U47" s="303">
        <f t="shared" si="29"/>
        <v>3771213</v>
      </c>
      <c r="V47" s="304">
        <f t="shared" si="43"/>
        <v>0.42</v>
      </c>
      <c r="W47" s="304">
        <f t="shared" si="30"/>
        <v>0.57999999999999996</v>
      </c>
      <c r="X47" s="305">
        <f t="shared" si="48"/>
        <v>3765.8091106290672</v>
      </c>
      <c r="Y47" s="302">
        <f>'7_Local Revenue'!AQ47</f>
        <v>15301940</v>
      </c>
      <c r="Z47" s="302">
        <f t="shared" si="31"/>
        <v>10093826</v>
      </c>
      <c r="AA47" s="31">
        <f t="shared" si="32"/>
        <v>0</v>
      </c>
      <c r="AB47" s="306">
        <f t="shared" si="49"/>
        <v>3052971.18</v>
      </c>
      <c r="AC47" s="306">
        <f t="shared" si="50"/>
        <v>3052971.18</v>
      </c>
      <c r="AD47" s="302">
        <f t="shared" si="51"/>
        <v>3045644.049168</v>
      </c>
      <c r="AE47" s="307">
        <f t="shared" si="33"/>
        <v>7327</v>
      </c>
      <c r="AF47" s="306">
        <f t="shared" si="52"/>
        <v>5</v>
      </c>
      <c r="AG47" s="308">
        <f t="shared" si="34"/>
        <v>2.3999999999999998E-3</v>
      </c>
      <c r="AH47" s="307">
        <f t="shared" si="53"/>
        <v>3778540</v>
      </c>
      <c r="AI47" s="306">
        <f t="shared" si="54"/>
        <v>2732</v>
      </c>
      <c r="AJ47" s="307">
        <f>'3A_Level 3'!J47</f>
        <v>234280</v>
      </c>
      <c r="AK47" s="306">
        <f t="shared" si="55"/>
        <v>169.39985538684022</v>
      </c>
      <c r="AL47" s="307">
        <f t="shared" si="35"/>
        <v>4012820</v>
      </c>
      <c r="AM47" s="306">
        <f t="shared" si="56"/>
        <v>2901.5328994938541</v>
      </c>
      <c r="AN47" s="309">
        <f>'3A_Level 3'!K47</f>
        <v>1459922</v>
      </c>
      <c r="AO47" s="310">
        <f t="shared" si="57"/>
        <v>1055.6196673897325</v>
      </c>
      <c r="AP47" s="307">
        <f t="shared" si="36"/>
        <v>5238462</v>
      </c>
      <c r="AQ47" s="306">
        <f t="shared" si="58"/>
        <v>3787.7527114967461</v>
      </c>
      <c r="AR47" s="306">
        <f>'3A_Level 3'!L47</f>
        <v>232921.45869160007</v>
      </c>
      <c r="AS47" s="1095">
        <f t="shared" si="59"/>
        <v>5471383.4586915998</v>
      </c>
      <c r="AT47" s="306">
        <f t="shared" si="60"/>
        <v>3956.1702521269704</v>
      </c>
      <c r="AU47" s="308">
        <f t="shared" si="37"/>
        <v>0.39842679438391937</v>
      </c>
      <c r="AV47" s="311">
        <f t="shared" si="38"/>
        <v>63</v>
      </c>
      <c r="AW47" s="306">
        <f t="shared" si="61"/>
        <v>8261085.1799999997</v>
      </c>
      <c r="AX47" s="306">
        <f t="shared" si="62"/>
        <v>5973.31</v>
      </c>
      <c r="AY47" s="311">
        <f t="shared" si="39"/>
        <v>4</v>
      </c>
      <c r="AZ47" s="308">
        <f t="shared" si="40"/>
        <v>0.60157320561608052</v>
      </c>
      <c r="BA47" s="312">
        <f t="shared" si="41"/>
        <v>13732468.6386916</v>
      </c>
      <c r="BB47" s="312">
        <f t="shared" si="63"/>
        <v>9929.4784083091836</v>
      </c>
      <c r="BC47" s="311">
        <f t="shared" si="42"/>
        <v>22</v>
      </c>
    </row>
    <row r="48" spans="1:55" s="313" customFormat="1" ht="15.6" customHeight="1" x14ac:dyDescent="0.2">
      <c r="A48" s="683">
        <v>42</v>
      </c>
      <c r="B48" s="298" t="s">
        <v>46</v>
      </c>
      <c r="C48" s="298">
        <f>'8_2.1.19 SIS'!AV48</f>
        <v>2749</v>
      </c>
      <c r="D48" s="299">
        <f>'[8]Econ. Disad.'!$AV48</f>
        <v>2222</v>
      </c>
      <c r="E48" s="299">
        <f t="shared" si="22"/>
        <v>488.84</v>
      </c>
      <c r="F48" s="299">
        <f>[8]CTE!$AV48</f>
        <v>1620</v>
      </c>
      <c r="G48" s="299">
        <f t="shared" si="23"/>
        <v>97.2</v>
      </c>
      <c r="H48" s="299">
        <f>[8]SWD!$AV48</f>
        <v>336</v>
      </c>
      <c r="I48" s="299">
        <f t="shared" si="24"/>
        <v>504</v>
      </c>
      <c r="J48" s="299">
        <f>[8]GT!$AV48</f>
        <v>60</v>
      </c>
      <c r="K48" s="299">
        <f t="shared" si="25"/>
        <v>36</v>
      </c>
      <c r="L48" s="299">
        <f t="shared" si="44"/>
        <v>4751</v>
      </c>
      <c r="M48" s="301">
        <f t="shared" si="45"/>
        <v>0.12669</v>
      </c>
      <c r="N48" s="299">
        <f t="shared" si="3"/>
        <v>348.27080999999998</v>
      </c>
      <c r="O48" s="299">
        <f t="shared" si="26"/>
        <v>1474.3108099999999</v>
      </c>
      <c r="P48" s="299">
        <f t="shared" si="46"/>
        <v>4223.3108099999999</v>
      </c>
      <c r="Q48" s="302">
        <f t="shared" si="27"/>
        <v>4015</v>
      </c>
      <c r="R48" s="302">
        <f t="shared" si="47"/>
        <v>16956593</v>
      </c>
      <c r="S48" s="302">
        <f>'6_Local Deduct Calc'!J48</f>
        <v>5885544</v>
      </c>
      <c r="T48" s="302">
        <f t="shared" si="28"/>
        <v>5885544</v>
      </c>
      <c r="U48" s="303">
        <f t="shared" si="29"/>
        <v>11071049</v>
      </c>
      <c r="V48" s="304">
        <f t="shared" si="43"/>
        <v>0.65290000000000004</v>
      </c>
      <c r="W48" s="304">
        <f t="shared" si="30"/>
        <v>0.34710000000000002</v>
      </c>
      <c r="X48" s="305">
        <f t="shared" si="48"/>
        <v>2140.9763550381958</v>
      </c>
      <c r="Y48" s="302">
        <f>'7_Local Revenue'!AQ48</f>
        <v>12681666</v>
      </c>
      <c r="Z48" s="302">
        <f t="shared" si="31"/>
        <v>6796122</v>
      </c>
      <c r="AA48" s="31">
        <f t="shared" si="32"/>
        <v>0</v>
      </c>
      <c r="AB48" s="306">
        <f t="shared" si="49"/>
        <v>5765241.6200000001</v>
      </c>
      <c r="AC48" s="306">
        <f t="shared" si="50"/>
        <v>5765241.6200000001</v>
      </c>
      <c r="AD48" s="302">
        <f t="shared" si="51"/>
        <v>3441918.4300394398</v>
      </c>
      <c r="AE48" s="307">
        <f t="shared" si="33"/>
        <v>2323323</v>
      </c>
      <c r="AF48" s="306">
        <f t="shared" si="52"/>
        <v>845</v>
      </c>
      <c r="AG48" s="308">
        <f t="shared" si="34"/>
        <v>0.40300000000000002</v>
      </c>
      <c r="AH48" s="307">
        <f t="shared" si="53"/>
        <v>13394372</v>
      </c>
      <c r="AI48" s="306">
        <f t="shared" si="54"/>
        <v>4872</v>
      </c>
      <c r="AJ48" s="307">
        <f>'3A_Level 3'!J48</f>
        <v>465680</v>
      </c>
      <c r="AK48" s="306">
        <f t="shared" si="55"/>
        <v>169.39978173881411</v>
      </c>
      <c r="AL48" s="307">
        <f t="shared" si="35"/>
        <v>13860052</v>
      </c>
      <c r="AM48" s="306">
        <f t="shared" si="56"/>
        <v>5041.8523099308841</v>
      </c>
      <c r="AN48" s="309">
        <f>'3A_Level 3'!K48</f>
        <v>1934416</v>
      </c>
      <c r="AO48" s="310">
        <f t="shared" si="57"/>
        <v>703.67988359403421</v>
      </c>
      <c r="AP48" s="307">
        <f t="shared" si="36"/>
        <v>15328788</v>
      </c>
      <c r="AQ48" s="306">
        <f t="shared" si="58"/>
        <v>5576.1324117861041</v>
      </c>
      <c r="AR48" s="306">
        <f>'3A_Level 3'!L48</f>
        <v>397763.86933710042</v>
      </c>
      <c r="AS48" s="1095">
        <f t="shared" si="59"/>
        <v>15726551.869337101</v>
      </c>
      <c r="AT48" s="306">
        <f t="shared" si="60"/>
        <v>5720.8264348261555</v>
      </c>
      <c r="AU48" s="308">
        <f t="shared" si="37"/>
        <v>0.57443686317057907</v>
      </c>
      <c r="AV48" s="311">
        <f t="shared" si="38"/>
        <v>49</v>
      </c>
      <c r="AW48" s="306">
        <f t="shared" si="61"/>
        <v>11650785.619999999</v>
      </c>
      <c r="AX48" s="306">
        <f t="shared" si="62"/>
        <v>4238.1899999999996</v>
      </c>
      <c r="AY48" s="311">
        <f t="shared" si="39"/>
        <v>21</v>
      </c>
      <c r="AZ48" s="308">
        <f t="shared" si="40"/>
        <v>0.42556313682942087</v>
      </c>
      <c r="BA48" s="312">
        <f t="shared" si="41"/>
        <v>27377337.489337102</v>
      </c>
      <c r="BB48" s="312">
        <f t="shared" si="63"/>
        <v>9959.0169113630782</v>
      </c>
      <c r="BC48" s="311">
        <f t="shared" si="42"/>
        <v>21</v>
      </c>
    </row>
    <row r="49" spans="1:55" s="313" customFormat="1" ht="15.6" customHeight="1" x14ac:dyDescent="0.2">
      <c r="A49" s="683">
        <v>43</v>
      </c>
      <c r="B49" s="298" t="s">
        <v>47</v>
      </c>
      <c r="C49" s="298">
        <f>'8_2.1.19 SIS'!AV49</f>
        <v>4061</v>
      </c>
      <c r="D49" s="299">
        <f>'[8]Econ. Disad.'!$AV49</f>
        <v>3101</v>
      </c>
      <c r="E49" s="299">
        <f t="shared" si="22"/>
        <v>682.22</v>
      </c>
      <c r="F49" s="299">
        <f>[8]CTE!$AV49</f>
        <v>2722.5</v>
      </c>
      <c r="G49" s="299">
        <f t="shared" si="23"/>
        <v>163.35</v>
      </c>
      <c r="H49" s="299">
        <f>[8]SWD!$AV49</f>
        <v>558</v>
      </c>
      <c r="I49" s="299">
        <f t="shared" si="24"/>
        <v>837</v>
      </c>
      <c r="J49" s="299">
        <f>[8]GT!$AV49</f>
        <v>83</v>
      </c>
      <c r="K49" s="299">
        <f t="shared" si="25"/>
        <v>49.8</v>
      </c>
      <c r="L49" s="299">
        <f t="shared" si="44"/>
        <v>3439</v>
      </c>
      <c r="M49" s="301">
        <f t="shared" si="45"/>
        <v>9.171E-2</v>
      </c>
      <c r="N49" s="299">
        <f t="shared" si="3"/>
        <v>372.43430999999998</v>
      </c>
      <c r="O49" s="299">
        <f t="shared" si="26"/>
        <v>2104.80431</v>
      </c>
      <c r="P49" s="299">
        <f t="shared" si="46"/>
        <v>6165.8043099999995</v>
      </c>
      <c r="Q49" s="302">
        <f t="shared" si="27"/>
        <v>4015</v>
      </c>
      <c r="R49" s="302">
        <f t="shared" si="47"/>
        <v>24755704</v>
      </c>
      <c r="S49" s="302">
        <f>'6_Local Deduct Calc'!J49</f>
        <v>5559598</v>
      </c>
      <c r="T49" s="302">
        <f t="shared" si="28"/>
        <v>5559598</v>
      </c>
      <c r="U49" s="303">
        <f t="shared" si="29"/>
        <v>19196106</v>
      </c>
      <c r="V49" s="304">
        <f t="shared" si="43"/>
        <v>0.77539999999999998</v>
      </c>
      <c r="W49" s="304">
        <f t="shared" si="30"/>
        <v>0.22459999999999999</v>
      </c>
      <c r="X49" s="305">
        <f t="shared" si="48"/>
        <v>1369.0219157842896</v>
      </c>
      <c r="Y49" s="302">
        <f>'7_Local Revenue'!AQ49</f>
        <v>16145832</v>
      </c>
      <c r="Z49" s="302">
        <f t="shared" si="31"/>
        <v>10586234</v>
      </c>
      <c r="AA49" s="31">
        <f t="shared" si="32"/>
        <v>0</v>
      </c>
      <c r="AB49" s="306">
        <f t="shared" si="49"/>
        <v>8416939.3600000013</v>
      </c>
      <c r="AC49" s="306">
        <f t="shared" si="50"/>
        <v>8416939.3600000013</v>
      </c>
      <c r="AD49" s="302">
        <f t="shared" si="51"/>
        <v>3251564.6780403205</v>
      </c>
      <c r="AE49" s="307">
        <f t="shared" si="33"/>
        <v>5165375</v>
      </c>
      <c r="AF49" s="306">
        <f t="shared" si="52"/>
        <v>1272</v>
      </c>
      <c r="AG49" s="308">
        <f t="shared" si="34"/>
        <v>0.61370000000000002</v>
      </c>
      <c r="AH49" s="307">
        <f t="shared" si="53"/>
        <v>24361481</v>
      </c>
      <c r="AI49" s="306">
        <f t="shared" si="54"/>
        <v>5999</v>
      </c>
      <c r="AJ49" s="307">
        <f>'3A_Level 3'!J49</f>
        <v>687933</v>
      </c>
      <c r="AK49" s="306">
        <f t="shared" si="55"/>
        <v>169.39990150209309</v>
      </c>
      <c r="AL49" s="307">
        <f t="shared" si="35"/>
        <v>25049414</v>
      </c>
      <c r="AM49" s="306">
        <f t="shared" si="56"/>
        <v>6168.28712139867</v>
      </c>
      <c r="AN49" s="309">
        <f>'3A_Level 3'!K49</f>
        <v>3021424</v>
      </c>
      <c r="AO49" s="310">
        <f t="shared" si="57"/>
        <v>744.00984979069199</v>
      </c>
      <c r="AP49" s="307">
        <f t="shared" si="36"/>
        <v>27382905</v>
      </c>
      <c r="AQ49" s="306">
        <f t="shared" si="58"/>
        <v>6742.8970696872693</v>
      </c>
      <c r="AR49" s="306">
        <f>'3A_Level 3'!L49</f>
        <v>636216.0554040334</v>
      </c>
      <c r="AS49" s="1095">
        <f t="shared" si="59"/>
        <v>28019121.055404034</v>
      </c>
      <c r="AT49" s="306">
        <f t="shared" si="60"/>
        <v>6899.5619442019288</v>
      </c>
      <c r="AU49" s="308">
        <f t="shared" si="37"/>
        <v>0.66719089812214016</v>
      </c>
      <c r="AV49" s="311">
        <f t="shared" si="38"/>
        <v>27</v>
      </c>
      <c r="AW49" s="306">
        <f t="shared" si="61"/>
        <v>13976537.359999999</v>
      </c>
      <c r="AX49" s="306">
        <f t="shared" si="62"/>
        <v>3441.65</v>
      </c>
      <c r="AY49" s="311">
        <f t="shared" si="39"/>
        <v>41</v>
      </c>
      <c r="AZ49" s="308">
        <f t="shared" si="40"/>
        <v>0.33280910187785973</v>
      </c>
      <c r="BA49" s="312">
        <f t="shared" si="41"/>
        <v>41995658.415404037</v>
      </c>
      <c r="BB49" s="312">
        <f t="shared" si="63"/>
        <v>10341.211134056646</v>
      </c>
      <c r="BC49" s="311">
        <f t="shared" si="42"/>
        <v>14</v>
      </c>
    </row>
    <row r="50" spans="1:55" s="313" customFormat="1" ht="15.6" customHeight="1" x14ac:dyDescent="0.2">
      <c r="A50" s="683">
        <v>44</v>
      </c>
      <c r="B50" s="298" t="s">
        <v>48</v>
      </c>
      <c r="C50" s="298">
        <f>'8_2.1.19 SIS'!AV50</f>
        <v>7428</v>
      </c>
      <c r="D50" s="299">
        <f>'[8]Econ. Disad.'!$AV50</f>
        <v>5828</v>
      </c>
      <c r="E50" s="299">
        <f t="shared" si="22"/>
        <v>1282.1600000000001</v>
      </c>
      <c r="F50" s="299">
        <f>[8]CTE!$AV50</f>
        <v>3023</v>
      </c>
      <c r="G50" s="299">
        <f t="shared" si="23"/>
        <v>181.38</v>
      </c>
      <c r="H50" s="299">
        <f>[8]SWD!$AV50</f>
        <v>816</v>
      </c>
      <c r="I50" s="299">
        <f t="shared" si="24"/>
        <v>1224</v>
      </c>
      <c r="J50" s="299">
        <f>[8]GT!$AV50</f>
        <v>132</v>
      </c>
      <c r="K50" s="299">
        <f t="shared" si="25"/>
        <v>79.2</v>
      </c>
      <c r="L50" s="299">
        <f t="shared" si="44"/>
        <v>72</v>
      </c>
      <c r="M50" s="301">
        <f t="shared" si="45"/>
        <v>1.92E-3</v>
      </c>
      <c r="N50" s="299">
        <f t="shared" si="3"/>
        <v>14.261760000000001</v>
      </c>
      <c r="O50" s="299">
        <f t="shared" si="26"/>
        <v>2781.0017599999996</v>
      </c>
      <c r="P50" s="299">
        <f t="shared" si="46"/>
        <v>10209.001759999999</v>
      </c>
      <c r="Q50" s="302">
        <f t="shared" si="27"/>
        <v>4015</v>
      </c>
      <c r="R50" s="302">
        <f t="shared" si="47"/>
        <v>40989142</v>
      </c>
      <c r="S50" s="302">
        <f>'6_Local Deduct Calc'!J50</f>
        <v>10917301</v>
      </c>
      <c r="T50" s="302">
        <f t="shared" si="28"/>
        <v>10917301</v>
      </c>
      <c r="U50" s="303">
        <f t="shared" si="29"/>
        <v>30071841</v>
      </c>
      <c r="V50" s="304">
        <f t="shared" si="43"/>
        <v>0.73370000000000002</v>
      </c>
      <c r="W50" s="304">
        <f t="shared" si="30"/>
        <v>0.26629999999999998</v>
      </c>
      <c r="X50" s="305">
        <f t="shared" si="48"/>
        <v>1469.7497307485191</v>
      </c>
      <c r="Y50" s="302">
        <f>'7_Local Revenue'!AQ50</f>
        <v>29354603</v>
      </c>
      <c r="Z50" s="302">
        <f t="shared" si="31"/>
        <v>18437302</v>
      </c>
      <c r="AA50" s="31">
        <f t="shared" si="32"/>
        <v>0</v>
      </c>
      <c r="AB50" s="306">
        <f t="shared" si="49"/>
        <v>13936308.280000001</v>
      </c>
      <c r="AC50" s="306">
        <f t="shared" si="50"/>
        <v>13936308.280000001</v>
      </c>
      <c r="AD50" s="302">
        <f t="shared" si="51"/>
        <v>6383330.8993380796</v>
      </c>
      <c r="AE50" s="307">
        <f t="shared" si="33"/>
        <v>7552977</v>
      </c>
      <c r="AF50" s="306">
        <f t="shared" si="52"/>
        <v>1017</v>
      </c>
      <c r="AG50" s="308">
        <f t="shared" si="34"/>
        <v>0.54200000000000004</v>
      </c>
      <c r="AH50" s="307">
        <f t="shared" si="53"/>
        <v>37624818</v>
      </c>
      <c r="AI50" s="306">
        <f t="shared" si="54"/>
        <v>5065</v>
      </c>
      <c r="AJ50" s="307">
        <f>'3A_Level 3'!J50</f>
        <v>1258302</v>
      </c>
      <c r="AK50" s="306">
        <f t="shared" si="55"/>
        <v>169.39983844911146</v>
      </c>
      <c r="AL50" s="307">
        <f t="shared" si="35"/>
        <v>38883120</v>
      </c>
      <c r="AM50" s="306">
        <f t="shared" si="56"/>
        <v>5234.6688206785138</v>
      </c>
      <c r="AN50" s="309">
        <f>'3A_Level 3'!K50</f>
        <v>6184254</v>
      </c>
      <c r="AO50" s="310">
        <f t="shared" si="57"/>
        <v>832.55977382875608</v>
      </c>
      <c r="AP50" s="307">
        <f t="shared" si="36"/>
        <v>43809072</v>
      </c>
      <c r="AQ50" s="306">
        <f t="shared" si="58"/>
        <v>5897.8287560581584</v>
      </c>
      <c r="AR50" s="306">
        <f>'3A_Level 3'!L50</f>
        <v>944394.02087283996</v>
      </c>
      <c r="AS50" s="1095">
        <f t="shared" si="59"/>
        <v>44753466.020872839</v>
      </c>
      <c r="AT50" s="306">
        <f t="shared" si="60"/>
        <v>6024.968500386758</v>
      </c>
      <c r="AU50" s="308">
        <f t="shared" si="37"/>
        <v>0.6429442097290885</v>
      </c>
      <c r="AV50" s="311">
        <f t="shared" si="38"/>
        <v>34</v>
      </c>
      <c r="AW50" s="306">
        <f t="shared" si="61"/>
        <v>24853609.280000001</v>
      </c>
      <c r="AX50" s="306">
        <f t="shared" si="62"/>
        <v>3345.94</v>
      </c>
      <c r="AY50" s="311">
        <f t="shared" si="39"/>
        <v>45</v>
      </c>
      <c r="AZ50" s="308">
        <f t="shared" si="40"/>
        <v>0.35705579027091161</v>
      </c>
      <c r="BA50" s="312">
        <f t="shared" si="41"/>
        <v>69607075.300872833</v>
      </c>
      <c r="BB50" s="312">
        <f t="shared" si="63"/>
        <v>9370.9040523522926</v>
      </c>
      <c r="BC50" s="311">
        <f t="shared" si="42"/>
        <v>49</v>
      </c>
    </row>
    <row r="51" spans="1:55" s="315" customFormat="1" ht="15.6" customHeight="1" x14ac:dyDescent="0.2">
      <c r="A51" s="684">
        <v>45</v>
      </c>
      <c r="B51" s="685" t="s">
        <v>49</v>
      </c>
      <c r="C51" s="685">
        <f>'8_2.1.19 SIS'!AV51</f>
        <v>9361</v>
      </c>
      <c r="D51" s="686">
        <f>'[8]Econ. Disad.'!$AV51</f>
        <v>5478</v>
      </c>
      <c r="E51" s="686">
        <f t="shared" si="22"/>
        <v>1205.1600000000001</v>
      </c>
      <c r="F51" s="686">
        <f>[8]CTE!$AV51</f>
        <v>5560</v>
      </c>
      <c r="G51" s="686">
        <f t="shared" si="23"/>
        <v>333.59999999999997</v>
      </c>
      <c r="H51" s="686">
        <f>[8]SWD!$AV51</f>
        <v>1044</v>
      </c>
      <c r="I51" s="686">
        <f t="shared" si="24"/>
        <v>1566</v>
      </c>
      <c r="J51" s="686">
        <f>[8]GT!$AV51</f>
        <v>693</v>
      </c>
      <c r="K51" s="686">
        <f t="shared" si="25"/>
        <v>415.8</v>
      </c>
      <c r="L51" s="686">
        <f t="shared" si="44"/>
        <v>0</v>
      </c>
      <c r="M51" s="687">
        <f t="shared" si="45"/>
        <v>0</v>
      </c>
      <c r="N51" s="686">
        <f t="shared" si="3"/>
        <v>0</v>
      </c>
      <c r="O51" s="686">
        <f t="shared" si="26"/>
        <v>3520.5600000000004</v>
      </c>
      <c r="P51" s="314">
        <f t="shared" si="46"/>
        <v>12881.560000000001</v>
      </c>
      <c r="Q51" s="606">
        <f t="shared" si="27"/>
        <v>4015</v>
      </c>
      <c r="R51" s="606">
        <f t="shared" si="47"/>
        <v>51719463</v>
      </c>
      <c r="S51" s="606">
        <f>'6_Local Deduct Calc'!J51</f>
        <v>32838550</v>
      </c>
      <c r="T51" s="606">
        <f t="shared" si="28"/>
        <v>32838550</v>
      </c>
      <c r="U51" s="607">
        <f t="shared" si="29"/>
        <v>18880913</v>
      </c>
      <c r="V51" s="688">
        <f t="shared" si="43"/>
        <v>0.36509999999999998</v>
      </c>
      <c r="W51" s="608">
        <f t="shared" si="30"/>
        <v>0.63490000000000002</v>
      </c>
      <c r="X51" s="609">
        <f t="shared" si="48"/>
        <v>3508.0173058433929</v>
      </c>
      <c r="Y51" s="606">
        <f>'7_Local Revenue'!AQ51</f>
        <v>123972600</v>
      </c>
      <c r="Z51" s="606">
        <f t="shared" si="31"/>
        <v>91134050</v>
      </c>
      <c r="AA51" s="689">
        <f t="shared" si="32"/>
        <v>0</v>
      </c>
      <c r="AB51" s="690">
        <f t="shared" si="49"/>
        <v>17584617.420000002</v>
      </c>
      <c r="AC51" s="690">
        <f t="shared" si="50"/>
        <v>17584617.420000002</v>
      </c>
      <c r="AD51" s="606">
        <f t="shared" si="51"/>
        <v>19202894.591927763</v>
      </c>
      <c r="AE51" s="691">
        <f t="shared" si="33"/>
        <v>0</v>
      </c>
      <c r="AF51" s="690">
        <f t="shared" si="52"/>
        <v>0</v>
      </c>
      <c r="AG51" s="692">
        <f t="shared" si="34"/>
        <v>0</v>
      </c>
      <c r="AH51" s="691">
        <f t="shared" si="53"/>
        <v>18880913</v>
      </c>
      <c r="AI51" s="690">
        <f t="shared" si="54"/>
        <v>2017</v>
      </c>
      <c r="AJ51" s="691">
        <f>'3A_Level 3'!J51</f>
        <v>3819782</v>
      </c>
      <c r="AK51" s="690">
        <f t="shared" si="55"/>
        <v>408.05277213972869</v>
      </c>
      <c r="AL51" s="691">
        <f t="shared" si="35"/>
        <v>22700695</v>
      </c>
      <c r="AM51" s="690">
        <f t="shared" si="56"/>
        <v>2425.0288430723213</v>
      </c>
      <c r="AN51" s="693">
        <f>'3A_Level 3'!K51</f>
        <v>10877602</v>
      </c>
      <c r="AO51" s="694">
        <f t="shared" si="57"/>
        <v>1162.0128191432539</v>
      </c>
      <c r="AP51" s="691">
        <f t="shared" si="36"/>
        <v>29758515</v>
      </c>
      <c r="AQ51" s="690">
        <f t="shared" si="58"/>
        <v>3178.9888900758465</v>
      </c>
      <c r="AR51" s="957">
        <f>'3A_Level 3'!L51</f>
        <v>1667881.4313918876</v>
      </c>
      <c r="AS51" s="1096">
        <f t="shared" si="59"/>
        <v>31426396.431391887</v>
      </c>
      <c r="AT51" s="961">
        <f t="shared" si="60"/>
        <v>3357.1623150723094</v>
      </c>
      <c r="AU51" s="692">
        <f t="shared" si="37"/>
        <v>0.38395313246201823</v>
      </c>
      <c r="AV51" s="695">
        <f t="shared" si="38"/>
        <v>64</v>
      </c>
      <c r="AW51" s="690">
        <f t="shared" si="61"/>
        <v>50423167.420000002</v>
      </c>
      <c r="AX51" s="690">
        <f t="shared" si="62"/>
        <v>5386.52</v>
      </c>
      <c r="AY51" s="695">
        <f t="shared" si="39"/>
        <v>10</v>
      </c>
      <c r="AZ51" s="692">
        <f t="shared" si="40"/>
        <v>0.61604686753798188</v>
      </c>
      <c r="BA51" s="696">
        <f t="shared" si="41"/>
        <v>81849563.851391882</v>
      </c>
      <c r="BB51" s="696">
        <f t="shared" si="63"/>
        <v>8743.6773690195369</v>
      </c>
      <c r="BC51" s="695">
        <f t="shared" si="42"/>
        <v>64</v>
      </c>
    </row>
    <row r="52" spans="1:55" s="313" customFormat="1" ht="15.6" customHeight="1" x14ac:dyDescent="0.2">
      <c r="A52" s="683">
        <v>46</v>
      </c>
      <c r="B52" s="298" t="s">
        <v>50</v>
      </c>
      <c r="C52" s="299">
        <f>'8_2.1.19 SIS'!AV52</f>
        <v>1195</v>
      </c>
      <c r="D52" s="299">
        <f>'[8]Econ. Disad.'!$AV52</f>
        <v>1167</v>
      </c>
      <c r="E52" s="299">
        <f t="shared" si="22"/>
        <v>256.74</v>
      </c>
      <c r="F52" s="299">
        <f>[8]CTE!$AV52</f>
        <v>1206.5</v>
      </c>
      <c r="G52" s="299">
        <f t="shared" si="23"/>
        <v>72.39</v>
      </c>
      <c r="H52" s="299">
        <f>[8]SWD!$AV52</f>
        <v>193</v>
      </c>
      <c r="I52" s="299">
        <f t="shared" si="24"/>
        <v>289.5</v>
      </c>
      <c r="J52" s="299">
        <f>[8]GT!$AV52</f>
        <v>63</v>
      </c>
      <c r="K52" s="299">
        <f t="shared" si="25"/>
        <v>37.799999999999997</v>
      </c>
      <c r="L52" s="300">
        <f t="shared" si="44"/>
        <v>6305</v>
      </c>
      <c r="M52" s="301">
        <f t="shared" si="45"/>
        <v>0.16813</v>
      </c>
      <c r="N52" s="299">
        <f t="shared" si="3"/>
        <v>200.91534999999999</v>
      </c>
      <c r="O52" s="299">
        <f t="shared" si="26"/>
        <v>857.34534999999994</v>
      </c>
      <c r="P52" s="299">
        <f t="shared" si="46"/>
        <v>2052.3453500000001</v>
      </c>
      <c r="Q52" s="302">
        <f t="shared" si="27"/>
        <v>4015</v>
      </c>
      <c r="R52" s="302">
        <f t="shared" si="47"/>
        <v>8240167</v>
      </c>
      <c r="S52" s="302">
        <f>'6_Local Deduct Calc'!J52</f>
        <v>1289395</v>
      </c>
      <c r="T52" s="302">
        <f t="shared" si="28"/>
        <v>1289395</v>
      </c>
      <c r="U52" s="303">
        <f t="shared" si="29"/>
        <v>6950772</v>
      </c>
      <c r="V52" s="304">
        <f t="shared" si="43"/>
        <v>0.84350000000000003</v>
      </c>
      <c r="W52" s="304">
        <f t="shared" si="30"/>
        <v>0.1565</v>
      </c>
      <c r="X52" s="305">
        <f t="shared" si="48"/>
        <v>1078.9916317991631</v>
      </c>
      <c r="Y52" s="302">
        <f>'7_Local Revenue'!AQ52</f>
        <v>3557186</v>
      </c>
      <c r="Z52" s="302">
        <f t="shared" si="31"/>
        <v>2267791</v>
      </c>
      <c r="AA52" s="31">
        <f t="shared" si="32"/>
        <v>0</v>
      </c>
      <c r="AB52" s="306">
        <f t="shared" si="49"/>
        <v>2801656.7800000003</v>
      </c>
      <c r="AC52" s="306">
        <f t="shared" si="50"/>
        <v>2267791</v>
      </c>
      <c r="AD52" s="302">
        <f t="shared" si="51"/>
        <v>610443.9813799999</v>
      </c>
      <c r="AE52" s="307">
        <f t="shared" si="33"/>
        <v>1657347</v>
      </c>
      <c r="AF52" s="306">
        <f t="shared" si="52"/>
        <v>1387</v>
      </c>
      <c r="AG52" s="308">
        <f t="shared" si="34"/>
        <v>0.73080000000000001</v>
      </c>
      <c r="AH52" s="307">
        <f t="shared" si="53"/>
        <v>8608119</v>
      </c>
      <c r="AI52" s="306">
        <f t="shared" si="54"/>
        <v>7203</v>
      </c>
      <c r="AJ52" s="307">
        <f>'3A_Level 3'!J52</f>
        <v>202433</v>
      </c>
      <c r="AK52" s="306">
        <f t="shared" si="55"/>
        <v>169.4</v>
      </c>
      <c r="AL52" s="307">
        <f t="shared" si="35"/>
        <v>8810552</v>
      </c>
      <c r="AM52" s="306">
        <f t="shared" si="56"/>
        <v>7372.846861924686</v>
      </c>
      <c r="AN52" s="309">
        <f>'3A_Level 3'!K52</f>
        <v>1072465</v>
      </c>
      <c r="AO52" s="310">
        <f t="shared" si="57"/>
        <v>897.46025104602506</v>
      </c>
      <c r="AP52" s="307">
        <f t="shared" si="36"/>
        <v>9680584</v>
      </c>
      <c r="AQ52" s="306">
        <f t="shared" si="58"/>
        <v>8100.9071129707118</v>
      </c>
      <c r="AR52" s="306">
        <f>'3A_Level 3'!L52</f>
        <v>156562.9637163115</v>
      </c>
      <c r="AS52" s="1095">
        <f t="shared" si="59"/>
        <v>9837146.9637163114</v>
      </c>
      <c r="AT52" s="306">
        <f t="shared" si="60"/>
        <v>8231.922145369299</v>
      </c>
      <c r="AU52" s="308">
        <f t="shared" si="37"/>
        <v>0.73442604348898877</v>
      </c>
      <c r="AV52" s="311">
        <f t="shared" si="38"/>
        <v>5</v>
      </c>
      <c r="AW52" s="306">
        <f t="shared" si="61"/>
        <v>3557186</v>
      </c>
      <c r="AX52" s="306">
        <f t="shared" si="62"/>
        <v>2976.72</v>
      </c>
      <c r="AY52" s="311">
        <f t="shared" si="39"/>
        <v>54</v>
      </c>
      <c r="AZ52" s="308">
        <f t="shared" si="40"/>
        <v>0.26557395651101123</v>
      </c>
      <c r="BA52" s="312">
        <f t="shared" si="41"/>
        <v>13394332.963716311</v>
      </c>
      <c r="BB52" s="312">
        <f t="shared" si="63"/>
        <v>11208.646831561768</v>
      </c>
      <c r="BC52" s="311">
        <f t="shared" si="42"/>
        <v>4</v>
      </c>
    </row>
    <row r="53" spans="1:55" s="313" customFormat="1" ht="15.6" customHeight="1" x14ac:dyDescent="0.2">
      <c r="A53" s="683">
        <v>47</v>
      </c>
      <c r="B53" s="298" t="s">
        <v>51</v>
      </c>
      <c r="C53" s="298">
        <f>'8_2.1.19 SIS'!AV53</f>
        <v>3559</v>
      </c>
      <c r="D53" s="299">
        <f>'[8]Econ. Disad.'!$AV53</f>
        <v>2206</v>
      </c>
      <c r="E53" s="299">
        <f t="shared" si="22"/>
        <v>485.32</v>
      </c>
      <c r="F53" s="299">
        <f>[8]CTE!$AV53</f>
        <v>2061.5</v>
      </c>
      <c r="G53" s="299">
        <f t="shared" si="23"/>
        <v>123.69</v>
      </c>
      <c r="H53" s="299">
        <f>[8]SWD!$AV53</f>
        <v>567</v>
      </c>
      <c r="I53" s="299">
        <f t="shared" si="24"/>
        <v>850.5</v>
      </c>
      <c r="J53" s="299">
        <f>[8]GT!$AV53</f>
        <v>110</v>
      </c>
      <c r="K53" s="299">
        <f t="shared" si="25"/>
        <v>66</v>
      </c>
      <c r="L53" s="299">
        <f t="shared" si="44"/>
        <v>3941</v>
      </c>
      <c r="M53" s="301">
        <f t="shared" si="45"/>
        <v>0.10509</v>
      </c>
      <c r="N53" s="299">
        <f t="shared" si="3"/>
        <v>374.01531</v>
      </c>
      <c r="O53" s="299">
        <f t="shared" si="26"/>
        <v>1899.52531</v>
      </c>
      <c r="P53" s="299">
        <f t="shared" si="46"/>
        <v>5458.52531</v>
      </c>
      <c r="Q53" s="302">
        <f t="shared" si="27"/>
        <v>4015</v>
      </c>
      <c r="R53" s="302">
        <f t="shared" si="47"/>
        <v>21915979</v>
      </c>
      <c r="S53" s="302">
        <f>'6_Local Deduct Calc'!J53</f>
        <v>14454042</v>
      </c>
      <c r="T53" s="302">
        <f t="shared" si="28"/>
        <v>14454042</v>
      </c>
      <c r="U53" s="303">
        <f t="shared" si="29"/>
        <v>7461937</v>
      </c>
      <c r="V53" s="304">
        <f t="shared" si="43"/>
        <v>0.34050000000000002</v>
      </c>
      <c r="W53" s="304">
        <f t="shared" si="30"/>
        <v>0.65949999999999998</v>
      </c>
      <c r="X53" s="305">
        <f t="shared" si="48"/>
        <v>4061.2649620679967</v>
      </c>
      <c r="Y53" s="302">
        <f>'7_Local Revenue'!AQ53</f>
        <v>45416409</v>
      </c>
      <c r="Z53" s="302">
        <f t="shared" si="31"/>
        <v>30962367</v>
      </c>
      <c r="AA53" s="31">
        <f t="shared" si="32"/>
        <v>0</v>
      </c>
      <c r="AB53" s="306">
        <f t="shared" si="49"/>
        <v>7451432.8600000003</v>
      </c>
      <c r="AC53" s="306">
        <f t="shared" si="50"/>
        <v>7451432.8600000003</v>
      </c>
      <c r="AD53" s="302">
        <f t="shared" si="51"/>
        <v>8452458.3504124004</v>
      </c>
      <c r="AE53" s="307">
        <f t="shared" si="33"/>
        <v>0</v>
      </c>
      <c r="AF53" s="306">
        <f t="shared" si="52"/>
        <v>0</v>
      </c>
      <c r="AG53" s="308">
        <f t="shared" si="34"/>
        <v>0</v>
      </c>
      <c r="AH53" s="307">
        <f t="shared" si="53"/>
        <v>7461937</v>
      </c>
      <c r="AI53" s="306">
        <f t="shared" si="54"/>
        <v>2097</v>
      </c>
      <c r="AJ53" s="307">
        <f>'3A_Level 3'!J53</f>
        <v>1416514</v>
      </c>
      <c r="AK53" s="306">
        <f t="shared" si="55"/>
        <v>398.00899128968814</v>
      </c>
      <c r="AL53" s="307">
        <f t="shared" si="35"/>
        <v>8878451</v>
      </c>
      <c r="AM53" s="306">
        <f t="shared" si="56"/>
        <v>2494.6476538353472</v>
      </c>
      <c r="AN53" s="309">
        <f>'3A_Level 3'!K53</f>
        <v>4657909</v>
      </c>
      <c r="AO53" s="310">
        <f t="shared" si="57"/>
        <v>1308.7690362461365</v>
      </c>
      <c r="AP53" s="307">
        <f t="shared" si="36"/>
        <v>12119846</v>
      </c>
      <c r="AQ53" s="306">
        <f t="shared" si="58"/>
        <v>3405.4076987917956</v>
      </c>
      <c r="AR53" s="306">
        <f>'3A_Level 3'!L53</f>
        <v>587264.47742153669</v>
      </c>
      <c r="AS53" s="1095">
        <f t="shared" si="59"/>
        <v>12707110.477421537</v>
      </c>
      <c r="AT53" s="306">
        <f t="shared" si="60"/>
        <v>3570.4159812929297</v>
      </c>
      <c r="AU53" s="308">
        <f t="shared" si="37"/>
        <v>0.3671239912750231</v>
      </c>
      <c r="AV53" s="311">
        <f t="shared" si="38"/>
        <v>66</v>
      </c>
      <c r="AW53" s="306">
        <f t="shared" si="61"/>
        <v>21905474.859999999</v>
      </c>
      <c r="AX53" s="306">
        <f t="shared" si="62"/>
        <v>6154.95</v>
      </c>
      <c r="AY53" s="311">
        <f t="shared" si="39"/>
        <v>3</v>
      </c>
      <c r="AZ53" s="308">
        <f t="shared" si="40"/>
        <v>0.63287600872497685</v>
      </c>
      <c r="BA53" s="312">
        <f t="shared" si="41"/>
        <v>34612585.337421536</v>
      </c>
      <c r="BB53" s="312">
        <f t="shared" si="63"/>
        <v>9725.368175729569</v>
      </c>
      <c r="BC53" s="311">
        <f t="shared" si="42"/>
        <v>34</v>
      </c>
    </row>
    <row r="54" spans="1:55" s="313" customFormat="1" ht="15.6" customHeight="1" x14ac:dyDescent="0.2">
      <c r="A54" s="683">
        <v>48</v>
      </c>
      <c r="B54" s="298" t="s">
        <v>73</v>
      </c>
      <c r="C54" s="298">
        <f>'8_2.1.19 SIS'!AV54</f>
        <v>5835</v>
      </c>
      <c r="D54" s="299">
        <f>'[8]Econ. Disad.'!$AV54</f>
        <v>4690</v>
      </c>
      <c r="E54" s="299">
        <f t="shared" si="22"/>
        <v>1031.8</v>
      </c>
      <c r="F54" s="299">
        <f>[8]CTE!$AV54</f>
        <v>4340</v>
      </c>
      <c r="G54" s="299">
        <f t="shared" si="23"/>
        <v>260.39999999999998</v>
      </c>
      <c r="H54" s="299">
        <f>[8]SWD!$AV54</f>
        <v>810</v>
      </c>
      <c r="I54" s="299">
        <f t="shared" si="24"/>
        <v>1215</v>
      </c>
      <c r="J54" s="299">
        <f>[8]GT!$AV54</f>
        <v>150</v>
      </c>
      <c r="K54" s="299">
        <f t="shared" si="25"/>
        <v>90</v>
      </c>
      <c r="L54" s="299">
        <f t="shared" si="44"/>
        <v>1665</v>
      </c>
      <c r="M54" s="301">
        <f t="shared" si="45"/>
        <v>4.4400000000000002E-2</v>
      </c>
      <c r="N54" s="299">
        <f t="shared" si="3"/>
        <v>259.07400000000001</v>
      </c>
      <c r="O54" s="299">
        <f t="shared" si="26"/>
        <v>2856.2739999999999</v>
      </c>
      <c r="P54" s="299">
        <f t="shared" si="46"/>
        <v>8691.2739999999994</v>
      </c>
      <c r="Q54" s="302">
        <f t="shared" si="27"/>
        <v>4015</v>
      </c>
      <c r="R54" s="302">
        <f t="shared" si="47"/>
        <v>34895465</v>
      </c>
      <c r="S54" s="302">
        <f>'6_Local Deduct Calc'!J54</f>
        <v>13901172</v>
      </c>
      <c r="T54" s="302">
        <f t="shared" si="28"/>
        <v>13901172</v>
      </c>
      <c r="U54" s="303">
        <f t="shared" si="29"/>
        <v>20994293</v>
      </c>
      <c r="V54" s="304">
        <f t="shared" si="43"/>
        <v>0.60160000000000002</v>
      </c>
      <c r="W54" s="304">
        <f t="shared" si="30"/>
        <v>0.39839999999999998</v>
      </c>
      <c r="X54" s="305">
        <f t="shared" si="48"/>
        <v>2382.3773778920308</v>
      </c>
      <c r="Y54" s="302">
        <f>'7_Local Revenue'!AQ54</f>
        <v>40216947</v>
      </c>
      <c r="Z54" s="302">
        <f t="shared" si="31"/>
        <v>26315775</v>
      </c>
      <c r="AA54" s="31">
        <f t="shared" si="32"/>
        <v>0</v>
      </c>
      <c r="AB54" s="306">
        <f t="shared" si="49"/>
        <v>11864458.100000001</v>
      </c>
      <c r="AC54" s="306">
        <f t="shared" si="50"/>
        <v>11864458.100000001</v>
      </c>
      <c r="AD54" s="302">
        <f t="shared" si="51"/>
        <v>8130096.1841088003</v>
      </c>
      <c r="AE54" s="307">
        <f t="shared" si="33"/>
        <v>3734362</v>
      </c>
      <c r="AF54" s="306">
        <f t="shared" si="52"/>
        <v>640</v>
      </c>
      <c r="AG54" s="308">
        <f t="shared" si="34"/>
        <v>0.31480000000000002</v>
      </c>
      <c r="AH54" s="307">
        <f t="shared" si="53"/>
        <v>24728655</v>
      </c>
      <c r="AI54" s="306">
        <f t="shared" si="54"/>
        <v>4238</v>
      </c>
      <c r="AJ54" s="307">
        <f>'3A_Level 3'!J54</f>
        <v>988448</v>
      </c>
      <c r="AK54" s="306">
        <f t="shared" si="55"/>
        <v>169.39982862039417</v>
      </c>
      <c r="AL54" s="307">
        <f t="shared" si="35"/>
        <v>25717103</v>
      </c>
      <c r="AM54" s="306">
        <f t="shared" si="56"/>
        <v>4407.3869751499569</v>
      </c>
      <c r="AN54" s="309">
        <f>'3A_Level 3'!K54</f>
        <v>6071141</v>
      </c>
      <c r="AO54" s="310">
        <f t="shared" si="57"/>
        <v>1040.4697514995717</v>
      </c>
      <c r="AP54" s="307">
        <f t="shared" si="36"/>
        <v>30799796</v>
      </c>
      <c r="AQ54" s="306">
        <f t="shared" si="58"/>
        <v>5278.4568980291342</v>
      </c>
      <c r="AR54" s="306">
        <f>'3A_Level 3'!L54</f>
        <v>956989.04113164637</v>
      </c>
      <c r="AS54" s="1095">
        <f t="shared" si="59"/>
        <v>31756785.041131645</v>
      </c>
      <c r="AT54" s="306">
        <f t="shared" si="60"/>
        <v>5442.4653026789456</v>
      </c>
      <c r="AU54" s="308">
        <f t="shared" si="37"/>
        <v>0.55207669850468122</v>
      </c>
      <c r="AV54" s="311">
        <f t="shared" si="38"/>
        <v>52</v>
      </c>
      <c r="AW54" s="306">
        <f t="shared" si="61"/>
        <v>25765630.100000001</v>
      </c>
      <c r="AX54" s="306">
        <f t="shared" si="62"/>
        <v>4415.7</v>
      </c>
      <c r="AY54" s="311">
        <f t="shared" si="39"/>
        <v>17</v>
      </c>
      <c r="AZ54" s="308">
        <f t="shared" si="40"/>
        <v>0.44792330149531878</v>
      </c>
      <c r="BA54" s="312">
        <f t="shared" si="41"/>
        <v>57522415.141131647</v>
      </c>
      <c r="BB54" s="312">
        <f t="shared" si="63"/>
        <v>9858.1688330988254</v>
      </c>
      <c r="BC54" s="311">
        <f t="shared" si="42"/>
        <v>26</v>
      </c>
    </row>
    <row r="55" spans="1:55" s="313" customFormat="1" ht="15.6" customHeight="1" x14ac:dyDescent="0.2">
      <c r="A55" s="683">
        <v>49</v>
      </c>
      <c r="B55" s="298" t="s">
        <v>52</v>
      </c>
      <c r="C55" s="298">
        <f>'8_2.1.19 SIS'!AV55</f>
        <v>13314</v>
      </c>
      <c r="D55" s="299">
        <f>'[8]Econ. Disad.'!$AV55</f>
        <v>10227</v>
      </c>
      <c r="E55" s="299">
        <f t="shared" si="22"/>
        <v>2249.94</v>
      </c>
      <c r="F55" s="299">
        <f>[8]CTE!$AV55</f>
        <v>7845</v>
      </c>
      <c r="G55" s="299">
        <f t="shared" si="23"/>
        <v>470.7</v>
      </c>
      <c r="H55" s="299">
        <f>[8]SWD!$AV55</f>
        <v>2071</v>
      </c>
      <c r="I55" s="299">
        <f t="shared" si="24"/>
        <v>3106.5</v>
      </c>
      <c r="J55" s="299">
        <f>[8]GT!$AV55</f>
        <v>280</v>
      </c>
      <c r="K55" s="299">
        <f t="shared" si="25"/>
        <v>168</v>
      </c>
      <c r="L55" s="299">
        <f t="shared" si="44"/>
        <v>0</v>
      </c>
      <c r="M55" s="301">
        <f t="shared" si="45"/>
        <v>0</v>
      </c>
      <c r="N55" s="299">
        <f t="shared" si="3"/>
        <v>0</v>
      </c>
      <c r="O55" s="299">
        <f t="shared" si="26"/>
        <v>5995.1399999999994</v>
      </c>
      <c r="P55" s="299">
        <f t="shared" si="46"/>
        <v>19309.14</v>
      </c>
      <c r="Q55" s="302">
        <f t="shared" si="27"/>
        <v>4015</v>
      </c>
      <c r="R55" s="302">
        <f t="shared" si="47"/>
        <v>77526197</v>
      </c>
      <c r="S55" s="302">
        <f>'6_Local Deduct Calc'!J55</f>
        <v>19024067</v>
      </c>
      <c r="T55" s="302">
        <f t="shared" si="28"/>
        <v>19024067</v>
      </c>
      <c r="U55" s="303">
        <f t="shared" si="29"/>
        <v>58502130</v>
      </c>
      <c r="V55" s="304">
        <f t="shared" si="43"/>
        <v>0.75460000000000005</v>
      </c>
      <c r="W55" s="304">
        <f t="shared" si="30"/>
        <v>0.24540000000000001</v>
      </c>
      <c r="X55" s="305">
        <f t="shared" si="48"/>
        <v>1428.8768964999249</v>
      </c>
      <c r="Y55" s="302">
        <f>'7_Local Revenue'!AQ55</f>
        <v>37161980</v>
      </c>
      <c r="Z55" s="302">
        <f t="shared" si="31"/>
        <v>18137913</v>
      </c>
      <c r="AA55" s="31">
        <f t="shared" si="32"/>
        <v>0</v>
      </c>
      <c r="AB55" s="306">
        <f t="shared" si="49"/>
        <v>26358906.98</v>
      </c>
      <c r="AC55" s="306">
        <f t="shared" si="50"/>
        <v>18137913</v>
      </c>
      <c r="AD55" s="302">
        <f t="shared" si="51"/>
        <v>7655795.4223440001</v>
      </c>
      <c r="AE55" s="307">
        <f t="shared" si="33"/>
        <v>10482118</v>
      </c>
      <c r="AF55" s="306">
        <f t="shared" si="52"/>
        <v>787</v>
      </c>
      <c r="AG55" s="308">
        <f t="shared" si="34"/>
        <v>0.57789999999999997</v>
      </c>
      <c r="AH55" s="307">
        <f t="shared" si="53"/>
        <v>68984248</v>
      </c>
      <c r="AI55" s="306">
        <f t="shared" si="54"/>
        <v>5181</v>
      </c>
      <c r="AJ55" s="307">
        <f>'3A_Level 3'!J55</f>
        <v>2255390</v>
      </c>
      <c r="AK55" s="306">
        <f t="shared" si="55"/>
        <v>169.39987982574732</v>
      </c>
      <c r="AL55" s="307">
        <f t="shared" si="35"/>
        <v>71239638</v>
      </c>
      <c r="AM55" s="306">
        <f t="shared" si="56"/>
        <v>5350.7314105452906</v>
      </c>
      <c r="AN55" s="309">
        <f>'3A_Level 3'!K55</f>
        <v>9903484</v>
      </c>
      <c r="AO55" s="310">
        <f t="shared" si="57"/>
        <v>743.83986780832208</v>
      </c>
      <c r="AP55" s="307">
        <f t="shared" si="36"/>
        <v>78887732</v>
      </c>
      <c r="AQ55" s="306">
        <f t="shared" si="58"/>
        <v>5925.1713985278657</v>
      </c>
      <c r="AR55" s="306">
        <f>'3A_Level 3'!L55</f>
        <v>1923809.8731993465</v>
      </c>
      <c r="AS55" s="1095">
        <f t="shared" si="59"/>
        <v>80811541.873199344</v>
      </c>
      <c r="AT55" s="306">
        <f t="shared" si="60"/>
        <v>6069.6666571428077</v>
      </c>
      <c r="AU55" s="308">
        <f t="shared" si="37"/>
        <v>0.68499728235677704</v>
      </c>
      <c r="AV55" s="311">
        <f t="shared" si="38"/>
        <v>22</v>
      </c>
      <c r="AW55" s="306">
        <f t="shared" si="61"/>
        <v>37161980</v>
      </c>
      <c r="AX55" s="306">
        <f t="shared" si="62"/>
        <v>2791.2</v>
      </c>
      <c r="AY55" s="311">
        <f t="shared" si="39"/>
        <v>58</v>
      </c>
      <c r="AZ55" s="308">
        <f t="shared" si="40"/>
        <v>0.31500271764322296</v>
      </c>
      <c r="BA55" s="312">
        <f t="shared" si="41"/>
        <v>117973521.87319934</v>
      </c>
      <c r="BB55" s="312">
        <f t="shared" si="63"/>
        <v>8860.8623909568378</v>
      </c>
      <c r="BC55" s="311">
        <f t="shared" si="42"/>
        <v>61</v>
      </c>
    </row>
    <row r="56" spans="1:55" s="315" customFormat="1" ht="15.6" customHeight="1" x14ac:dyDescent="0.2">
      <c r="A56" s="684">
        <v>50</v>
      </c>
      <c r="B56" s="685" t="s">
        <v>53</v>
      </c>
      <c r="C56" s="685">
        <f>'8_2.1.19 SIS'!AV56</f>
        <v>7557</v>
      </c>
      <c r="D56" s="686">
        <f>'[8]Econ. Disad.'!$AV56</f>
        <v>5432</v>
      </c>
      <c r="E56" s="686">
        <f t="shared" si="22"/>
        <v>1195.04</v>
      </c>
      <c r="F56" s="686">
        <f>[8]CTE!$AV56</f>
        <v>4250</v>
      </c>
      <c r="G56" s="686">
        <f t="shared" si="23"/>
        <v>255</v>
      </c>
      <c r="H56" s="686">
        <f>[8]SWD!$AV56</f>
        <v>876</v>
      </c>
      <c r="I56" s="686">
        <f t="shared" si="24"/>
        <v>1314</v>
      </c>
      <c r="J56" s="686">
        <f>[8]GT!$AV56</f>
        <v>347</v>
      </c>
      <c r="K56" s="686">
        <f t="shared" si="25"/>
        <v>208.2</v>
      </c>
      <c r="L56" s="686">
        <f t="shared" si="44"/>
        <v>0</v>
      </c>
      <c r="M56" s="687">
        <f t="shared" si="45"/>
        <v>0</v>
      </c>
      <c r="N56" s="686">
        <f t="shared" si="3"/>
        <v>0</v>
      </c>
      <c r="O56" s="686">
        <f t="shared" si="26"/>
        <v>2972.24</v>
      </c>
      <c r="P56" s="314">
        <f t="shared" si="46"/>
        <v>10529.24</v>
      </c>
      <c r="Q56" s="606">
        <f t="shared" si="27"/>
        <v>4015</v>
      </c>
      <c r="R56" s="606">
        <f t="shared" si="47"/>
        <v>42274899</v>
      </c>
      <c r="S56" s="606">
        <f>'6_Local Deduct Calc'!J56</f>
        <v>11797668</v>
      </c>
      <c r="T56" s="606">
        <f t="shared" si="28"/>
        <v>11797668</v>
      </c>
      <c r="U56" s="607">
        <f t="shared" si="29"/>
        <v>30477231</v>
      </c>
      <c r="V56" s="688">
        <f t="shared" si="43"/>
        <v>0.72089999999999999</v>
      </c>
      <c r="W56" s="608">
        <f t="shared" si="30"/>
        <v>0.27910000000000001</v>
      </c>
      <c r="X56" s="609">
        <f t="shared" si="48"/>
        <v>1561.1576022231045</v>
      </c>
      <c r="Y56" s="606">
        <f>'7_Local Revenue'!AQ56</f>
        <v>28417127</v>
      </c>
      <c r="Z56" s="606">
        <f t="shared" si="31"/>
        <v>16619459</v>
      </c>
      <c r="AA56" s="689">
        <f t="shared" si="32"/>
        <v>0</v>
      </c>
      <c r="AB56" s="690">
        <f t="shared" si="49"/>
        <v>14373465.66</v>
      </c>
      <c r="AC56" s="690">
        <f t="shared" si="50"/>
        <v>14373465.66</v>
      </c>
      <c r="AD56" s="606">
        <f t="shared" si="51"/>
        <v>6900010.9370143209</v>
      </c>
      <c r="AE56" s="691">
        <f t="shared" si="33"/>
        <v>7473455</v>
      </c>
      <c r="AF56" s="690">
        <f t="shared" si="52"/>
        <v>989</v>
      </c>
      <c r="AG56" s="692">
        <f t="shared" si="34"/>
        <v>0.51990000000000003</v>
      </c>
      <c r="AH56" s="691">
        <f t="shared" si="53"/>
        <v>37950686</v>
      </c>
      <c r="AI56" s="690">
        <f t="shared" si="54"/>
        <v>5022</v>
      </c>
      <c r="AJ56" s="691">
        <f>'3A_Level 3'!J56</f>
        <v>1280155</v>
      </c>
      <c r="AK56" s="690">
        <f t="shared" si="55"/>
        <v>169.39989413788541</v>
      </c>
      <c r="AL56" s="691">
        <f t="shared" si="35"/>
        <v>39230841</v>
      </c>
      <c r="AM56" s="690">
        <f t="shared" si="56"/>
        <v>5191.3247320365226</v>
      </c>
      <c r="AN56" s="693">
        <f>'3A_Level 3'!K56</f>
        <v>6074769</v>
      </c>
      <c r="AO56" s="694">
        <f t="shared" si="57"/>
        <v>803.85986502580386</v>
      </c>
      <c r="AP56" s="691">
        <f t="shared" si="36"/>
        <v>44025455</v>
      </c>
      <c r="AQ56" s="690">
        <f t="shared" si="58"/>
        <v>5825.7847029244413</v>
      </c>
      <c r="AR56" s="957">
        <f>'3A_Level 3'!L56</f>
        <v>998060.85795698303</v>
      </c>
      <c r="AS56" s="1096">
        <f t="shared" si="59"/>
        <v>45023515.857956983</v>
      </c>
      <c r="AT56" s="961">
        <f t="shared" si="60"/>
        <v>5957.8557440726454</v>
      </c>
      <c r="AU56" s="692">
        <f t="shared" si="37"/>
        <v>0.63240027393632969</v>
      </c>
      <c r="AV56" s="695">
        <f t="shared" si="38"/>
        <v>39</v>
      </c>
      <c r="AW56" s="690">
        <f t="shared" si="61"/>
        <v>26171133.66</v>
      </c>
      <c r="AX56" s="690">
        <f t="shared" si="62"/>
        <v>3463.16</v>
      </c>
      <c r="AY56" s="695">
        <f t="shared" si="39"/>
        <v>38</v>
      </c>
      <c r="AZ56" s="692">
        <f t="shared" si="40"/>
        <v>0.36759972606367025</v>
      </c>
      <c r="BA56" s="696">
        <f t="shared" si="41"/>
        <v>71194649.517956987</v>
      </c>
      <c r="BB56" s="696">
        <f t="shared" si="63"/>
        <v>9421.020182341801</v>
      </c>
      <c r="BC56" s="695">
        <f t="shared" si="42"/>
        <v>46</v>
      </c>
    </row>
    <row r="57" spans="1:55" s="313" customFormat="1" ht="15.6" customHeight="1" x14ac:dyDescent="0.2">
      <c r="A57" s="683">
        <v>51</v>
      </c>
      <c r="B57" s="298" t="s">
        <v>54</v>
      </c>
      <c r="C57" s="299">
        <f>'8_2.1.19 SIS'!AV57</f>
        <v>8268</v>
      </c>
      <c r="D57" s="299">
        <f>'[8]Econ. Disad.'!$AV57</f>
        <v>6495</v>
      </c>
      <c r="E57" s="299">
        <f t="shared" si="22"/>
        <v>1428.9</v>
      </c>
      <c r="F57" s="299">
        <f>[8]CTE!$AV57</f>
        <v>3964.5</v>
      </c>
      <c r="G57" s="299">
        <f t="shared" si="23"/>
        <v>237.87</v>
      </c>
      <c r="H57" s="299">
        <f>[8]SWD!$AV57</f>
        <v>1377</v>
      </c>
      <c r="I57" s="299">
        <f t="shared" si="24"/>
        <v>2065.5</v>
      </c>
      <c r="J57" s="299">
        <f>[8]GT!$AV57</f>
        <v>518</v>
      </c>
      <c r="K57" s="299">
        <f t="shared" si="25"/>
        <v>310.8</v>
      </c>
      <c r="L57" s="300">
        <f t="shared" si="44"/>
        <v>0</v>
      </c>
      <c r="M57" s="301">
        <f t="shared" si="45"/>
        <v>0</v>
      </c>
      <c r="N57" s="299">
        <f t="shared" si="3"/>
        <v>0</v>
      </c>
      <c r="O57" s="299">
        <f t="shared" si="26"/>
        <v>4043.07</v>
      </c>
      <c r="P57" s="299">
        <f t="shared" si="46"/>
        <v>12311.07</v>
      </c>
      <c r="Q57" s="302">
        <f t="shared" si="27"/>
        <v>4015</v>
      </c>
      <c r="R57" s="302">
        <f t="shared" si="47"/>
        <v>49428946</v>
      </c>
      <c r="S57" s="302">
        <f>'6_Local Deduct Calc'!J57</f>
        <v>15215975</v>
      </c>
      <c r="T57" s="302">
        <f t="shared" si="28"/>
        <v>15215975</v>
      </c>
      <c r="U57" s="303">
        <f t="shared" si="29"/>
        <v>34212971</v>
      </c>
      <c r="V57" s="304">
        <f t="shared" si="43"/>
        <v>0.69220000000000004</v>
      </c>
      <c r="W57" s="304">
        <f t="shared" si="30"/>
        <v>0.30780000000000002</v>
      </c>
      <c r="X57" s="305">
        <f t="shared" si="48"/>
        <v>1840.3453072085147</v>
      </c>
      <c r="Y57" s="302">
        <f>'7_Local Revenue'!AQ57</f>
        <v>35175148</v>
      </c>
      <c r="Z57" s="302">
        <f t="shared" si="31"/>
        <v>19959173</v>
      </c>
      <c r="AA57" s="31">
        <f t="shared" si="32"/>
        <v>0</v>
      </c>
      <c r="AB57" s="306">
        <f t="shared" si="49"/>
        <v>16805841.640000001</v>
      </c>
      <c r="AC57" s="306">
        <f t="shared" si="50"/>
        <v>16805841.640000001</v>
      </c>
      <c r="AD57" s="302">
        <f t="shared" si="51"/>
        <v>8897281.4576822408</v>
      </c>
      <c r="AE57" s="307">
        <f t="shared" si="33"/>
        <v>7908560</v>
      </c>
      <c r="AF57" s="306">
        <f t="shared" si="52"/>
        <v>957</v>
      </c>
      <c r="AG57" s="308">
        <f t="shared" si="34"/>
        <v>0.47060000000000002</v>
      </c>
      <c r="AH57" s="307">
        <f t="shared" si="53"/>
        <v>42121531</v>
      </c>
      <c r="AI57" s="306">
        <f t="shared" si="54"/>
        <v>5095</v>
      </c>
      <c r="AJ57" s="307">
        <f>'3A_Level 3'!J57</f>
        <v>1400598</v>
      </c>
      <c r="AK57" s="306">
        <f t="shared" si="55"/>
        <v>169.39985486211901</v>
      </c>
      <c r="AL57" s="307">
        <f t="shared" si="35"/>
        <v>43522129</v>
      </c>
      <c r="AM57" s="306">
        <f t="shared" si="56"/>
        <v>5263.9246492501206</v>
      </c>
      <c r="AN57" s="309">
        <f>'3A_Level 3'!K57</f>
        <v>7243263</v>
      </c>
      <c r="AO57" s="310">
        <f t="shared" si="57"/>
        <v>876.05986937590706</v>
      </c>
      <c r="AP57" s="307">
        <f t="shared" si="36"/>
        <v>49364794</v>
      </c>
      <c r="AQ57" s="306">
        <f t="shared" si="58"/>
        <v>5970.5846637639088</v>
      </c>
      <c r="AR57" s="306">
        <f>'3A_Level 3'!L57</f>
        <v>1247987.1890203895</v>
      </c>
      <c r="AS57" s="1095">
        <f t="shared" si="59"/>
        <v>50612781.189020388</v>
      </c>
      <c r="AT57" s="306">
        <f t="shared" si="60"/>
        <v>6121.5265105249619</v>
      </c>
      <c r="AU57" s="308">
        <f t="shared" si="37"/>
        <v>0.61248898789032069</v>
      </c>
      <c r="AV57" s="311">
        <f t="shared" si="38"/>
        <v>41</v>
      </c>
      <c r="AW57" s="306">
        <f t="shared" si="61"/>
        <v>32021816.640000001</v>
      </c>
      <c r="AX57" s="306">
        <f t="shared" si="62"/>
        <v>3872.98</v>
      </c>
      <c r="AY57" s="311">
        <f t="shared" si="39"/>
        <v>24</v>
      </c>
      <c r="AZ57" s="308">
        <f t="shared" si="40"/>
        <v>0.38751101210967936</v>
      </c>
      <c r="BA57" s="312">
        <f t="shared" si="41"/>
        <v>82634597.829020381</v>
      </c>
      <c r="BB57" s="312">
        <f t="shared" si="63"/>
        <v>9994.5086875931756</v>
      </c>
      <c r="BC57" s="311">
        <f t="shared" si="42"/>
        <v>20</v>
      </c>
    </row>
    <row r="58" spans="1:55" s="313" customFormat="1" ht="15.6" customHeight="1" x14ac:dyDescent="0.2">
      <c r="A58" s="683">
        <v>52</v>
      </c>
      <c r="B58" s="298" t="s">
        <v>55</v>
      </c>
      <c r="C58" s="298">
        <f>'8_2.1.19 SIS'!AV58</f>
        <v>37718</v>
      </c>
      <c r="D58" s="299">
        <f>'[8]Econ. Disad.'!$AV58</f>
        <v>19876</v>
      </c>
      <c r="E58" s="299">
        <f t="shared" si="22"/>
        <v>4372.72</v>
      </c>
      <c r="F58" s="299">
        <f>[8]CTE!$AV58</f>
        <v>14639</v>
      </c>
      <c r="G58" s="299">
        <f t="shared" si="23"/>
        <v>878.33999999999992</v>
      </c>
      <c r="H58" s="299">
        <f>[8]SWD!$AV58</f>
        <v>7135</v>
      </c>
      <c r="I58" s="299">
        <f t="shared" si="24"/>
        <v>10702.5</v>
      </c>
      <c r="J58" s="299">
        <f>[8]GT!$AV58</f>
        <v>2763</v>
      </c>
      <c r="K58" s="299">
        <f t="shared" si="25"/>
        <v>1657.8</v>
      </c>
      <c r="L58" s="299">
        <f t="shared" si="44"/>
        <v>0</v>
      </c>
      <c r="M58" s="301">
        <f t="shared" si="45"/>
        <v>0</v>
      </c>
      <c r="N58" s="299">
        <f t="shared" si="3"/>
        <v>0</v>
      </c>
      <c r="O58" s="299">
        <f t="shared" si="26"/>
        <v>17611.36</v>
      </c>
      <c r="P58" s="299">
        <f t="shared" si="46"/>
        <v>55329.36</v>
      </c>
      <c r="Q58" s="302">
        <f t="shared" si="27"/>
        <v>4015</v>
      </c>
      <c r="R58" s="302">
        <f t="shared" si="47"/>
        <v>222147380</v>
      </c>
      <c r="S58" s="302">
        <f>'6_Local Deduct Calc'!J58</f>
        <v>68592923</v>
      </c>
      <c r="T58" s="302">
        <f t="shared" si="28"/>
        <v>68592923</v>
      </c>
      <c r="U58" s="303">
        <f t="shared" si="29"/>
        <v>153554457</v>
      </c>
      <c r="V58" s="304">
        <f t="shared" si="43"/>
        <v>0.69120000000000004</v>
      </c>
      <c r="W58" s="304">
        <f t="shared" si="30"/>
        <v>0.30880000000000002</v>
      </c>
      <c r="X58" s="305">
        <f t="shared" si="48"/>
        <v>1818.5726443607828</v>
      </c>
      <c r="Y58" s="302">
        <f>'7_Local Revenue'!AQ58</f>
        <v>230046321</v>
      </c>
      <c r="Z58" s="302">
        <f t="shared" si="31"/>
        <v>161453398</v>
      </c>
      <c r="AA58" s="31">
        <f t="shared" si="32"/>
        <v>0</v>
      </c>
      <c r="AB58" s="306">
        <f t="shared" si="49"/>
        <v>75530109.200000003</v>
      </c>
      <c r="AC58" s="306">
        <f t="shared" si="50"/>
        <v>75530109.200000003</v>
      </c>
      <c r="AD58" s="302">
        <f t="shared" si="51"/>
        <v>40116760.080051206</v>
      </c>
      <c r="AE58" s="307">
        <f t="shared" si="33"/>
        <v>35413349</v>
      </c>
      <c r="AF58" s="306">
        <f t="shared" si="52"/>
        <v>939</v>
      </c>
      <c r="AG58" s="308">
        <f t="shared" si="34"/>
        <v>0.46889999999999998</v>
      </c>
      <c r="AH58" s="307">
        <f t="shared" si="53"/>
        <v>188967806</v>
      </c>
      <c r="AI58" s="306">
        <f t="shared" si="54"/>
        <v>5010</v>
      </c>
      <c r="AJ58" s="307">
        <f>'3A_Level 3'!J58</f>
        <v>6389425</v>
      </c>
      <c r="AK58" s="306">
        <f t="shared" si="55"/>
        <v>169.39988864733019</v>
      </c>
      <c r="AL58" s="307">
        <f t="shared" si="35"/>
        <v>195357231</v>
      </c>
      <c r="AM58" s="306">
        <f t="shared" si="56"/>
        <v>5179.4164854976407</v>
      </c>
      <c r="AN58" s="309">
        <f>'3A_Level 3'!K58</f>
        <v>31221825</v>
      </c>
      <c r="AO58" s="310">
        <f t="shared" si="57"/>
        <v>827.76989766159397</v>
      </c>
      <c r="AP58" s="307">
        <f t="shared" si="36"/>
        <v>220189631</v>
      </c>
      <c r="AQ58" s="306">
        <f t="shared" si="58"/>
        <v>5837.7864945119045</v>
      </c>
      <c r="AR58" s="306">
        <f>'3A_Level 3'!L58</f>
        <v>5787362.8672296135</v>
      </c>
      <c r="AS58" s="1095">
        <f t="shared" si="59"/>
        <v>225976993.86722961</v>
      </c>
      <c r="AT58" s="306">
        <f t="shared" si="60"/>
        <v>5991.2241865218093</v>
      </c>
      <c r="AU58" s="308">
        <f t="shared" si="37"/>
        <v>0.61058356647124445</v>
      </c>
      <c r="AV58" s="311">
        <f t="shared" si="38"/>
        <v>42</v>
      </c>
      <c r="AW58" s="306">
        <f t="shared" si="61"/>
        <v>144123032.19999999</v>
      </c>
      <c r="AX58" s="306">
        <f t="shared" si="62"/>
        <v>3821.07</v>
      </c>
      <c r="AY58" s="311">
        <f t="shared" si="39"/>
        <v>25</v>
      </c>
      <c r="AZ58" s="308">
        <f t="shared" si="40"/>
        <v>0.38941643352875543</v>
      </c>
      <c r="BA58" s="312">
        <f t="shared" si="41"/>
        <v>370100026.06722963</v>
      </c>
      <c r="BB58" s="312">
        <f t="shared" si="63"/>
        <v>9812.29190485258</v>
      </c>
      <c r="BC58" s="311">
        <f t="shared" si="42"/>
        <v>27</v>
      </c>
    </row>
    <row r="59" spans="1:55" s="313" customFormat="1" ht="15.6" customHeight="1" x14ac:dyDescent="0.2">
      <c r="A59" s="683">
        <v>53</v>
      </c>
      <c r="B59" s="298" t="s">
        <v>56</v>
      </c>
      <c r="C59" s="298">
        <f>'8_2.1.19 SIS'!AV59</f>
        <v>19479</v>
      </c>
      <c r="D59" s="299">
        <f>'[8]Econ. Disad.'!$AV59</f>
        <v>14313</v>
      </c>
      <c r="E59" s="299">
        <f t="shared" si="22"/>
        <v>3148.86</v>
      </c>
      <c r="F59" s="299">
        <f>[8]CTE!$AV59</f>
        <v>10546</v>
      </c>
      <c r="G59" s="299">
        <f t="shared" si="23"/>
        <v>632.76</v>
      </c>
      <c r="H59" s="299">
        <f>[8]SWD!$AV59</f>
        <v>2488</v>
      </c>
      <c r="I59" s="299">
        <f t="shared" si="24"/>
        <v>3732</v>
      </c>
      <c r="J59" s="299">
        <f>[8]GT!$AV59</f>
        <v>450</v>
      </c>
      <c r="K59" s="299">
        <f t="shared" si="25"/>
        <v>270</v>
      </c>
      <c r="L59" s="299">
        <f t="shared" si="44"/>
        <v>0</v>
      </c>
      <c r="M59" s="301">
        <f t="shared" si="45"/>
        <v>0</v>
      </c>
      <c r="N59" s="299">
        <f t="shared" si="3"/>
        <v>0</v>
      </c>
      <c r="O59" s="299">
        <f t="shared" si="26"/>
        <v>7783.62</v>
      </c>
      <c r="P59" s="299">
        <f t="shared" si="46"/>
        <v>27262.62</v>
      </c>
      <c r="Q59" s="302">
        <f t="shared" si="27"/>
        <v>4015</v>
      </c>
      <c r="R59" s="302">
        <f t="shared" si="47"/>
        <v>109459419</v>
      </c>
      <c r="S59" s="302">
        <f>'6_Local Deduct Calc'!J59</f>
        <v>25407307</v>
      </c>
      <c r="T59" s="302">
        <f t="shared" si="28"/>
        <v>25407307</v>
      </c>
      <c r="U59" s="303">
        <f t="shared" si="29"/>
        <v>84052112</v>
      </c>
      <c r="V59" s="304">
        <f t="shared" si="43"/>
        <v>0.76790000000000003</v>
      </c>
      <c r="W59" s="304">
        <f t="shared" si="30"/>
        <v>0.2321</v>
      </c>
      <c r="X59" s="305">
        <f t="shared" si="48"/>
        <v>1304.3434981261871</v>
      </c>
      <c r="Y59" s="302">
        <f>'7_Local Revenue'!AQ59</f>
        <v>51610471</v>
      </c>
      <c r="Z59" s="302">
        <f t="shared" si="31"/>
        <v>26203164</v>
      </c>
      <c r="AA59" s="31">
        <f t="shared" si="32"/>
        <v>0</v>
      </c>
      <c r="AB59" s="306">
        <f t="shared" si="49"/>
        <v>37216202.460000001</v>
      </c>
      <c r="AC59" s="306">
        <f t="shared" si="50"/>
        <v>26203164</v>
      </c>
      <c r="AD59" s="302">
        <f t="shared" si="51"/>
        <v>10460617.506767999</v>
      </c>
      <c r="AE59" s="307">
        <f t="shared" si="33"/>
        <v>15742546</v>
      </c>
      <c r="AF59" s="306">
        <f t="shared" si="52"/>
        <v>808</v>
      </c>
      <c r="AG59" s="308">
        <f t="shared" si="34"/>
        <v>0.6008</v>
      </c>
      <c r="AH59" s="307">
        <f t="shared" si="53"/>
        <v>99794658</v>
      </c>
      <c r="AI59" s="306">
        <f t="shared" si="54"/>
        <v>5123</v>
      </c>
      <c r="AJ59" s="307">
        <f>'3A_Level 3'!J59</f>
        <v>3299741</v>
      </c>
      <c r="AK59" s="306">
        <f t="shared" si="55"/>
        <v>169.39991786025976</v>
      </c>
      <c r="AL59" s="307">
        <f t="shared" si="35"/>
        <v>103094399</v>
      </c>
      <c r="AM59" s="306">
        <f t="shared" si="56"/>
        <v>5292.5919708403926</v>
      </c>
      <c r="AN59" s="309">
        <f>'3A_Level 3'!K59</f>
        <v>16735186</v>
      </c>
      <c r="AO59" s="310">
        <f t="shared" si="57"/>
        <v>859.13989424508441</v>
      </c>
      <c r="AP59" s="307">
        <f t="shared" si="36"/>
        <v>116529844</v>
      </c>
      <c r="AQ59" s="306">
        <f t="shared" si="58"/>
        <v>5982.3319472252169</v>
      </c>
      <c r="AR59" s="306">
        <f>'3A_Level 3'!L59</f>
        <v>2696818.5034688949</v>
      </c>
      <c r="AS59" s="1095">
        <f t="shared" si="59"/>
        <v>119226662.5034689</v>
      </c>
      <c r="AT59" s="306">
        <f t="shared" si="60"/>
        <v>6120.7794293068891</v>
      </c>
      <c r="AU59" s="308">
        <f t="shared" si="37"/>
        <v>0.69789664611205837</v>
      </c>
      <c r="AV59" s="311">
        <f t="shared" si="38"/>
        <v>17</v>
      </c>
      <c r="AW59" s="306">
        <f t="shared" si="61"/>
        <v>51610471</v>
      </c>
      <c r="AX59" s="306">
        <f t="shared" si="62"/>
        <v>2649.54</v>
      </c>
      <c r="AY59" s="311">
        <f t="shared" si="39"/>
        <v>62</v>
      </c>
      <c r="AZ59" s="308">
        <f t="shared" si="40"/>
        <v>0.30210335388794168</v>
      </c>
      <c r="BA59" s="312">
        <f t="shared" si="41"/>
        <v>170837133.5034689</v>
      </c>
      <c r="BB59" s="312">
        <f t="shared" si="63"/>
        <v>8770.3236050859341</v>
      </c>
      <c r="BC59" s="311">
        <f t="shared" si="42"/>
        <v>63</v>
      </c>
    </row>
    <row r="60" spans="1:55" s="313" customFormat="1" ht="15.6" customHeight="1" x14ac:dyDescent="0.2">
      <c r="A60" s="683">
        <v>54</v>
      </c>
      <c r="B60" s="298" t="s">
        <v>57</v>
      </c>
      <c r="C60" s="298">
        <f>'8_2.1.19 SIS'!AV60</f>
        <v>486</v>
      </c>
      <c r="D60" s="299">
        <f>'[8]Econ. Disad.'!$AV60</f>
        <v>453</v>
      </c>
      <c r="E60" s="299">
        <f t="shared" si="22"/>
        <v>99.66</v>
      </c>
      <c r="F60" s="299">
        <f>[8]CTE!$AV60</f>
        <v>410</v>
      </c>
      <c r="G60" s="299">
        <f t="shared" si="23"/>
        <v>24.599999999999998</v>
      </c>
      <c r="H60" s="299">
        <f>[8]SWD!$AV60</f>
        <v>90</v>
      </c>
      <c r="I60" s="299">
        <f t="shared" si="24"/>
        <v>135</v>
      </c>
      <c r="J60" s="299">
        <f>[8]GT!$AV60</f>
        <v>20</v>
      </c>
      <c r="K60" s="299">
        <f t="shared" si="25"/>
        <v>12</v>
      </c>
      <c r="L60" s="299">
        <f t="shared" si="44"/>
        <v>7014</v>
      </c>
      <c r="M60" s="301">
        <f t="shared" si="45"/>
        <v>0.18704000000000001</v>
      </c>
      <c r="N60" s="299">
        <f t="shared" si="3"/>
        <v>90.901440000000008</v>
      </c>
      <c r="O60" s="299">
        <f t="shared" si="26"/>
        <v>362.16143999999997</v>
      </c>
      <c r="P60" s="299">
        <f t="shared" si="46"/>
        <v>848.16143999999997</v>
      </c>
      <c r="Q60" s="302">
        <f t="shared" si="27"/>
        <v>4015</v>
      </c>
      <c r="R60" s="302">
        <f t="shared" si="47"/>
        <v>3405368</v>
      </c>
      <c r="S60" s="302">
        <f>'6_Local Deduct Calc'!J60</f>
        <v>1219420</v>
      </c>
      <c r="T60" s="302">
        <f t="shared" si="28"/>
        <v>1219420</v>
      </c>
      <c r="U60" s="303">
        <f t="shared" si="29"/>
        <v>2185948</v>
      </c>
      <c r="V60" s="304">
        <f t="shared" si="43"/>
        <v>0.64190000000000003</v>
      </c>
      <c r="W60" s="304">
        <f t="shared" si="30"/>
        <v>0.35809999999999997</v>
      </c>
      <c r="X60" s="305">
        <f t="shared" si="48"/>
        <v>2509.0946502057614</v>
      </c>
      <c r="Y60" s="302">
        <f>'7_Local Revenue'!AQ60</f>
        <v>2855128</v>
      </c>
      <c r="Z60" s="302">
        <f t="shared" si="31"/>
        <v>1635708</v>
      </c>
      <c r="AA60" s="31">
        <f t="shared" si="32"/>
        <v>0</v>
      </c>
      <c r="AB60" s="306">
        <f t="shared" si="49"/>
        <v>1157825.1200000001</v>
      </c>
      <c r="AC60" s="306">
        <f t="shared" si="50"/>
        <v>1157825.1200000001</v>
      </c>
      <c r="AD60" s="302">
        <f t="shared" si="51"/>
        <v>713141.54181184003</v>
      </c>
      <c r="AE60" s="307">
        <f t="shared" si="33"/>
        <v>444684</v>
      </c>
      <c r="AF60" s="306">
        <f t="shared" si="52"/>
        <v>915</v>
      </c>
      <c r="AG60" s="308">
        <f t="shared" si="34"/>
        <v>0.3841</v>
      </c>
      <c r="AH60" s="307">
        <f t="shared" si="53"/>
        <v>2630632</v>
      </c>
      <c r="AI60" s="306">
        <f t="shared" si="54"/>
        <v>5413</v>
      </c>
      <c r="AJ60" s="307">
        <f>'3A_Level 3'!J60</f>
        <v>82328</v>
      </c>
      <c r="AK60" s="306">
        <f t="shared" si="55"/>
        <v>169.3991769547325</v>
      </c>
      <c r="AL60" s="307">
        <f t="shared" si="35"/>
        <v>2712960</v>
      </c>
      <c r="AM60" s="306">
        <f t="shared" si="56"/>
        <v>5582.2222222222226</v>
      </c>
      <c r="AN60" s="309">
        <f>'3A_Level 3'!K60</f>
        <v>544733</v>
      </c>
      <c r="AO60" s="310">
        <f t="shared" si="57"/>
        <v>1120.8497942386832</v>
      </c>
      <c r="AP60" s="307">
        <f t="shared" si="36"/>
        <v>3175365</v>
      </c>
      <c r="AQ60" s="306">
        <f t="shared" si="58"/>
        <v>6533.6728395061727</v>
      </c>
      <c r="AR60" s="306">
        <f>'3A_Level 3'!L60</f>
        <v>90139.436532470092</v>
      </c>
      <c r="AS60" s="1095">
        <f t="shared" si="59"/>
        <v>3265504.4365324699</v>
      </c>
      <c r="AT60" s="306">
        <f t="shared" si="60"/>
        <v>6719.1449311367696</v>
      </c>
      <c r="AU60" s="308">
        <f t="shared" si="37"/>
        <v>0.5787080223597868</v>
      </c>
      <c r="AV60" s="311">
        <f t="shared" si="38"/>
        <v>48</v>
      </c>
      <c r="AW60" s="306">
        <f t="shared" si="61"/>
        <v>2377245.12</v>
      </c>
      <c r="AX60" s="306">
        <f t="shared" si="62"/>
        <v>4891.45</v>
      </c>
      <c r="AY60" s="311">
        <f t="shared" si="39"/>
        <v>12</v>
      </c>
      <c r="AZ60" s="308">
        <f t="shared" si="40"/>
        <v>0.42129197764021314</v>
      </c>
      <c r="BA60" s="312">
        <f t="shared" si="41"/>
        <v>5642749.5565324705</v>
      </c>
      <c r="BB60" s="312">
        <f t="shared" si="63"/>
        <v>11610.595795334302</v>
      </c>
      <c r="BC60" s="311">
        <f t="shared" si="42"/>
        <v>2</v>
      </c>
    </row>
    <row r="61" spans="1:55" s="315" customFormat="1" ht="15.6" customHeight="1" x14ac:dyDescent="0.2">
      <c r="A61" s="684">
        <v>55</v>
      </c>
      <c r="B61" s="685" t="s">
        <v>58</v>
      </c>
      <c r="C61" s="685">
        <f>'8_2.1.19 SIS'!AV61</f>
        <v>16755</v>
      </c>
      <c r="D61" s="686">
        <f>'[8]Econ. Disad.'!$AV61</f>
        <v>12170</v>
      </c>
      <c r="E61" s="686">
        <f t="shared" si="22"/>
        <v>2677.4</v>
      </c>
      <c r="F61" s="686">
        <f>[8]CTE!$AV61</f>
        <v>8288.5</v>
      </c>
      <c r="G61" s="686">
        <f t="shared" si="23"/>
        <v>497.31</v>
      </c>
      <c r="H61" s="686">
        <f>[8]SWD!$AV61</f>
        <v>2015</v>
      </c>
      <c r="I61" s="686">
        <f t="shared" si="24"/>
        <v>3022.5</v>
      </c>
      <c r="J61" s="686">
        <f>[8]GT!$AV61</f>
        <v>622</v>
      </c>
      <c r="K61" s="686">
        <f t="shared" si="25"/>
        <v>373.2</v>
      </c>
      <c r="L61" s="686">
        <f t="shared" si="44"/>
        <v>0</v>
      </c>
      <c r="M61" s="687">
        <f t="shared" si="45"/>
        <v>0</v>
      </c>
      <c r="N61" s="686">
        <f t="shared" si="3"/>
        <v>0</v>
      </c>
      <c r="O61" s="686">
        <f t="shared" si="26"/>
        <v>6570.41</v>
      </c>
      <c r="P61" s="314">
        <f t="shared" si="46"/>
        <v>23325.41</v>
      </c>
      <c r="Q61" s="606">
        <f t="shared" si="27"/>
        <v>4015</v>
      </c>
      <c r="R61" s="606">
        <f t="shared" si="47"/>
        <v>93651521</v>
      </c>
      <c r="S61" s="606">
        <f>'6_Local Deduct Calc'!J61</f>
        <v>30676407</v>
      </c>
      <c r="T61" s="606">
        <f t="shared" si="28"/>
        <v>30676407</v>
      </c>
      <c r="U61" s="607">
        <f t="shared" si="29"/>
        <v>62975114</v>
      </c>
      <c r="V61" s="688">
        <f t="shared" si="43"/>
        <v>0.6724</v>
      </c>
      <c r="W61" s="608">
        <f t="shared" si="30"/>
        <v>0.3276</v>
      </c>
      <c r="X61" s="609">
        <f t="shared" si="48"/>
        <v>1830.8807520143241</v>
      </c>
      <c r="Y61" s="606">
        <f>'7_Local Revenue'!AQ61</f>
        <v>64835604</v>
      </c>
      <c r="Z61" s="606">
        <f t="shared" si="31"/>
        <v>34159197</v>
      </c>
      <c r="AA61" s="689">
        <f t="shared" si="32"/>
        <v>0</v>
      </c>
      <c r="AB61" s="690">
        <f t="shared" si="49"/>
        <v>31841517.140000001</v>
      </c>
      <c r="AC61" s="690">
        <f t="shared" si="50"/>
        <v>31841517.140000001</v>
      </c>
      <c r="AD61" s="606">
        <f t="shared" si="51"/>
        <v>17941803.34591008</v>
      </c>
      <c r="AE61" s="691">
        <f t="shared" si="33"/>
        <v>13899714</v>
      </c>
      <c r="AF61" s="690">
        <f t="shared" si="52"/>
        <v>830</v>
      </c>
      <c r="AG61" s="692">
        <f t="shared" si="34"/>
        <v>0.4365</v>
      </c>
      <c r="AH61" s="691">
        <f t="shared" si="53"/>
        <v>76874828</v>
      </c>
      <c r="AI61" s="690">
        <f t="shared" si="54"/>
        <v>4588</v>
      </c>
      <c r="AJ61" s="691">
        <f>'3A_Level 3'!J61</f>
        <v>2838295</v>
      </c>
      <c r="AK61" s="690">
        <f t="shared" si="55"/>
        <v>169.39988063264698</v>
      </c>
      <c r="AL61" s="691">
        <f t="shared" si="35"/>
        <v>79713123</v>
      </c>
      <c r="AM61" s="690">
        <f t="shared" si="56"/>
        <v>4757.5722470904211</v>
      </c>
      <c r="AN61" s="693">
        <f>'3A_Level 3'!K61</f>
        <v>16160866</v>
      </c>
      <c r="AO61" s="694">
        <f t="shared" si="57"/>
        <v>964.53989853774988</v>
      </c>
      <c r="AP61" s="691">
        <f t="shared" si="36"/>
        <v>93035694</v>
      </c>
      <c r="AQ61" s="690">
        <f t="shared" si="58"/>
        <v>5552.7122649955236</v>
      </c>
      <c r="AR61" s="957">
        <f>'3A_Level 3'!L61</f>
        <v>2215645.3503094409</v>
      </c>
      <c r="AS61" s="1096">
        <f t="shared" si="59"/>
        <v>95251339.350309446</v>
      </c>
      <c r="AT61" s="961">
        <f t="shared" si="60"/>
        <v>5684.9501253541894</v>
      </c>
      <c r="AU61" s="692">
        <f t="shared" si="37"/>
        <v>0.6037382519451262</v>
      </c>
      <c r="AV61" s="695">
        <f t="shared" si="38"/>
        <v>45</v>
      </c>
      <c r="AW61" s="690">
        <f t="shared" si="61"/>
        <v>62517924.140000001</v>
      </c>
      <c r="AX61" s="690">
        <f t="shared" si="62"/>
        <v>3731.3</v>
      </c>
      <c r="AY61" s="695">
        <f t="shared" si="39"/>
        <v>28</v>
      </c>
      <c r="AZ61" s="692">
        <f t="shared" si="40"/>
        <v>0.3962617480548738</v>
      </c>
      <c r="BA61" s="696">
        <f t="shared" si="41"/>
        <v>157769263.49030945</v>
      </c>
      <c r="BB61" s="696">
        <f t="shared" si="63"/>
        <v>9416.2496860823303</v>
      </c>
      <c r="BC61" s="695">
        <f t="shared" si="42"/>
        <v>47</v>
      </c>
    </row>
    <row r="62" spans="1:55" s="313" customFormat="1" ht="15.6" customHeight="1" x14ac:dyDescent="0.2">
      <c r="A62" s="683">
        <v>56</v>
      </c>
      <c r="B62" s="298" t="s">
        <v>59</v>
      </c>
      <c r="C62" s="298">
        <f>'8_2.1.19 SIS'!AV62</f>
        <v>2980</v>
      </c>
      <c r="D62" s="299">
        <f>'[8]Econ. Disad.'!$AV62</f>
        <v>2257</v>
      </c>
      <c r="E62" s="299">
        <f t="shared" si="22"/>
        <v>496.54</v>
      </c>
      <c r="F62" s="299">
        <f>[8]CTE!$AV62</f>
        <v>1374</v>
      </c>
      <c r="G62" s="299">
        <f t="shared" si="23"/>
        <v>82.44</v>
      </c>
      <c r="H62" s="299">
        <f>[8]SWD!$AV62</f>
        <v>389</v>
      </c>
      <c r="I62" s="299">
        <f t="shared" si="24"/>
        <v>583.5</v>
      </c>
      <c r="J62" s="299">
        <f>[8]GT!$AV62</f>
        <v>28</v>
      </c>
      <c r="K62" s="299">
        <f t="shared" si="25"/>
        <v>16.8</v>
      </c>
      <c r="L62" s="300">
        <f t="shared" si="44"/>
        <v>4520</v>
      </c>
      <c r="M62" s="301">
        <f t="shared" si="45"/>
        <v>0.12053</v>
      </c>
      <c r="N62" s="299">
        <f t="shared" si="3"/>
        <v>359.17939999999999</v>
      </c>
      <c r="O62" s="299">
        <f t="shared" si="26"/>
        <v>1538.4594</v>
      </c>
      <c r="P62" s="299">
        <f t="shared" si="46"/>
        <v>4518.4593999999997</v>
      </c>
      <c r="Q62" s="302">
        <f t="shared" si="27"/>
        <v>4015</v>
      </c>
      <c r="R62" s="302">
        <f t="shared" si="47"/>
        <v>18141614</v>
      </c>
      <c r="S62" s="302">
        <f>'6_Local Deduct Calc'!J62</f>
        <v>4209791</v>
      </c>
      <c r="T62" s="302">
        <f t="shared" si="28"/>
        <v>4209791</v>
      </c>
      <c r="U62" s="303">
        <f t="shared" si="29"/>
        <v>13931823</v>
      </c>
      <c r="V62" s="304">
        <f t="shared" si="43"/>
        <v>0.76790000000000003</v>
      </c>
      <c r="W62" s="304">
        <f t="shared" si="30"/>
        <v>0.2321</v>
      </c>
      <c r="X62" s="305">
        <f t="shared" si="48"/>
        <v>1412.6815436241611</v>
      </c>
      <c r="Y62" s="302">
        <f>'7_Local Revenue'!AQ62</f>
        <v>10847784.370000001</v>
      </c>
      <c r="Z62" s="302">
        <f t="shared" si="31"/>
        <v>6637993.370000001</v>
      </c>
      <c r="AA62" s="31">
        <f t="shared" si="32"/>
        <v>0</v>
      </c>
      <c r="AB62" s="306">
        <f t="shared" si="49"/>
        <v>6168148.7600000007</v>
      </c>
      <c r="AC62" s="306">
        <f t="shared" si="50"/>
        <v>6168148.7600000007</v>
      </c>
      <c r="AD62" s="302">
        <f t="shared" si="51"/>
        <v>2462399.0027771206</v>
      </c>
      <c r="AE62" s="307">
        <f t="shared" si="33"/>
        <v>3705750</v>
      </c>
      <c r="AF62" s="306">
        <f t="shared" si="52"/>
        <v>1244</v>
      </c>
      <c r="AG62" s="308">
        <f t="shared" si="34"/>
        <v>0.6008</v>
      </c>
      <c r="AH62" s="307">
        <f t="shared" si="53"/>
        <v>17637573</v>
      </c>
      <c r="AI62" s="306">
        <f t="shared" si="54"/>
        <v>5919</v>
      </c>
      <c r="AJ62" s="307">
        <f>'3A_Level 3'!J62</f>
        <v>504812</v>
      </c>
      <c r="AK62" s="306">
        <f t="shared" si="55"/>
        <v>169.4</v>
      </c>
      <c r="AL62" s="307">
        <f t="shared" si="35"/>
        <v>18142385</v>
      </c>
      <c r="AM62" s="306">
        <f t="shared" si="56"/>
        <v>6088.0486577181209</v>
      </c>
      <c r="AN62" s="309">
        <f>'3A_Level 3'!K62</f>
        <v>2336499</v>
      </c>
      <c r="AO62" s="310">
        <f t="shared" si="57"/>
        <v>784.06006711409395</v>
      </c>
      <c r="AP62" s="307">
        <f t="shared" si="36"/>
        <v>19974072</v>
      </c>
      <c r="AQ62" s="306">
        <f t="shared" si="58"/>
        <v>6702.708724832215</v>
      </c>
      <c r="AR62" s="306">
        <f>'3A_Level 3'!L62</f>
        <v>387995.12254514021</v>
      </c>
      <c r="AS62" s="1095">
        <f t="shared" si="59"/>
        <v>20362067.122545142</v>
      </c>
      <c r="AT62" s="306">
        <f t="shared" si="60"/>
        <v>6832.9084303842756</v>
      </c>
      <c r="AU62" s="308">
        <f t="shared" si="37"/>
        <v>0.66239630981043063</v>
      </c>
      <c r="AV62" s="311">
        <f t="shared" si="38"/>
        <v>29</v>
      </c>
      <c r="AW62" s="306">
        <f t="shared" si="61"/>
        <v>10377939.76</v>
      </c>
      <c r="AX62" s="306">
        <f t="shared" si="62"/>
        <v>3482.53</v>
      </c>
      <c r="AY62" s="311">
        <f t="shared" si="39"/>
        <v>36</v>
      </c>
      <c r="AZ62" s="308">
        <f t="shared" si="40"/>
        <v>0.33760369018956932</v>
      </c>
      <c r="BA62" s="312">
        <f t="shared" si="41"/>
        <v>30740006.882545143</v>
      </c>
      <c r="BB62" s="312">
        <f t="shared" si="63"/>
        <v>10315.438551189645</v>
      </c>
      <c r="BC62" s="311">
        <f t="shared" si="42"/>
        <v>15</v>
      </c>
    </row>
    <row r="63" spans="1:55" s="313" customFormat="1" ht="15.6" customHeight="1" x14ac:dyDescent="0.2">
      <c r="A63" s="683">
        <v>57</v>
      </c>
      <c r="B63" s="298" t="s">
        <v>60</v>
      </c>
      <c r="C63" s="298">
        <f>'8_2.1.19 SIS'!AV63</f>
        <v>9264</v>
      </c>
      <c r="D63" s="299">
        <f>'[8]Econ. Disad.'!$AV63</f>
        <v>5584</v>
      </c>
      <c r="E63" s="299">
        <f t="shared" si="22"/>
        <v>1228.48</v>
      </c>
      <c r="F63" s="299">
        <f>[8]CTE!$AV63</f>
        <v>4049.5</v>
      </c>
      <c r="G63" s="299">
        <f t="shared" si="23"/>
        <v>242.97</v>
      </c>
      <c r="H63" s="299">
        <f>[8]SWD!$AV63</f>
        <v>1211</v>
      </c>
      <c r="I63" s="299">
        <f t="shared" si="24"/>
        <v>1816.5</v>
      </c>
      <c r="J63" s="299">
        <f>[8]GT!$AV63</f>
        <v>216</v>
      </c>
      <c r="K63" s="299">
        <f t="shared" si="25"/>
        <v>129.6</v>
      </c>
      <c r="L63" s="299">
        <f t="shared" si="44"/>
        <v>0</v>
      </c>
      <c r="M63" s="301">
        <f t="shared" si="45"/>
        <v>0</v>
      </c>
      <c r="N63" s="299">
        <f t="shared" si="3"/>
        <v>0</v>
      </c>
      <c r="O63" s="299">
        <f t="shared" si="26"/>
        <v>3417.5499999999997</v>
      </c>
      <c r="P63" s="299">
        <f t="shared" si="46"/>
        <v>12681.55</v>
      </c>
      <c r="Q63" s="302">
        <f t="shared" si="27"/>
        <v>4015</v>
      </c>
      <c r="R63" s="302">
        <f t="shared" si="47"/>
        <v>50916423</v>
      </c>
      <c r="S63" s="302">
        <f>'6_Local Deduct Calc'!J63</f>
        <v>11576637</v>
      </c>
      <c r="T63" s="302">
        <f t="shared" si="28"/>
        <v>11576637</v>
      </c>
      <c r="U63" s="303">
        <f t="shared" si="29"/>
        <v>39339786</v>
      </c>
      <c r="V63" s="304">
        <f t="shared" si="43"/>
        <v>0.77259999999999995</v>
      </c>
      <c r="W63" s="304">
        <f t="shared" si="30"/>
        <v>0.22739999999999999</v>
      </c>
      <c r="X63" s="305">
        <f t="shared" si="48"/>
        <v>1249.636981865285</v>
      </c>
      <c r="Y63" s="302">
        <f>'7_Local Revenue'!AQ63</f>
        <v>24618984</v>
      </c>
      <c r="Z63" s="302">
        <f t="shared" si="31"/>
        <v>13042347</v>
      </c>
      <c r="AA63" s="31">
        <f t="shared" si="32"/>
        <v>0</v>
      </c>
      <c r="AB63" s="306">
        <f t="shared" si="49"/>
        <v>17311583.82</v>
      </c>
      <c r="AC63" s="306">
        <f t="shared" si="50"/>
        <v>13042347</v>
      </c>
      <c r="AD63" s="302">
        <f t="shared" si="51"/>
        <v>5101227.0974159995</v>
      </c>
      <c r="AE63" s="307">
        <f t="shared" si="33"/>
        <v>7941120</v>
      </c>
      <c r="AF63" s="306">
        <f t="shared" si="52"/>
        <v>857</v>
      </c>
      <c r="AG63" s="308">
        <f t="shared" si="34"/>
        <v>0.6089</v>
      </c>
      <c r="AH63" s="307">
        <f t="shared" si="53"/>
        <v>47280906</v>
      </c>
      <c r="AI63" s="306">
        <f t="shared" si="54"/>
        <v>5104</v>
      </c>
      <c r="AJ63" s="307">
        <f>'3A_Level 3'!J63</f>
        <v>1569321</v>
      </c>
      <c r="AK63" s="306">
        <f t="shared" si="55"/>
        <v>169.39993523316062</v>
      </c>
      <c r="AL63" s="307">
        <f t="shared" si="35"/>
        <v>48850227</v>
      </c>
      <c r="AM63" s="306">
        <f t="shared" si="56"/>
        <v>5273.1246761658031</v>
      </c>
      <c r="AN63" s="309">
        <f>'3A_Level 3'!K63</f>
        <v>8651742</v>
      </c>
      <c r="AO63" s="310">
        <f t="shared" si="57"/>
        <v>933.90997409326428</v>
      </c>
      <c r="AP63" s="307">
        <f t="shared" si="36"/>
        <v>55932648</v>
      </c>
      <c r="AQ63" s="306">
        <f t="shared" si="58"/>
        <v>6037.6347150259071</v>
      </c>
      <c r="AR63" s="306">
        <f>'3A_Level 3'!L63</f>
        <v>1277139.9066516946</v>
      </c>
      <c r="AS63" s="1095">
        <f t="shared" si="59"/>
        <v>57209787.906651698</v>
      </c>
      <c r="AT63" s="306">
        <f t="shared" si="60"/>
        <v>6175.4952403553216</v>
      </c>
      <c r="AU63" s="308">
        <f t="shared" si="37"/>
        <v>0.69914024827251775</v>
      </c>
      <c r="AV63" s="311">
        <f t="shared" si="38"/>
        <v>16</v>
      </c>
      <c r="AW63" s="306">
        <f t="shared" si="61"/>
        <v>24618984</v>
      </c>
      <c r="AX63" s="306">
        <f t="shared" si="62"/>
        <v>2657.49</v>
      </c>
      <c r="AY63" s="311">
        <f t="shared" si="39"/>
        <v>61</v>
      </c>
      <c r="AZ63" s="308">
        <f t="shared" si="40"/>
        <v>0.30085975172748219</v>
      </c>
      <c r="BA63" s="312">
        <f t="shared" si="41"/>
        <v>81828771.906651706</v>
      </c>
      <c r="BB63" s="312">
        <f t="shared" si="63"/>
        <v>8832.9848776610215</v>
      </c>
      <c r="BC63" s="311">
        <f t="shared" si="42"/>
        <v>62</v>
      </c>
    </row>
    <row r="64" spans="1:55" s="313" customFormat="1" ht="15.6" customHeight="1" x14ac:dyDescent="0.2">
      <c r="A64" s="683">
        <v>58</v>
      </c>
      <c r="B64" s="298" t="s">
        <v>61</v>
      </c>
      <c r="C64" s="298">
        <f>'8_2.1.19 SIS'!AV64</f>
        <v>8079</v>
      </c>
      <c r="D64" s="299">
        <f>'[8]Econ. Disad.'!$AV64</f>
        <v>5053</v>
      </c>
      <c r="E64" s="299">
        <f t="shared" si="22"/>
        <v>1111.6600000000001</v>
      </c>
      <c r="F64" s="299">
        <f>[8]CTE!$AV64</f>
        <v>3472</v>
      </c>
      <c r="G64" s="299">
        <f t="shared" si="23"/>
        <v>208.32</v>
      </c>
      <c r="H64" s="299">
        <f>[8]SWD!$AV64</f>
        <v>1094</v>
      </c>
      <c r="I64" s="299">
        <f t="shared" si="24"/>
        <v>1641</v>
      </c>
      <c r="J64" s="299">
        <f>[8]GT!$AV64</f>
        <v>161</v>
      </c>
      <c r="K64" s="299">
        <f t="shared" si="25"/>
        <v>96.6</v>
      </c>
      <c r="L64" s="299">
        <f t="shared" si="44"/>
        <v>0</v>
      </c>
      <c r="M64" s="301">
        <f t="shared" si="45"/>
        <v>0</v>
      </c>
      <c r="N64" s="299">
        <f t="shared" si="3"/>
        <v>0</v>
      </c>
      <c r="O64" s="299">
        <f t="shared" si="26"/>
        <v>3057.58</v>
      </c>
      <c r="P64" s="299">
        <f t="shared" si="46"/>
        <v>11136.58</v>
      </c>
      <c r="Q64" s="302">
        <f t="shared" si="27"/>
        <v>4015</v>
      </c>
      <c r="R64" s="302">
        <f t="shared" si="47"/>
        <v>44713369</v>
      </c>
      <c r="S64" s="302">
        <f>'6_Local Deduct Calc'!J64</f>
        <v>6741271</v>
      </c>
      <c r="T64" s="302">
        <f t="shared" si="28"/>
        <v>6741271</v>
      </c>
      <c r="U64" s="303">
        <f t="shared" si="29"/>
        <v>37972098</v>
      </c>
      <c r="V64" s="304">
        <f t="shared" si="43"/>
        <v>0.84919999999999995</v>
      </c>
      <c r="W64" s="304">
        <f t="shared" si="30"/>
        <v>0.15079999999999999</v>
      </c>
      <c r="X64" s="305">
        <f t="shared" si="48"/>
        <v>834.41898749845279</v>
      </c>
      <c r="Y64" s="302">
        <f>'7_Local Revenue'!AQ64</f>
        <v>19470881</v>
      </c>
      <c r="Z64" s="302">
        <f t="shared" si="31"/>
        <v>12729610</v>
      </c>
      <c r="AA64" s="31">
        <f t="shared" si="32"/>
        <v>0</v>
      </c>
      <c r="AB64" s="306">
        <f t="shared" si="49"/>
        <v>15202545.460000001</v>
      </c>
      <c r="AC64" s="306">
        <f t="shared" si="50"/>
        <v>12729610</v>
      </c>
      <c r="AD64" s="302">
        <f t="shared" si="51"/>
        <v>3301755.3233599998</v>
      </c>
      <c r="AE64" s="307">
        <f t="shared" si="33"/>
        <v>9427855</v>
      </c>
      <c r="AF64" s="306">
        <f t="shared" si="52"/>
        <v>1167</v>
      </c>
      <c r="AG64" s="308">
        <f t="shared" si="34"/>
        <v>0.74060000000000004</v>
      </c>
      <c r="AH64" s="307">
        <f t="shared" si="53"/>
        <v>47399953</v>
      </c>
      <c r="AI64" s="306">
        <f t="shared" si="54"/>
        <v>5867</v>
      </c>
      <c r="AJ64" s="307">
        <f>'3A_Level 3'!J64</f>
        <v>1368582</v>
      </c>
      <c r="AK64" s="306">
        <f t="shared" si="55"/>
        <v>169.39992573338284</v>
      </c>
      <c r="AL64" s="307">
        <f t="shared" si="35"/>
        <v>48768535</v>
      </c>
      <c r="AM64" s="306">
        <f t="shared" si="56"/>
        <v>6036.4568634732022</v>
      </c>
      <c r="AN64" s="309">
        <f>'3A_Level 3'!K64</f>
        <v>6999968</v>
      </c>
      <c r="AO64" s="310">
        <f t="shared" si="57"/>
        <v>866.43990592895159</v>
      </c>
      <c r="AP64" s="307">
        <f t="shared" si="36"/>
        <v>54399921</v>
      </c>
      <c r="AQ64" s="306">
        <f t="shared" si="58"/>
        <v>6733.4968436687705</v>
      </c>
      <c r="AR64" s="306">
        <f>'3A_Level 3'!L64</f>
        <v>1153931.9754787227</v>
      </c>
      <c r="AS64" s="1095">
        <f t="shared" si="59"/>
        <v>55553852.975478724</v>
      </c>
      <c r="AT64" s="306">
        <f t="shared" si="60"/>
        <v>6876.3278840795547</v>
      </c>
      <c r="AU64" s="308">
        <f t="shared" si="37"/>
        <v>0.74047384151520068</v>
      </c>
      <c r="AV64" s="311">
        <f t="shared" si="38"/>
        <v>4</v>
      </c>
      <c r="AW64" s="306">
        <f t="shared" si="61"/>
        <v>19470881</v>
      </c>
      <c r="AX64" s="306">
        <f t="shared" si="62"/>
        <v>2410.06</v>
      </c>
      <c r="AY64" s="311">
        <f t="shared" si="39"/>
        <v>65</v>
      </c>
      <c r="AZ64" s="308">
        <f t="shared" si="40"/>
        <v>0.25952615848479932</v>
      </c>
      <c r="BA64" s="312">
        <f t="shared" si="41"/>
        <v>75024733.975478724</v>
      </c>
      <c r="BB64" s="312">
        <f t="shared" si="63"/>
        <v>9286.3886589279264</v>
      </c>
      <c r="BC64" s="311">
        <f t="shared" si="42"/>
        <v>52</v>
      </c>
    </row>
    <row r="65" spans="1:55" s="313" customFormat="1" ht="15.6" customHeight="1" x14ac:dyDescent="0.2">
      <c r="A65" s="683">
        <v>59</v>
      </c>
      <c r="B65" s="298" t="s">
        <v>62</v>
      </c>
      <c r="C65" s="298">
        <f>'8_2.1.19 SIS'!AV65</f>
        <v>5033</v>
      </c>
      <c r="D65" s="299">
        <f>'[8]Econ. Disad.'!$AV65</f>
        <v>3589</v>
      </c>
      <c r="E65" s="299">
        <f t="shared" si="22"/>
        <v>789.58</v>
      </c>
      <c r="F65" s="299">
        <f>[8]CTE!$AV65</f>
        <v>2813</v>
      </c>
      <c r="G65" s="299">
        <f t="shared" si="23"/>
        <v>168.78</v>
      </c>
      <c r="H65" s="299">
        <f>[8]SWD!$AV65</f>
        <v>999</v>
      </c>
      <c r="I65" s="299">
        <f t="shared" si="24"/>
        <v>1498.5</v>
      </c>
      <c r="J65" s="299">
        <f>[8]GT!$AV65</f>
        <v>356</v>
      </c>
      <c r="K65" s="299">
        <f t="shared" si="25"/>
        <v>213.6</v>
      </c>
      <c r="L65" s="299">
        <f t="shared" si="44"/>
        <v>2467</v>
      </c>
      <c r="M65" s="301">
        <f t="shared" si="45"/>
        <v>6.5790000000000001E-2</v>
      </c>
      <c r="N65" s="299">
        <f t="shared" si="3"/>
        <v>331.12107000000003</v>
      </c>
      <c r="O65" s="299">
        <f t="shared" si="26"/>
        <v>3001.5810700000002</v>
      </c>
      <c r="P65" s="299">
        <f t="shared" si="46"/>
        <v>8034.5810700000002</v>
      </c>
      <c r="Q65" s="302">
        <f t="shared" si="27"/>
        <v>4015</v>
      </c>
      <c r="R65" s="302">
        <f t="shared" si="47"/>
        <v>32258843</v>
      </c>
      <c r="S65" s="302">
        <f>'6_Local Deduct Calc'!J65</f>
        <v>3425720</v>
      </c>
      <c r="T65" s="302">
        <f t="shared" si="28"/>
        <v>3425720</v>
      </c>
      <c r="U65" s="303">
        <f t="shared" si="29"/>
        <v>28833123</v>
      </c>
      <c r="V65" s="304">
        <f t="shared" si="43"/>
        <v>0.89380000000000004</v>
      </c>
      <c r="W65" s="304">
        <f t="shared" si="30"/>
        <v>0.1062</v>
      </c>
      <c r="X65" s="305">
        <f t="shared" si="48"/>
        <v>680.65169878799918</v>
      </c>
      <c r="Y65" s="302">
        <f>'7_Local Revenue'!AQ65</f>
        <v>7964501</v>
      </c>
      <c r="Z65" s="302">
        <f t="shared" si="31"/>
        <v>4538781</v>
      </c>
      <c r="AA65" s="31">
        <f t="shared" si="32"/>
        <v>0</v>
      </c>
      <c r="AB65" s="306">
        <f t="shared" si="49"/>
        <v>10968006.620000001</v>
      </c>
      <c r="AC65" s="306">
        <f t="shared" si="50"/>
        <v>4538781</v>
      </c>
      <c r="AD65" s="302">
        <f t="shared" si="51"/>
        <v>829071.89258400002</v>
      </c>
      <c r="AE65" s="307">
        <f t="shared" si="33"/>
        <v>3709709</v>
      </c>
      <c r="AF65" s="306">
        <f t="shared" si="52"/>
        <v>737</v>
      </c>
      <c r="AG65" s="308">
        <f t="shared" si="34"/>
        <v>0.81730000000000003</v>
      </c>
      <c r="AH65" s="307">
        <f t="shared" si="53"/>
        <v>32542832</v>
      </c>
      <c r="AI65" s="306">
        <f t="shared" si="54"/>
        <v>6466</v>
      </c>
      <c r="AJ65" s="307">
        <f>'3A_Level 3'!J65</f>
        <v>852590</v>
      </c>
      <c r="AK65" s="306">
        <f t="shared" si="55"/>
        <v>169.39996026226902</v>
      </c>
      <c r="AL65" s="307">
        <f t="shared" si="35"/>
        <v>33395422</v>
      </c>
      <c r="AM65" s="306">
        <f t="shared" si="56"/>
        <v>6635.2914762567061</v>
      </c>
      <c r="AN65" s="309">
        <f>'3A_Level 3'!K65</f>
        <v>4322944</v>
      </c>
      <c r="AO65" s="310">
        <f t="shared" si="57"/>
        <v>858.91992847208428</v>
      </c>
      <c r="AP65" s="307">
        <f t="shared" si="36"/>
        <v>36865776</v>
      </c>
      <c r="AQ65" s="306">
        <f t="shared" si="58"/>
        <v>7324.8114444665207</v>
      </c>
      <c r="AR65" s="306">
        <f>'3A_Level 3'!L65</f>
        <v>746326.20912821218</v>
      </c>
      <c r="AS65" s="1095">
        <f t="shared" si="59"/>
        <v>37612102.209128216</v>
      </c>
      <c r="AT65" s="306">
        <f t="shared" si="60"/>
        <v>7473.0979950582587</v>
      </c>
      <c r="AU65" s="308">
        <f t="shared" si="37"/>
        <v>0.82525022842411289</v>
      </c>
      <c r="AV65" s="311">
        <f t="shared" si="38"/>
        <v>1</v>
      </c>
      <c r="AW65" s="306">
        <f t="shared" si="61"/>
        <v>7964501</v>
      </c>
      <c r="AX65" s="306">
        <f t="shared" si="62"/>
        <v>1582.46</v>
      </c>
      <c r="AY65" s="311">
        <f t="shared" si="39"/>
        <v>69</v>
      </c>
      <c r="AZ65" s="308">
        <f t="shared" si="40"/>
        <v>0.17474977157588714</v>
      </c>
      <c r="BA65" s="312">
        <f t="shared" si="41"/>
        <v>45576603.209128216</v>
      </c>
      <c r="BB65" s="312">
        <f t="shared" si="63"/>
        <v>9055.5539855212028</v>
      </c>
      <c r="BC65" s="311">
        <f t="shared" si="42"/>
        <v>58</v>
      </c>
    </row>
    <row r="66" spans="1:55" s="315" customFormat="1" ht="15.6" customHeight="1" x14ac:dyDescent="0.2">
      <c r="A66" s="684">
        <v>60</v>
      </c>
      <c r="B66" s="685" t="s">
        <v>63</v>
      </c>
      <c r="C66" s="685">
        <f>'8_2.1.19 SIS'!AV66</f>
        <v>5972</v>
      </c>
      <c r="D66" s="686">
        <f>'[8]Econ. Disad.'!$AV66</f>
        <v>4076</v>
      </c>
      <c r="E66" s="686">
        <f t="shared" si="22"/>
        <v>896.72</v>
      </c>
      <c r="F66" s="686">
        <f>[8]CTE!$AV66</f>
        <v>2878.5</v>
      </c>
      <c r="G66" s="686">
        <f t="shared" si="23"/>
        <v>172.70999999999998</v>
      </c>
      <c r="H66" s="686">
        <f>[8]SWD!$AV66</f>
        <v>861</v>
      </c>
      <c r="I66" s="686">
        <f t="shared" si="24"/>
        <v>1291.5</v>
      </c>
      <c r="J66" s="686">
        <f>[8]GT!$AV66</f>
        <v>354</v>
      </c>
      <c r="K66" s="686">
        <f t="shared" si="25"/>
        <v>212.4</v>
      </c>
      <c r="L66" s="686">
        <f t="shared" si="44"/>
        <v>1528</v>
      </c>
      <c r="M66" s="687">
        <f t="shared" si="45"/>
        <v>4.0750000000000001E-2</v>
      </c>
      <c r="N66" s="686">
        <f t="shared" si="3"/>
        <v>243.35900000000001</v>
      </c>
      <c r="O66" s="686">
        <f t="shared" si="26"/>
        <v>2816.6890000000003</v>
      </c>
      <c r="P66" s="314">
        <f t="shared" si="46"/>
        <v>8788.6890000000003</v>
      </c>
      <c r="Q66" s="606">
        <f t="shared" si="27"/>
        <v>4015</v>
      </c>
      <c r="R66" s="606">
        <f t="shared" si="47"/>
        <v>35286586</v>
      </c>
      <c r="S66" s="606">
        <f>'6_Local Deduct Calc'!J66</f>
        <v>9250127</v>
      </c>
      <c r="T66" s="606">
        <f t="shared" si="28"/>
        <v>9250127</v>
      </c>
      <c r="U66" s="607">
        <f t="shared" si="29"/>
        <v>26036459</v>
      </c>
      <c r="V66" s="688">
        <f t="shared" si="43"/>
        <v>0.7379</v>
      </c>
      <c r="W66" s="608">
        <f t="shared" si="30"/>
        <v>0.2621</v>
      </c>
      <c r="X66" s="609">
        <f t="shared" si="48"/>
        <v>1548.9161085063631</v>
      </c>
      <c r="Y66" s="606">
        <f>'7_Local Revenue'!AQ66</f>
        <v>26493254</v>
      </c>
      <c r="Z66" s="606">
        <f t="shared" si="31"/>
        <v>17243127</v>
      </c>
      <c r="AA66" s="689">
        <f t="shared" si="32"/>
        <v>0</v>
      </c>
      <c r="AB66" s="690">
        <f t="shared" si="49"/>
        <v>11997439.24</v>
      </c>
      <c r="AC66" s="690">
        <f t="shared" si="50"/>
        <v>11997439.24</v>
      </c>
      <c r="AD66" s="606">
        <f t="shared" si="51"/>
        <v>5408589.5786628798</v>
      </c>
      <c r="AE66" s="691">
        <f t="shared" si="33"/>
        <v>6588850</v>
      </c>
      <c r="AF66" s="690">
        <f t="shared" si="52"/>
        <v>1103</v>
      </c>
      <c r="AG66" s="692">
        <f t="shared" si="34"/>
        <v>0.54920000000000002</v>
      </c>
      <c r="AH66" s="691">
        <f t="shared" si="53"/>
        <v>32625309</v>
      </c>
      <c r="AI66" s="690">
        <f t="shared" si="54"/>
        <v>5463</v>
      </c>
      <c r="AJ66" s="691">
        <f>'3A_Level 3'!J66</f>
        <v>1011656</v>
      </c>
      <c r="AK66" s="690">
        <f t="shared" si="55"/>
        <v>169.39986604152713</v>
      </c>
      <c r="AL66" s="691">
        <f t="shared" si="35"/>
        <v>33636965</v>
      </c>
      <c r="AM66" s="690">
        <f t="shared" si="56"/>
        <v>5632.4455793703955</v>
      </c>
      <c r="AN66" s="693">
        <f>'3A_Level 3'!K66</f>
        <v>4559263</v>
      </c>
      <c r="AO66" s="694">
        <f t="shared" si="57"/>
        <v>763.43988613529802</v>
      </c>
      <c r="AP66" s="691">
        <f t="shared" si="36"/>
        <v>37184572</v>
      </c>
      <c r="AQ66" s="690">
        <f t="shared" si="58"/>
        <v>6226.4855994641657</v>
      </c>
      <c r="AR66" s="957">
        <f>'3A_Level 3'!L66</f>
        <v>779641.87532270746</v>
      </c>
      <c r="AS66" s="1096">
        <f t="shared" si="59"/>
        <v>37964213.875322707</v>
      </c>
      <c r="AT66" s="961">
        <f t="shared" si="60"/>
        <v>6357.0351432221541</v>
      </c>
      <c r="AU66" s="692">
        <f t="shared" si="37"/>
        <v>0.64115981315512593</v>
      </c>
      <c r="AV66" s="695">
        <f t="shared" si="38"/>
        <v>36</v>
      </c>
      <c r="AW66" s="690">
        <f t="shared" si="61"/>
        <v>21247566.239999998</v>
      </c>
      <c r="AX66" s="690">
        <f t="shared" si="62"/>
        <v>3557.86</v>
      </c>
      <c r="AY66" s="695">
        <f t="shared" si="39"/>
        <v>34</v>
      </c>
      <c r="AZ66" s="692">
        <f t="shared" si="40"/>
        <v>0.35884018684487407</v>
      </c>
      <c r="BA66" s="696">
        <f t="shared" si="41"/>
        <v>59211780.115322709</v>
      </c>
      <c r="BB66" s="696">
        <f t="shared" si="63"/>
        <v>9914.8995504559116</v>
      </c>
      <c r="BC66" s="695">
        <f t="shared" si="42"/>
        <v>24</v>
      </c>
    </row>
    <row r="67" spans="1:55" s="313" customFormat="1" ht="15.6" customHeight="1" x14ac:dyDescent="0.2">
      <c r="A67" s="683">
        <v>61</v>
      </c>
      <c r="B67" s="298" t="s">
        <v>64</v>
      </c>
      <c r="C67" s="299">
        <f>'8_2.1.19 SIS'!AV67</f>
        <v>3636</v>
      </c>
      <c r="D67" s="299">
        <f>'[8]Econ. Disad.'!$AV67</f>
        <v>2517</v>
      </c>
      <c r="E67" s="299">
        <f t="shared" si="22"/>
        <v>553.74</v>
      </c>
      <c r="F67" s="299">
        <f>[8]CTE!$AV67</f>
        <v>1880</v>
      </c>
      <c r="G67" s="299">
        <f t="shared" si="23"/>
        <v>112.8</v>
      </c>
      <c r="H67" s="299">
        <f>[8]SWD!$AV67</f>
        <v>444</v>
      </c>
      <c r="I67" s="299">
        <f t="shared" si="24"/>
        <v>666</v>
      </c>
      <c r="J67" s="299">
        <f>[8]GT!$AV67</f>
        <v>231</v>
      </c>
      <c r="K67" s="299">
        <f t="shared" si="25"/>
        <v>138.6</v>
      </c>
      <c r="L67" s="300">
        <f t="shared" si="44"/>
        <v>3864</v>
      </c>
      <c r="M67" s="301">
        <f t="shared" si="45"/>
        <v>0.10304000000000001</v>
      </c>
      <c r="N67" s="299">
        <f t="shared" si="3"/>
        <v>374.65344000000005</v>
      </c>
      <c r="O67" s="299">
        <f t="shared" si="26"/>
        <v>1845.7934399999999</v>
      </c>
      <c r="P67" s="299">
        <f t="shared" si="46"/>
        <v>5481.7934399999995</v>
      </c>
      <c r="Q67" s="302">
        <f t="shared" si="27"/>
        <v>4015</v>
      </c>
      <c r="R67" s="302">
        <f t="shared" si="47"/>
        <v>22009401</v>
      </c>
      <c r="S67" s="302">
        <f>'6_Local Deduct Calc'!J67</f>
        <v>12252934</v>
      </c>
      <c r="T67" s="302">
        <f t="shared" si="28"/>
        <v>12252934</v>
      </c>
      <c r="U67" s="1154">
        <f t="shared" si="29"/>
        <v>9756467</v>
      </c>
      <c r="V67" s="304">
        <f t="shared" si="43"/>
        <v>0.44330000000000003</v>
      </c>
      <c r="W67" s="304">
        <f t="shared" si="30"/>
        <v>0.55669999999999997</v>
      </c>
      <c r="X67" s="305">
        <f t="shared" si="48"/>
        <v>3369.8938393839385</v>
      </c>
      <c r="Y67" s="302">
        <f>'7_Local Revenue'!AQ67</f>
        <v>37028253</v>
      </c>
      <c r="Z67" s="302">
        <f t="shared" si="31"/>
        <v>24775319</v>
      </c>
      <c r="AA67" s="31">
        <f t="shared" si="32"/>
        <v>0</v>
      </c>
      <c r="AB67" s="306">
        <f t="shared" si="49"/>
        <v>7483196.3400000008</v>
      </c>
      <c r="AC67" s="306">
        <f t="shared" si="50"/>
        <v>7483196.3400000008</v>
      </c>
      <c r="AD67" s="302">
        <f t="shared" si="51"/>
        <v>7165340.09226216</v>
      </c>
      <c r="AE67" s="307">
        <f t="shared" si="33"/>
        <v>317856</v>
      </c>
      <c r="AF67" s="306">
        <f t="shared" si="52"/>
        <v>87</v>
      </c>
      <c r="AG67" s="308">
        <f t="shared" si="34"/>
        <v>4.2500000000000003E-2</v>
      </c>
      <c r="AH67" s="307">
        <f t="shared" si="53"/>
        <v>10074323</v>
      </c>
      <c r="AI67" s="306">
        <f t="shared" si="54"/>
        <v>2771</v>
      </c>
      <c r="AJ67" s="307">
        <f>'3A_Level 3'!J67</f>
        <v>615938</v>
      </c>
      <c r="AK67" s="306">
        <f t="shared" si="55"/>
        <v>169.39988998899889</v>
      </c>
      <c r="AL67" s="307">
        <f t="shared" si="35"/>
        <v>10690261</v>
      </c>
      <c r="AM67" s="306">
        <f t="shared" si="56"/>
        <v>2940.1157865786577</v>
      </c>
      <c r="AN67" s="309">
        <f>'3A_Level 3'!K67</f>
        <v>3647308</v>
      </c>
      <c r="AO67" s="310">
        <f t="shared" si="57"/>
        <v>1003.1100110011001</v>
      </c>
      <c r="AP67" s="307">
        <f t="shared" si="36"/>
        <v>13721631</v>
      </c>
      <c r="AQ67" s="306">
        <f t="shared" si="58"/>
        <v>3773.825907590759</v>
      </c>
      <c r="AR67" s="306">
        <f>'3A_Level 3'!L67</f>
        <v>634026.82256491901</v>
      </c>
      <c r="AS67" s="1095">
        <f t="shared" si="59"/>
        <v>14355657.822564919</v>
      </c>
      <c r="AT67" s="306">
        <f t="shared" si="60"/>
        <v>3948.2007212774802</v>
      </c>
      <c r="AU67" s="308">
        <f t="shared" si="37"/>
        <v>0.42108843789920058</v>
      </c>
      <c r="AV67" s="311">
        <f t="shared" si="38"/>
        <v>60</v>
      </c>
      <c r="AW67" s="306">
        <f t="shared" si="61"/>
        <v>19736130.34</v>
      </c>
      <c r="AX67" s="306">
        <f t="shared" si="62"/>
        <v>5427.98</v>
      </c>
      <c r="AY67" s="311">
        <f t="shared" si="39"/>
        <v>9</v>
      </c>
      <c r="AZ67" s="308">
        <f t="shared" si="40"/>
        <v>0.57891156210079942</v>
      </c>
      <c r="BA67" s="312">
        <f t="shared" si="41"/>
        <v>34091788.162564918</v>
      </c>
      <c r="BB67" s="312">
        <f t="shared" si="63"/>
        <v>9376.1793626416165</v>
      </c>
      <c r="BC67" s="311">
        <f t="shared" si="42"/>
        <v>48</v>
      </c>
    </row>
    <row r="68" spans="1:55" s="313" customFormat="1" ht="15.6" customHeight="1" x14ac:dyDescent="0.2">
      <c r="A68" s="683">
        <v>62</v>
      </c>
      <c r="B68" s="298" t="s">
        <v>65</v>
      </c>
      <c r="C68" s="298">
        <f>'8_2.1.19 SIS'!AV68</f>
        <v>1971</v>
      </c>
      <c r="D68" s="299">
        <f>'[8]Econ. Disad.'!$AV68</f>
        <v>1413</v>
      </c>
      <c r="E68" s="299">
        <f t="shared" si="22"/>
        <v>310.86</v>
      </c>
      <c r="F68" s="299">
        <f>[8]CTE!$AV68</f>
        <v>896</v>
      </c>
      <c r="G68" s="299">
        <f t="shared" si="23"/>
        <v>53.76</v>
      </c>
      <c r="H68" s="299">
        <f>[8]SWD!$AV68</f>
        <v>298</v>
      </c>
      <c r="I68" s="299">
        <f t="shared" si="24"/>
        <v>447</v>
      </c>
      <c r="J68" s="299">
        <f>[8]GT!$AV68</f>
        <v>3</v>
      </c>
      <c r="K68" s="299">
        <f t="shared" si="25"/>
        <v>1.7999999999999998</v>
      </c>
      <c r="L68" s="299">
        <f t="shared" si="44"/>
        <v>5529</v>
      </c>
      <c r="M68" s="301">
        <f t="shared" si="45"/>
        <v>0.14743999999999999</v>
      </c>
      <c r="N68" s="299">
        <f t="shared" si="3"/>
        <v>290.60423999999995</v>
      </c>
      <c r="O68" s="299">
        <f t="shared" si="26"/>
        <v>1104.02424</v>
      </c>
      <c r="P68" s="299">
        <f t="shared" si="46"/>
        <v>3075.0242399999997</v>
      </c>
      <c r="Q68" s="302">
        <f t="shared" si="27"/>
        <v>4015</v>
      </c>
      <c r="R68" s="302">
        <f t="shared" si="47"/>
        <v>12346222</v>
      </c>
      <c r="S68" s="302">
        <f>'6_Local Deduct Calc'!J68</f>
        <v>2015235</v>
      </c>
      <c r="T68" s="302">
        <f t="shared" si="28"/>
        <v>2015235</v>
      </c>
      <c r="U68" s="303">
        <f t="shared" si="29"/>
        <v>10330987</v>
      </c>
      <c r="V68" s="304">
        <f t="shared" si="43"/>
        <v>0.83679999999999999</v>
      </c>
      <c r="W68" s="304">
        <f t="shared" si="30"/>
        <v>0.16320000000000001</v>
      </c>
      <c r="X68" s="305">
        <f t="shared" si="48"/>
        <v>1022.4429223744293</v>
      </c>
      <c r="Y68" s="302">
        <f>'7_Local Revenue'!AQ68</f>
        <v>4415592</v>
      </c>
      <c r="Z68" s="302">
        <f t="shared" si="31"/>
        <v>2400357</v>
      </c>
      <c r="AA68" s="31">
        <f t="shared" si="32"/>
        <v>0</v>
      </c>
      <c r="AB68" s="306">
        <f t="shared" si="49"/>
        <v>4197715.4800000004</v>
      </c>
      <c r="AC68" s="306">
        <f t="shared" si="50"/>
        <v>2400357</v>
      </c>
      <c r="AD68" s="302">
        <f t="shared" si="51"/>
        <v>673789.81132800004</v>
      </c>
      <c r="AE68" s="307">
        <f t="shared" si="33"/>
        <v>1726567</v>
      </c>
      <c r="AF68" s="306">
        <f t="shared" si="52"/>
        <v>876</v>
      </c>
      <c r="AG68" s="308">
        <f t="shared" si="34"/>
        <v>0.71930000000000005</v>
      </c>
      <c r="AH68" s="307">
        <f t="shared" si="53"/>
        <v>12057554</v>
      </c>
      <c r="AI68" s="306">
        <f t="shared" si="54"/>
        <v>6117</v>
      </c>
      <c r="AJ68" s="307">
        <f>'3A_Level 3'!J68</f>
        <v>333887</v>
      </c>
      <c r="AK68" s="306">
        <f t="shared" si="55"/>
        <v>169.39979705733131</v>
      </c>
      <c r="AL68" s="307">
        <f t="shared" si="35"/>
        <v>12391441</v>
      </c>
      <c r="AM68" s="306">
        <f t="shared" si="56"/>
        <v>6286.8802638254692</v>
      </c>
      <c r="AN68" s="309">
        <f>'3A_Level 3'!K68</f>
        <v>1351081</v>
      </c>
      <c r="AO68" s="310">
        <f t="shared" si="57"/>
        <v>685.47995941146621</v>
      </c>
      <c r="AP68" s="307">
        <f t="shared" si="36"/>
        <v>13408635</v>
      </c>
      <c r="AQ68" s="306">
        <f t="shared" si="58"/>
        <v>6802.9604261796039</v>
      </c>
      <c r="AR68" s="306">
        <f>'3A_Level 3'!L68</f>
        <v>271548.55773725582</v>
      </c>
      <c r="AS68" s="1095">
        <f t="shared" si="59"/>
        <v>13680183.557737255</v>
      </c>
      <c r="AT68" s="306">
        <f t="shared" si="60"/>
        <v>6940.7323986490392</v>
      </c>
      <c r="AU68" s="308">
        <f t="shared" si="37"/>
        <v>0.75598768972839003</v>
      </c>
      <c r="AV68" s="311">
        <f t="shared" si="38"/>
        <v>3</v>
      </c>
      <c r="AW68" s="306">
        <f t="shared" si="61"/>
        <v>4415592</v>
      </c>
      <c r="AX68" s="306">
        <f t="shared" si="62"/>
        <v>2240.2800000000002</v>
      </c>
      <c r="AY68" s="311">
        <f t="shared" si="39"/>
        <v>67</v>
      </c>
      <c r="AZ68" s="308">
        <f t="shared" si="40"/>
        <v>0.24401231027161005</v>
      </c>
      <c r="BA68" s="312">
        <f t="shared" si="41"/>
        <v>18095775.557737254</v>
      </c>
      <c r="BB68" s="312">
        <f t="shared" si="63"/>
        <v>9181.0124595318393</v>
      </c>
      <c r="BC68" s="311">
        <f t="shared" si="42"/>
        <v>55</v>
      </c>
    </row>
    <row r="69" spans="1:55" s="313" customFormat="1" ht="15.6" customHeight="1" x14ac:dyDescent="0.2">
      <c r="A69" s="683">
        <v>63</v>
      </c>
      <c r="B69" s="298" t="s">
        <v>66</v>
      </c>
      <c r="C69" s="298">
        <f>'8_2.1.19 SIS'!AV69</f>
        <v>2116</v>
      </c>
      <c r="D69" s="299">
        <f>'[8]Econ. Disad.'!$AV69</f>
        <v>1048</v>
      </c>
      <c r="E69" s="299">
        <f t="shared" si="22"/>
        <v>230.56</v>
      </c>
      <c r="F69" s="299">
        <f>[8]CTE!$AV69</f>
        <v>1117</v>
      </c>
      <c r="G69" s="299">
        <f t="shared" si="23"/>
        <v>67.02</v>
      </c>
      <c r="H69" s="299">
        <f>[8]SWD!$AV69</f>
        <v>290</v>
      </c>
      <c r="I69" s="299">
        <f t="shared" si="24"/>
        <v>435</v>
      </c>
      <c r="J69" s="299">
        <f>[8]GT!$AV69</f>
        <v>144</v>
      </c>
      <c r="K69" s="299">
        <f t="shared" si="25"/>
        <v>86.399999999999991</v>
      </c>
      <c r="L69" s="299">
        <f t="shared" si="44"/>
        <v>5384</v>
      </c>
      <c r="M69" s="301">
        <f t="shared" si="45"/>
        <v>0.14357</v>
      </c>
      <c r="N69" s="299">
        <f t="shared" si="3"/>
        <v>303.79412000000002</v>
      </c>
      <c r="O69" s="299">
        <f t="shared" si="26"/>
        <v>1122.77412</v>
      </c>
      <c r="P69" s="299">
        <f t="shared" si="46"/>
        <v>3238.77412</v>
      </c>
      <c r="Q69" s="302">
        <f t="shared" si="27"/>
        <v>4015</v>
      </c>
      <c r="R69" s="302">
        <f t="shared" si="47"/>
        <v>13003678</v>
      </c>
      <c r="S69" s="302">
        <f>'6_Local Deduct Calc'!J69</f>
        <v>6327336</v>
      </c>
      <c r="T69" s="302">
        <f t="shared" si="28"/>
        <v>6327336</v>
      </c>
      <c r="U69" s="303">
        <f t="shared" si="29"/>
        <v>6676342</v>
      </c>
      <c r="V69" s="304">
        <f t="shared" si="43"/>
        <v>0.51339999999999997</v>
      </c>
      <c r="W69" s="304">
        <f t="shared" si="30"/>
        <v>0.48659999999999998</v>
      </c>
      <c r="X69" s="305">
        <f t="shared" si="48"/>
        <v>2990.2344045368618</v>
      </c>
      <c r="Y69" s="302">
        <f>'7_Local Revenue'!AQ69</f>
        <v>17597106</v>
      </c>
      <c r="Z69" s="302">
        <f t="shared" si="31"/>
        <v>11269770</v>
      </c>
      <c r="AA69" s="31">
        <f t="shared" si="32"/>
        <v>0</v>
      </c>
      <c r="AB69" s="306">
        <f t="shared" si="49"/>
        <v>4421250.5200000005</v>
      </c>
      <c r="AC69" s="306">
        <f t="shared" si="50"/>
        <v>4421250.5200000005</v>
      </c>
      <c r="AD69" s="302">
        <f t="shared" si="51"/>
        <v>3700374.4652150399</v>
      </c>
      <c r="AE69" s="307">
        <f t="shared" si="33"/>
        <v>720876</v>
      </c>
      <c r="AF69" s="306">
        <f t="shared" si="52"/>
        <v>341</v>
      </c>
      <c r="AG69" s="308">
        <f t="shared" si="34"/>
        <v>0.16300000000000001</v>
      </c>
      <c r="AH69" s="307">
        <f t="shared" si="53"/>
        <v>7397218</v>
      </c>
      <c r="AI69" s="306">
        <f t="shared" si="54"/>
        <v>3496</v>
      </c>
      <c r="AJ69" s="307">
        <f>'3A_Level 3'!J69</f>
        <v>891756</v>
      </c>
      <c r="AK69" s="306">
        <f t="shared" si="55"/>
        <v>421.43478260869563</v>
      </c>
      <c r="AL69" s="307">
        <f t="shared" si="35"/>
        <v>8288974</v>
      </c>
      <c r="AM69" s="306">
        <f t="shared" si="56"/>
        <v>3917.2844990548206</v>
      </c>
      <c r="AN69" s="309">
        <f>'3A_Level 3'!K69</f>
        <v>2493124</v>
      </c>
      <c r="AO69" s="310">
        <f t="shared" si="57"/>
        <v>1178.2249527410208</v>
      </c>
      <c r="AP69" s="307">
        <f t="shared" si="36"/>
        <v>9890342</v>
      </c>
      <c r="AQ69" s="306">
        <f t="shared" si="58"/>
        <v>4674.0746691871454</v>
      </c>
      <c r="AR69" s="306">
        <f>'3A_Level 3'!L69</f>
        <v>355648.58772940846</v>
      </c>
      <c r="AS69" s="1095">
        <f t="shared" si="59"/>
        <v>10245990.587729409</v>
      </c>
      <c r="AT69" s="306">
        <f t="shared" si="60"/>
        <v>4842.1505613087947</v>
      </c>
      <c r="AU69" s="308">
        <f t="shared" si="37"/>
        <v>0.4880303392230379</v>
      </c>
      <c r="AV69" s="311">
        <f t="shared" si="38"/>
        <v>56</v>
      </c>
      <c r="AW69" s="306">
        <f t="shared" si="61"/>
        <v>10748586.52</v>
      </c>
      <c r="AX69" s="306">
        <f t="shared" si="62"/>
        <v>5079.67</v>
      </c>
      <c r="AY69" s="311">
        <f t="shared" si="39"/>
        <v>11</v>
      </c>
      <c r="AZ69" s="308">
        <f t="shared" si="40"/>
        <v>0.51196966077696215</v>
      </c>
      <c r="BA69" s="312">
        <f t="shared" si="41"/>
        <v>20994577.107729409</v>
      </c>
      <c r="BB69" s="312">
        <f t="shared" si="63"/>
        <v>9921.8228297397964</v>
      </c>
      <c r="BC69" s="311">
        <f t="shared" si="42"/>
        <v>23</v>
      </c>
    </row>
    <row r="70" spans="1:55" s="313" customFormat="1" ht="15.6" customHeight="1" x14ac:dyDescent="0.2">
      <c r="A70" s="683">
        <v>64</v>
      </c>
      <c r="B70" s="298" t="s">
        <v>67</v>
      </c>
      <c r="C70" s="298">
        <f>'8_2.1.19 SIS'!AV70</f>
        <v>2093</v>
      </c>
      <c r="D70" s="299">
        <f>'[8]Econ. Disad.'!$AV70</f>
        <v>1486</v>
      </c>
      <c r="E70" s="299">
        <f t="shared" si="22"/>
        <v>326.92</v>
      </c>
      <c r="F70" s="299">
        <f>[8]CTE!$AV70</f>
        <v>1629.5</v>
      </c>
      <c r="G70" s="299">
        <f t="shared" si="23"/>
        <v>97.77</v>
      </c>
      <c r="H70" s="299">
        <f>[8]SWD!$AV70</f>
        <v>327</v>
      </c>
      <c r="I70" s="299">
        <f t="shared" si="24"/>
        <v>490.5</v>
      </c>
      <c r="J70" s="299">
        <f>[8]GT!$AV70</f>
        <v>58</v>
      </c>
      <c r="K70" s="299">
        <f t="shared" si="25"/>
        <v>34.799999999999997</v>
      </c>
      <c r="L70" s="299">
        <f t="shared" si="44"/>
        <v>5407</v>
      </c>
      <c r="M70" s="301">
        <f t="shared" si="45"/>
        <v>0.14419000000000001</v>
      </c>
      <c r="N70" s="299">
        <f t="shared" si="3"/>
        <v>301.78967</v>
      </c>
      <c r="O70" s="299">
        <f t="shared" si="26"/>
        <v>1251.7796699999999</v>
      </c>
      <c r="P70" s="299">
        <f t="shared" si="46"/>
        <v>3344.7796699999999</v>
      </c>
      <c r="Q70" s="302">
        <f t="shared" si="27"/>
        <v>4015</v>
      </c>
      <c r="R70" s="302">
        <f t="shared" si="47"/>
        <v>13429290</v>
      </c>
      <c r="S70" s="302">
        <f>'6_Local Deduct Calc'!J70</f>
        <v>2717904</v>
      </c>
      <c r="T70" s="302">
        <f t="shared" si="28"/>
        <v>2717904</v>
      </c>
      <c r="U70" s="303">
        <f t="shared" si="29"/>
        <v>10711386</v>
      </c>
      <c r="V70" s="304">
        <f t="shared" si="43"/>
        <v>0.79759999999999998</v>
      </c>
      <c r="W70" s="304">
        <f t="shared" si="30"/>
        <v>0.2024</v>
      </c>
      <c r="X70" s="305">
        <f t="shared" si="48"/>
        <v>1298.5685618729096</v>
      </c>
      <c r="Y70" s="302">
        <f>'7_Local Revenue'!AQ70</f>
        <v>6699360</v>
      </c>
      <c r="Z70" s="302">
        <f t="shared" si="31"/>
        <v>3981456</v>
      </c>
      <c r="AA70" s="31">
        <f t="shared" si="32"/>
        <v>0</v>
      </c>
      <c r="AB70" s="306">
        <f t="shared" si="49"/>
        <v>4565958.6000000006</v>
      </c>
      <c r="AC70" s="306">
        <f t="shared" si="50"/>
        <v>3981456</v>
      </c>
      <c r="AD70" s="302">
        <f t="shared" si="51"/>
        <v>1386056.314368</v>
      </c>
      <c r="AE70" s="307">
        <f t="shared" si="33"/>
        <v>2595400</v>
      </c>
      <c r="AF70" s="306">
        <f t="shared" si="52"/>
        <v>1240</v>
      </c>
      <c r="AG70" s="308">
        <f t="shared" si="34"/>
        <v>0.65190000000000003</v>
      </c>
      <c r="AH70" s="307">
        <f t="shared" si="53"/>
        <v>13306786</v>
      </c>
      <c r="AI70" s="306">
        <f t="shared" si="54"/>
        <v>6358</v>
      </c>
      <c r="AJ70" s="307">
        <f>'3A_Level 3'!J70</f>
        <v>354554</v>
      </c>
      <c r="AK70" s="306">
        <f t="shared" si="55"/>
        <v>169.3999044433827</v>
      </c>
      <c r="AL70" s="307">
        <f t="shared" si="35"/>
        <v>13661340</v>
      </c>
      <c r="AM70" s="306">
        <f t="shared" si="56"/>
        <v>6527.1571906354511</v>
      </c>
      <c r="AN70" s="309">
        <f>'3A_Level 3'!K70</f>
        <v>1594991</v>
      </c>
      <c r="AO70" s="310">
        <f t="shared" si="57"/>
        <v>762.05972288580983</v>
      </c>
      <c r="AP70" s="307">
        <f t="shared" si="36"/>
        <v>14901777</v>
      </c>
      <c r="AQ70" s="306">
        <f t="shared" si="58"/>
        <v>7119.8170090778785</v>
      </c>
      <c r="AR70" s="306">
        <f>'3A_Level 3'!L70</f>
        <v>324849.10926989792</v>
      </c>
      <c r="AS70" s="1095">
        <f t="shared" si="59"/>
        <v>15226626.109269898</v>
      </c>
      <c r="AT70" s="306">
        <f t="shared" si="60"/>
        <v>7275.02441914472</v>
      </c>
      <c r="AU70" s="308">
        <f t="shared" si="37"/>
        <v>0.69445570353765596</v>
      </c>
      <c r="AV70" s="311">
        <f t="shared" si="38"/>
        <v>20</v>
      </c>
      <c r="AW70" s="306">
        <f t="shared" si="61"/>
        <v>6699360</v>
      </c>
      <c r="AX70" s="306">
        <f t="shared" si="62"/>
        <v>3200.84</v>
      </c>
      <c r="AY70" s="311">
        <f t="shared" si="39"/>
        <v>49</v>
      </c>
      <c r="AZ70" s="308">
        <f t="shared" si="40"/>
        <v>0.3055442964623441</v>
      </c>
      <c r="BA70" s="312">
        <f t="shared" si="41"/>
        <v>21925986.109269898</v>
      </c>
      <c r="BB70" s="312">
        <f t="shared" si="63"/>
        <v>10475.865317376922</v>
      </c>
      <c r="BC70" s="311">
        <f t="shared" si="42"/>
        <v>11</v>
      </c>
    </row>
    <row r="71" spans="1:55" s="313" customFormat="1" ht="15.6" customHeight="1" x14ac:dyDescent="0.2">
      <c r="A71" s="684">
        <v>65</v>
      </c>
      <c r="B71" s="685" t="s">
        <v>68</v>
      </c>
      <c r="C71" s="685">
        <f>'8_2.1.19 SIS'!AV71</f>
        <v>7945</v>
      </c>
      <c r="D71" s="686">
        <f>'[8]Econ. Disad.'!$AV71</f>
        <v>6638</v>
      </c>
      <c r="E71" s="686">
        <f t="shared" si="22"/>
        <v>1460.36</v>
      </c>
      <c r="F71" s="686">
        <f>[8]CTE!$AV71</f>
        <v>2871</v>
      </c>
      <c r="G71" s="686">
        <f t="shared" si="23"/>
        <v>172.26</v>
      </c>
      <c r="H71" s="686">
        <f>[8]SWD!$AV71</f>
        <v>1344</v>
      </c>
      <c r="I71" s="686">
        <f t="shared" si="24"/>
        <v>2016</v>
      </c>
      <c r="J71" s="686">
        <f>[8]GT!$AV71</f>
        <v>706</v>
      </c>
      <c r="K71" s="686">
        <f t="shared" si="25"/>
        <v>423.59999999999997</v>
      </c>
      <c r="L71" s="686">
        <f t="shared" si="44"/>
        <v>0</v>
      </c>
      <c r="M71" s="687">
        <f>ROUND(L71/$M$1,5)</f>
        <v>0</v>
      </c>
      <c r="N71" s="686">
        <f>C71*M71</f>
        <v>0</v>
      </c>
      <c r="O71" s="686">
        <f t="shared" si="26"/>
        <v>4072.22</v>
      </c>
      <c r="P71" s="314">
        <f>O71+C71</f>
        <v>12017.22</v>
      </c>
      <c r="Q71" s="606">
        <f t="shared" si="27"/>
        <v>4015</v>
      </c>
      <c r="R71" s="606">
        <f>ROUND(P71*Q71,0)</f>
        <v>48249138</v>
      </c>
      <c r="S71" s="606">
        <f>'6_Local Deduct Calc'!J71</f>
        <v>16687635</v>
      </c>
      <c r="T71" s="606">
        <f t="shared" si="28"/>
        <v>16687635</v>
      </c>
      <c r="U71" s="607">
        <f t="shared" si="29"/>
        <v>31561503</v>
      </c>
      <c r="V71" s="688">
        <f t="shared" si="43"/>
        <v>0.65410000000000001</v>
      </c>
      <c r="W71" s="608">
        <f t="shared" si="30"/>
        <v>0.34589999999999999</v>
      </c>
      <c r="X71" s="609">
        <f t="shared" ref="X71:X76" si="64">T71/C71</f>
        <v>2100.3945877910637</v>
      </c>
      <c r="Y71" s="606">
        <f>'7_Local Revenue'!AQ71</f>
        <v>45052687</v>
      </c>
      <c r="Z71" s="606">
        <f t="shared" si="31"/>
        <v>28365052</v>
      </c>
      <c r="AA71" s="689">
        <f t="shared" si="32"/>
        <v>0</v>
      </c>
      <c r="AB71" s="690">
        <f t="shared" si="49"/>
        <v>16404706.920000002</v>
      </c>
      <c r="AC71" s="690">
        <f>IF(Z71&lt;AB71,Z71,AB71)</f>
        <v>16404706.920000002</v>
      </c>
      <c r="AD71" s="606">
        <f>IF(AC71&gt;0,AC71*(W71*$AD$1),0)</f>
        <v>9759947.5726401601</v>
      </c>
      <c r="AE71" s="691">
        <f t="shared" si="33"/>
        <v>6644759</v>
      </c>
      <c r="AF71" s="690">
        <f t="shared" ref="AF71:AF76" si="65">ROUND(AE71/C71,0)</f>
        <v>836</v>
      </c>
      <c r="AG71" s="692">
        <f t="shared" si="34"/>
        <v>0.40510000000000002</v>
      </c>
      <c r="AH71" s="691">
        <f t="shared" si="53"/>
        <v>38206262</v>
      </c>
      <c r="AI71" s="690">
        <f t="shared" ref="AI71:AI76" si="66">ROUND(AH71/C71,0)</f>
        <v>4809</v>
      </c>
      <c r="AJ71" s="691">
        <f>'3A_Level 3'!J71</f>
        <v>1345882</v>
      </c>
      <c r="AK71" s="690">
        <f t="shared" ref="AK71:AK76" si="67">AJ71/C71</f>
        <v>169.39987413467588</v>
      </c>
      <c r="AL71" s="691">
        <f t="shared" si="35"/>
        <v>39552144</v>
      </c>
      <c r="AM71" s="690">
        <f t="shared" ref="AM71:AM76" si="68">AL71/C71</f>
        <v>4978.2434235368155</v>
      </c>
      <c r="AN71" s="693">
        <f>'3A_Level 3'!K71</f>
        <v>7933240</v>
      </c>
      <c r="AO71" s="694">
        <f t="shared" ref="AO71:AO76" si="69">AN71/C71</f>
        <v>998.5198237885462</v>
      </c>
      <c r="AP71" s="691">
        <f t="shared" si="36"/>
        <v>46139502</v>
      </c>
      <c r="AQ71" s="690">
        <f t="shared" ref="AQ71:AQ76" si="70">AP71/C71</f>
        <v>5807.3633731906857</v>
      </c>
      <c r="AR71" s="957">
        <f>'3A_Level 3'!L71</f>
        <v>1275783.1416998003</v>
      </c>
      <c r="AS71" s="1096">
        <f>AP71+AR71</f>
        <v>47415285.141699798</v>
      </c>
      <c r="AT71" s="961">
        <f t="shared" ref="AT71:AT76" si="71">AS71/C71</f>
        <v>5967.940231806142</v>
      </c>
      <c r="AU71" s="692">
        <f t="shared" si="37"/>
        <v>0.58895395221823454</v>
      </c>
      <c r="AV71" s="695">
        <f t="shared" si="38"/>
        <v>47</v>
      </c>
      <c r="AW71" s="690">
        <f t="shared" si="61"/>
        <v>33092341.920000002</v>
      </c>
      <c r="AX71" s="690">
        <f t="shared" ref="AX71:AX76" si="72">ROUND(AW71/C71,2)</f>
        <v>4165.18</v>
      </c>
      <c r="AY71" s="695">
        <f t="shared" si="39"/>
        <v>23</v>
      </c>
      <c r="AZ71" s="692">
        <f t="shared" si="40"/>
        <v>0.41104604778176534</v>
      </c>
      <c r="BA71" s="696">
        <f t="shared" si="41"/>
        <v>80507627.061699808</v>
      </c>
      <c r="BB71" s="696">
        <f t="shared" ref="BB71:BB76" si="73">BA71/C71</f>
        <v>10133.118572901172</v>
      </c>
      <c r="BC71" s="695">
        <f t="shared" si="42"/>
        <v>17</v>
      </c>
    </row>
    <row r="72" spans="1:55" s="313" customFormat="1" ht="15.6" customHeight="1" x14ac:dyDescent="0.2">
      <c r="A72" s="683">
        <v>66</v>
      </c>
      <c r="B72" s="298" t="s">
        <v>69</v>
      </c>
      <c r="C72" s="299">
        <f>'8_2.1.19 SIS'!AV72</f>
        <v>1904</v>
      </c>
      <c r="D72" s="299">
        <f>'[8]Econ. Disad.'!$AV72</f>
        <v>1804</v>
      </c>
      <c r="E72" s="299">
        <f>$D$1*D72</f>
        <v>396.88</v>
      </c>
      <c r="F72" s="299">
        <f>[8]CTE!$AV72</f>
        <v>970.5</v>
      </c>
      <c r="G72" s="299">
        <f>$F$1*F72</f>
        <v>58.23</v>
      </c>
      <c r="H72" s="299">
        <f>[8]SWD!$AV72</f>
        <v>424</v>
      </c>
      <c r="I72" s="299">
        <f>$H$1*H72</f>
        <v>636</v>
      </c>
      <c r="J72" s="299">
        <f>[8]GT!$AV72</f>
        <v>172</v>
      </c>
      <c r="K72" s="299">
        <f>$J$1*J72</f>
        <v>103.2</v>
      </c>
      <c r="L72" s="300">
        <f t="shared" si="44"/>
        <v>5596</v>
      </c>
      <c r="M72" s="301">
        <f>ROUND(L72/$M$1,5)</f>
        <v>0.14923</v>
      </c>
      <c r="N72" s="299">
        <f>C72*M72</f>
        <v>284.13391999999999</v>
      </c>
      <c r="O72" s="299">
        <f>E72+G72+I72+K72+N72</f>
        <v>1478.4439200000002</v>
      </c>
      <c r="P72" s="299">
        <f>O72+C72</f>
        <v>3382.4439200000002</v>
      </c>
      <c r="Q72" s="302">
        <f>$Q$1</f>
        <v>4015</v>
      </c>
      <c r="R72" s="302">
        <f>ROUND(P72*Q72,0)</f>
        <v>13580512</v>
      </c>
      <c r="S72" s="302">
        <f>'6_Local Deduct Calc'!J72</f>
        <v>3505915</v>
      </c>
      <c r="T72" s="302">
        <f>ROUND(IF((S72&gt;R72*$T$1),R72*$T$1,S72),0)</f>
        <v>3505915</v>
      </c>
      <c r="U72" s="303">
        <f>R72-T72</f>
        <v>10074597</v>
      </c>
      <c r="V72" s="304">
        <f>ROUND(U72/R72,4)</f>
        <v>0.74180000000000001</v>
      </c>
      <c r="W72" s="304">
        <f>ROUND(T72/R72,4)</f>
        <v>0.25819999999999999</v>
      </c>
      <c r="X72" s="305">
        <f t="shared" si="64"/>
        <v>1841.3419117647059</v>
      </c>
      <c r="Y72" s="302">
        <f>'7_Local Revenue'!AQ72</f>
        <v>8217858</v>
      </c>
      <c r="Z72" s="302">
        <f>IF(Y72-T72&gt;0,Y72-T72,0)</f>
        <v>4711943</v>
      </c>
      <c r="AA72" s="31">
        <f>IF(Y72-T72&lt;0,Y72-T72,0)</f>
        <v>0</v>
      </c>
      <c r="AB72" s="306">
        <f t="shared" si="49"/>
        <v>4617374.08</v>
      </c>
      <c r="AC72" s="306">
        <f>IF(Z72&lt;AB72,Z72,AB72)</f>
        <v>4617374.08</v>
      </c>
      <c r="AD72" s="302">
        <f>IF(AC72&gt;0,AC72*(W72*$AD$1),0)</f>
        <v>2050594.2984243198</v>
      </c>
      <c r="AE72" s="307">
        <f>ROUND(IF(AC72-AD72&gt;AC72*$AE$1,AC72-AD72,AC72*$AE$1),0)</f>
        <v>2566780</v>
      </c>
      <c r="AF72" s="306">
        <f t="shared" si="65"/>
        <v>1348</v>
      </c>
      <c r="AG72" s="308">
        <f>IF(AC72=0,0,ROUND(AE72/AC72,4))</f>
        <v>0.55589999999999995</v>
      </c>
      <c r="AH72" s="307">
        <f t="shared" si="53"/>
        <v>12641377</v>
      </c>
      <c r="AI72" s="306">
        <f t="shared" si="66"/>
        <v>6639</v>
      </c>
      <c r="AJ72" s="307">
        <f>'3A_Level 3'!J72</f>
        <v>322537</v>
      </c>
      <c r="AK72" s="306">
        <f t="shared" si="67"/>
        <v>169.39968487394958</v>
      </c>
      <c r="AL72" s="307">
        <f>AJ72+AH72</f>
        <v>12963914</v>
      </c>
      <c r="AM72" s="306">
        <f t="shared" si="68"/>
        <v>6808.7783613445381</v>
      </c>
      <c r="AN72" s="309">
        <f>'3A_Level 3'!K72</f>
        <v>1712571</v>
      </c>
      <c r="AO72" s="310">
        <f t="shared" si="69"/>
        <v>899.45955882352939</v>
      </c>
      <c r="AP72" s="307">
        <f>AH72+AN72</f>
        <v>14353948</v>
      </c>
      <c r="AQ72" s="306">
        <f t="shared" si="70"/>
        <v>7538.838235294118</v>
      </c>
      <c r="AR72" s="306">
        <f>'3A_Level 3'!L72</f>
        <v>297577.60774933407</v>
      </c>
      <c r="AS72" s="1095">
        <f>AP72+AR72</f>
        <v>14651525.607749334</v>
      </c>
      <c r="AT72" s="306">
        <f t="shared" si="71"/>
        <v>7695.1289956666669</v>
      </c>
      <c r="AU72" s="308">
        <f>AS72/BA72</f>
        <v>0.64332139728146498</v>
      </c>
      <c r="AV72" s="311">
        <f>RANK(AU72,$AU$7:$AU$75)</f>
        <v>33</v>
      </c>
      <c r="AW72" s="306">
        <f t="shared" si="61"/>
        <v>8123289.0800000001</v>
      </c>
      <c r="AX72" s="306">
        <f t="shared" si="72"/>
        <v>4266.43</v>
      </c>
      <c r="AY72" s="311">
        <f>RANK(AX72,$AX$7:$AX$75)</f>
        <v>19</v>
      </c>
      <c r="AZ72" s="308">
        <f>AW72/BA72</f>
        <v>0.35667860271853497</v>
      </c>
      <c r="BA72" s="312">
        <f>AS72+AW72</f>
        <v>22774814.687749334</v>
      </c>
      <c r="BB72" s="312">
        <f t="shared" si="73"/>
        <v>11961.562336002802</v>
      </c>
      <c r="BC72" s="311">
        <f>RANK(BB72,$BB$7:$BB$75)</f>
        <v>1</v>
      </c>
    </row>
    <row r="73" spans="1:55" s="313" customFormat="1" ht="15.6" customHeight="1" x14ac:dyDescent="0.2">
      <c r="A73" s="683">
        <v>67</v>
      </c>
      <c r="B73" s="298" t="s">
        <v>2</v>
      </c>
      <c r="C73" s="298">
        <f>'8_2.1.19 SIS'!AV73</f>
        <v>5432</v>
      </c>
      <c r="D73" s="299">
        <f>'[8]Econ. Disad.'!$AV73</f>
        <v>2732</v>
      </c>
      <c r="E73" s="299">
        <f>$D$1*D73</f>
        <v>601.04</v>
      </c>
      <c r="F73" s="299">
        <f>[8]CTE!$AV73</f>
        <v>1829.5</v>
      </c>
      <c r="G73" s="299">
        <f>$F$1*F73</f>
        <v>109.77</v>
      </c>
      <c r="H73" s="299">
        <f>[8]SWD!$AV73</f>
        <v>542</v>
      </c>
      <c r="I73" s="299">
        <f>$H$1*H73</f>
        <v>813</v>
      </c>
      <c r="J73" s="299">
        <f>[8]GT!$AV73</f>
        <v>484</v>
      </c>
      <c r="K73" s="299">
        <f>$J$1*J73</f>
        <v>290.39999999999998</v>
      </c>
      <c r="L73" s="299">
        <f t="shared" si="44"/>
        <v>2068</v>
      </c>
      <c r="M73" s="301">
        <f>ROUND(L73/$M$1,5)</f>
        <v>5.5149999999999998E-2</v>
      </c>
      <c r="N73" s="299">
        <f>C73*M73</f>
        <v>299.57479999999998</v>
      </c>
      <c r="O73" s="299">
        <f>E73+G73+I73+K73+N73</f>
        <v>2113.7847999999999</v>
      </c>
      <c r="P73" s="299">
        <f>O73+C73</f>
        <v>7545.7847999999994</v>
      </c>
      <c r="Q73" s="302">
        <f>$Q$1</f>
        <v>4015</v>
      </c>
      <c r="R73" s="302">
        <f>ROUND(P73*Q73,0)</f>
        <v>30296326</v>
      </c>
      <c r="S73" s="302">
        <f>'6_Local Deduct Calc'!J73</f>
        <v>8167417</v>
      </c>
      <c r="T73" s="302">
        <f>ROUND(IF((S73&gt;R73*$T$1),R73*$T$1,S73),0)</f>
        <v>8167417</v>
      </c>
      <c r="U73" s="303">
        <f>R73-T73</f>
        <v>22128909</v>
      </c>
      <c r="V73" s="304">
        <f>ROUND(U73/R73,4)</f>
        <v>0.73040000000000005</v>
      </c>
      <c r="W73" s="304">
        <f>ROUND(T73/R73,4)</f>
        <v>0.26960000000000001</v>
      </c>
      <c r="X73" s="305">
        <f t="shared" si="64"/>
        <v>1503.5745581737849</v>
      </c>
      <c r="Y73" s="302">
        <f>'7_Local Revenue'!AQ73</f>
        <v>31671678</v>
      </c>
      <c r="Z73" s="302">
        <f>IF(Y73-T73&gt;0,Y73-T73,0)</f>
        <v>23504261</v>
      </c>
      <c r="AA73" s="31">
        <f>IF(Y73-T73&lt;0,Y73-T73,0)</f>
        <v>0</v>
      </c>
      <c r="AB73" s="306">
        <f t="shared" si="49"/>
        <v>10300750.84</v>
      </c>
      <c r="AC73" s="306">
        <f>IF(Z73&lt;AB73,Z73,AB73)</f>
        <v>10300750.84</v>
      </c>
      <c r="AD73" s="302">
        <f>IF(AC73&gt;0,AC73*(W73*$AD$1),0)</f>
        <v>4776581.7735180799</v>
      </c>
      <c r="AE73" s="307">
        <f>ROUND(IF(AC73-AD73&gt;AC73*$AE$1,AC73-AD73,AC73*$AE$1),0)</f>
        <v>5524169</v>
      </c>
      <c r="AF73" s="306">
        <f t="shared" si="65"/>
        <v>1017</v>
      </c>
      <c r="AG73" s="308">
        <f>IF(AC73=0,0,ROUND(AE73/AC73,4))</f>
        <v>0.5363</v>
      </c>
      <c r="AH73" s="307">
        <f t="shared" si="53"/>
        <v>27653078</v>
      </c>
      <c r="AI73" s="306">
        <f t="shared" si="66"/>
        <v>5091</v>
      </c>
      <c r="AJ73" s="307">
        <f>'3A_Level 3'!J73</f>
        <v>920180</v>
      </c>
      <c r="AK73" s="306">
        <f t="shared" si="67"/>
        <v>169.39985272459498</v>
      </c>
      <c r="AL73" s="307">
        <f>AJ73+AH73</f>
        <v>28573258</v>
      </c>
      <c r="AM73" s="306">
        <f t="shared" si="68"/>
        <v>5260.1726804123709</v>
      </c>
      <c r="AN73" s="309">
        <f>'3A_Level 3'!K73</f>
        <v>4807374</v>
      </c>
      <c r="AO73" s="310">
        <f t="shared" si="69"/>
        <v>885.00994108983798</v>
      </c>
      <c r="AP73" s="307">
        <f>AH73+AN73</f>
        <v>32460452</v>
      </c>
      <c r="AQ73" s="306">
        <f t="shared" si="70"/>
        <v>5975.7827687776144</v>
      </c>
      <c r="AR73" s="306">
        <f>'3A_Level 3'!L73</f>
        <v>652570.95169355662</v>
      </c>
      <c r="AS73" s="1095">
        <f>AP73+AR73</f>
        <v>33113022.951693557</v>
      </c>
      <c r="AT73" s="306">
        <f t="shared" si="71"/>
        <v>6095.9173327860008</v>
      </c>
      <c r="AU73" s="308">
        <f>AS73/BA73</f>
        <v>0.64195925769565521</v>
      </c>
      <c r="AV73" s="311">
        <f>RANK(AU73,$AU$7:$AU$75)</f>
        <v>35</v>
      </c>
      <c r="AW73" s="306">
        <f t="shared" si="61"/>
        <v>18468167.84</v>
      </c>
      <c r="AX73" s="306">
        <f t="shared" si="72"/>
        <v>3399.88</v>
      </c>
      <c r="AY73" s="311">
        <f>RANK(AX73,$AX$7:$AX$75)</f>
        <v>43</v>
      </c>
      <c r="AZ73" s="308">
        <f>AW73/BA73</f>
        <v>0.35804074230434491</v>
      </c>
      <c r="BA73" s="312">
        <f>AS73+AW73</f>
        <v>51581190.791693553</v>
      </c>
      <c r="BB73" s="312">
        <f t="shared" si="73"/>
        <v>9495.8009557609639</v>
      </c>
      <c r="BC73" s="311">
        <f>RANK(BB73,$BB$7:$BB$75)</f>
        <v>44</v>
      </c>
    </row>
    <row r="74" spans="1:55" s="30" customFormat="1" ht="15.6" customHeight="1" x14ac:dyDescent="0.2">
      <c r="A74" s="683">
        <v>68</v>
      </c>
      <c r="B74" s="298" t="s">
        <v>1</v>
      </c>
      <c r="C74" s="298">
        <f>'8_2.1.19 SIS'!AV74</f>
        <v>1815</v>
      </c>
      <c r="D74" s="299">
        <f>'[8]Econ. Disad.'!$AV74</f>
        <v>1622</v>
      </c>
      <c r="E74" s="299">
        <f>$D$1*D74</f>
        <v>356.84</v>
      </c>
      <c r="F74" s="299">
        <f>[8]CTE!$AV74</f>
        <v>847.5</v>
      </c>
      <c r="G74" s="299">
        <f>$F$1*F74</f>
        <v>50.85</v>
      </c>
      <c r="H74" s="299">
        <f>[8]SWD!$AV74</f>
        <v>206</v>
      </c>
      <c r="I74" s="299">
        <f>$H$1*H74</f>
        <v>309</v>
      </c>
      <c r="J74" s="299">
        <f>[8]GT!$AV74</f>
        <v>8</v>
      </c>
      <c r="K74" s="299">
        <f>$J$1*J74</f>
        <v>4.8</v>
      </c>
      <c r="L74" s="299">
        <f t="shared" si="44"/>
        <v>5685</v>
      </c>
      <c r="M74" s="301">
        <f>ROUND(L74/$M$1,5)</f>
        <v>0.15160000000000001</v>
      </c>
      <c r="N74" s="299">
        <f>C74*M74</f>
        <v>275.154</v>
      </c>
      <c r="O74" s="299">
        <f>E74+G74+I74+K74+N74</f>
        <v>996.64400000000001</v>
      </c>
      <c r="P74" s="299">
        <f>O74+C74</f>
        <v>2811.6440000000002</v>
      </c>
      <c r="Q74" s="302">
        <f>$Q$1</f>
        <v>4015</v>
      </c>
      <c r="R74" s="302">
        <f>ROUND(P74*Q74,0)</f>
        <v>11288751</v>
      </c>
      <c r="S74" s="302">
        <f>'6_Local Deduct Calc'!J74</f>
        <v>2034737</v>
      </c>
      <c r="T74" s="302">
        <f>ROUND(IF((S74&gt;R74*$T$1),R74*$T$1,S74),0)</f>
        <v>2034737</v>
      </c>
      <c r="U74" s="303">
        <f>R74-T74</f>
        <v>9254014</v>
      </c>
      <c r="V74" s="304">
        <f>ROUND(U74/R74,4)</f>
        <v>0.81979999999999997</v>
      </c>
      <c r="W74" s="304">
        <f>ROUND(T74/R74,4)</f>
        <v>0.1802</v>
      </c>
      <c r="X74" s="305">
        <f t="shared" si="64"/>
        <v>1121.067217630854</v>
      </c>
      <c r="Y74" s="302">
        <f>'7_Local Revenue'!AQ74</f>
        <v>5516960</v>
      </c>
      <c r="Z74" s="302">
        <f>IF(Y74-T74&gt;0,Y74-T74,0)</f>
        <v>3482223</v>
      </c>
      <c r="AA74" s="31">
        <f>IF(Y74-T74&lt;0,Y74-T74,0)</f>
        <v>0</v>
      </c>
      <c r="AB74" s="306">
        <f t="shared" si="49"/>
        <v>3838175.3400000003</v>
      </c>
      <c r="AC74" s="306">
        <f>IF(Z74&lt;AB74,Z74,AB74)</f>
        <v>3482223</v>
      </c>
      <c r="AD74" s="302">
        <f>IF(AC74&gt;0,AC74*(W74*$AD$1),0)</f>
        <v>1079294.1255119999</v>
      </c>
      <c r="AE74" s="307">
        <f>ROUND(IF(AC74-AD74&gt;AC74*$AE$1,AC74-AD74,AC74*$AE$1),0)</f>
        <v>2402929</v>
      </c>
      <c r="AF74" s="306">
        <f t="shared" si="65"/>
        <v>1324</v>
      </c>
      <c r="AG74" s="308">
        <f>IF(AC74=0,0,ROUND(AE74/AC74,4))</f>
        <v>0.69010000000000005</v>
      </c>
      <c r="AH74" s="307">
        <f t="shared" si="53"/>
        <v>11656943</v>
      </c>
      <c r="AI74" s="306">
        <f t="shared" si="66"/>
        <v>6423</v>
      </c>
      <c r="AJ74" s="307">
        <f>'3A_Level 3'!J74</f>
        <v>307461</v>
      </c>
      <c r="AK74" s="306">
        <f t="shared" si="67"/>
        <v>169.4</v>
      </c>
      <c r="AL74" s="307">
        <f>AJ74+AH74</f>
        <v>11964404</v>
      </c>
      <c r="AM74" s="306">
        <f t="shared" si="68"/>
        <v>6591.9581267217627</v>
      </c>
      <c r="AN74" s="309">
        <f>'3A_Level 3'!K74</f>
        <v>1757102</v>
      </c>
      <c r="AO74" s="310">
        <f t="shared" si="69"/>
        <v>968.10027548209371</v>
      </c>
      <c r="AP74" s="307">
        <f>AH74+AN74</f>
        <v>13414045</v>
      </c>
      <c r="AQ74" s="306">
        <f t="shared" si="70"/>
        <v>7390.6584022038569</v>
      </c>
      <c r="AR74" s="306">
        <f>'3A_Level 3'!L74</f>
        <v>264482.80233350373</v>
      </c>
      <c r="AS74" s="1095">
        <f>AP74+AR74</f>
        <v>13678527.802333504</v>
      </c>
      <c r="AT74" s="306">
        <f t="shared" si="71"/>
        <v>7536.3789544537212</v>
      </c>
      <c r="AU74" s="308">
        <f>AS74/BA74</f>
        <v>0.7125907892098825</v>
      </c>
      <c r="AV74" s="311">
        <f>RANK(AU74,$AU$7:$AU$75)</f>
        <v>11</v>
      </c>
      <c r="AW74" s="306">
        <f t="shared" si="61"/>
        <v>5516960</v>
      </c>
      <c r="AX74" s="306">
        <f t="shared" si="72"/>
        <v>3039.65</v>
      </c>
      <c r="AY74" s="311">
        <f>RANK(AX74,$AX$7:$AX$75)</f>
        <v>52</v>
      </c>
      <c r="AZ74" s="308">
        <f>AW74/BA74</f>
        <v>0.28740921079011755</v>
      </c>
      <c r="BA74" s="312">
        <f>AS74+AW74</f>
        <v>19195487.802333504</v>
      </c>
      <c r="BB74" s="312">
        <f t="shared" si="73"/>
        <v>10576.026337373831</v>
      </c>
      <c r="BC74" s="311">
        <f>RANK(BB74,$BB$7:$BB$75)</f>
        <v>7</v>
      </c>
    </row>
    <row r="75" spans="1:55" s="30" customFormat="1" ht="15.6" customHeight="1" x14ac:dyDescent="0.2">
      <c r="A75" s="683">
        <v>69</v>
      </c>
      <c r="B75" s="298" t="s">
        <v>74</v>
      </c>
      <c r="C75" s="298">
        <f>'8_2.1.19 SIS'!AV75</f>
        <v>4714</v>
      </c>
      <c r="D75" s="299">
        <f>'[8]Econ. Disad.'!$AV75</f>
        <v>2226</v>
      </c>
      <c r="E75" s="299">
        <f>$D$1*D75</f>
        <v>489.72</v>
      </c>
      <c r="F75" s="299">
        <f>[8]CTE!$AV75</f>
        <v>2315.5</v>
      </c>
      <c r="G75" s="299">
        <f>$F$1*F75</f>
        <v>138.93</v>
      </c>
      <c r="H75" s="299">
        <f>[8]SWD!$AV75</f>
        <v>417</v>
      </c>
      <c r="I75" s="299">
        <f>$H$1*H75</f>
        <v>625.5</v>
      </c>
      <c r="J75" s="299">
        <f>[8]GT!$AV75</f>
        <v>421</v>
      </c>
      <c r="K75" s="299">
        <f>$J$1*J75</f>
        <v>252.6</v>
      </c>
      <c r="L75" s="299">
        <f t="shared" si="44"/>
        <v>2786</v>
      </c>
      <c r="M75" s="301">
        <f>ROUND(L75/$M$1,5)</f>
        <v>7.4289999999999995E-2</v>
      </c>
      <c r="N75" s="299">
        <f>C75*M75</f>
        <v>350.20305999999999</v>
      </c>
      <c r="O75" s="299">
        <f>E75+G75+I75+K75+N75</f>
        <v>1856.9530600000001</v>
      </c>
      <c r="P75" s="299">
        <f>O75+C75</f>
        <v>6570.9530599999998</v>
      </c>
      <c r="Q75" s="302">
        <f>$Q$1</f>
        <v>4015</v>
      </c>
      <c r="R75" s="302">
        <f>ROUND(P75*Q75,0)</f>
        <v>26382377</v>
      </c>
      <c r="S75" s="302">
        <f>'6_Local Deduct Calc'!J75</f>
        <v>4743374</v>
      </c>
      <c r="T75" s="302">
        <f>ROUND(IF((S75&gt;R75*$T$1),R75*$T$1,S75),0)</f>
        <v>4743374</v>
      </c>
      <c r="U75" s="303">
        <f>R75-T75</f>
        <v>21639003</v>
      </c>
      <c r="V75" s="304">
        <f>ROUND(U75/R75,4)</f>
        <v>0.82020000000000004</v>
      </c>
      <c r="W75" s="304">
        <f>ROUND(T75/R75,4)</f>
        <v>0.17979999999999999</v>
      </c>
      <c r="X75" s="305">
        <f t="shared" si="64"/>
        <v>1006.2312261349173</v>
      </c>
      <c r="Y75" s="302">
        <f>'7_Local Revenue'!AQ75</f>
        <v>17920848</v>
      </c>
      <c r="Z75" s="302">
        <f>IF(Y75-T75&gt;0,Y75-T75,0)</f>
        <v>13177474</v>
      </c>
      <c r="AA75" s="31">
        <f>IF(Y75-T75&lt;0,Y75-T75,0)</f>
        <v>0</v>
      </c>
      <c r="AB75" s="306">
        <f t="shared" si="49"/>
        <v>8970008.1800000016</v>
      </c>
      <c r="AC75" s="306">
        <f>IF(Z75&lt;AB75,Z75,AB75)</f>
        <v>8970008.1800000016</v>
      </c>
      <c r="AD75" s="302">
        <f>IF(AC75&gt;0,AC75*(W75*$AD$1),0)</f>
        <v>2774028.8497140803</v>
      </c>
      <c r="AE75" s="307">
        <f>ROUND(IF(AC75-AD75&gt;AC75*$AE$1,AC75-AD75,AC75*$AE$1),0)</f>
        <v>6195979</v>
      </c>
      <c r="AF75" s="306">
        <f t="shared" si="65"/>
        <v>1314</v>
      </c>
      <c r="AG75" s="308">
        <f>IF(AC75=0,0,ROUND(AE75/AC75,4))</f>
        <v>0.69069999999999998</v>
      </c>
      <c r="AH75" s="307">
        <f t="shared" si="53"/>
        <v>27834982</v>
      </c>
      <c r="AI75" s="306">
        <f t="shared" si="66"/>
        <v>5905</v>
      </c>
      <c r="AJ75" s="307">
        <f>'3A_Level 3'!J75</f>
        <v>798551</v>
      </c>
      <c r="AK75" s="306">
        <f t="shared" si="67"/>
        <v>169.39987271955877</v>
      </c>
      <c r="AL75" s="307">
        <f>AJ75+AH75</f>
        <v>28633533</v>
      </c>
      <c r="AM75" s="306">
        <f t="shared" si="68"/>
        <v>6074.1478574459061</v>
      </c>
      <c r="AN75" s="309">
        <f>'3A_Level 3'!K75</f>
        <v>4125079</v>
      </c>
      <c r="AO75" s="310">
        <f t="shared" si="69"/>
        <v>875.06979210861266</v>
      </c>
      <c r="AP75" s="307">
        <f>AH75+AN75</f>
        <v>31960061</v>
      </c>
      <c r="AQ75" s="306">
        <f t="shared" si="70"/>
        <v>6779.8177768349597</v>
      </c>
      <c r="AR75" s="306">
        <f>'3A_Level 3'!L75</f>
        <v>518387.32920879655</v>
      </c>
      <c r="AS75" s="1095">
        <f>AP75+AR75</f>
        <v>32478448.329208795</v>
      </c>
      <c r="AT75" s="306">
        <f t="shared" si="71"/>
        <v>6889.7853901588451</v>
      </c>
      <c r="AU75" s="308">
        <f>AS75/BA75</f>
        <v>0.70312104913733386</v>
      </c>
      <c r="AV75" s="311">
        <f>RANK(AU75,$AU$7:$AU$75)</f>
        <v>13</v>
      </c>
      <c r="AW75" s="306">
        <f t="shared" si="61"/>
        <v>13713382.18</v>
      </c>
      <c r="AX75" s="306">
        <f t="shared" si="72"/>
        <v>2909.08</v>
      </c>
      <c r="AY75" s="311">
        <f>RANK(AX75,$AX$7:$AX$75)</f>
        <v>55</v>
      </c>
      <c r="AZ75" s="308">
        <f>AW75/BA75</f>
        <v>0.29687895086266608</v>
      </c>
      <c r="BA75" s="312">
        <f>AS75+AW75</f>
        <v>46191830.509208798</v>
      </c>
      <c r="BB75" s="312">
        <f t="shared" si="73"/>
        <v>9798.8609480714458</v>
      </c>
      <c r="BC75" s="311">
        <f>RANK(BB75,$BB$7:$BB$75)</f>
        <v>29</v>
      </c>
    </row>
    <row r="76" spans="1:55" s="35" customFormat="1" ht="15.6" customHeight="1" thickBot="1" x14ac:dyDescent="0.25">
      <c r="A76" s="512"/>
      <c r="B76" s="511" t="s">
        <v>4</v>
      </c>
      <c r="C76" s="697">
        <f>SUM(C7:C75)</f>
        <v>681088</v>
      </c>
      <c r="D76" s="697">
        <f>SUM(D7:D75)</f>
        <v>473593</v>
      </c>
      <c r="E76" s="697">
        <f t="shared" ref="E76:L76" si="74">SUM(E7:E75)</f>
        <v>104190.46000000002</v>
      </c>
      <c r="F76" s="697">
        <f t="shared" si="74"/>
        <v>301485</v>
      </c>
      <c r="G76" s="697">
        <f t="shared" si="74"/>
        <v>18089.099999999995</v>
      </c>
      <c r="H76" s="697">
        <f t="shared" si="74"/>
        <v>91566</v>
      </c>
      <c r="I76" s="697">
        <f t="shared" si="74"/>
        <v>137349</v>
      </c>
      <c r="J76" s="697">
        <f t="shared" si="74"/>
        <v>28827</v>
      </c>
      <c r="K76" s="697">
        <f t="shared" si="74"/>
        <v>17296.199999999997</v>
      </c>
      <c r="L76" s="697">
        <f t="shared" si="74"/>
        <v>185948</v>
      </c>
      <c r="M76" s="697"/>
      <c r="N76" s="697">
        <f>SUM(N7:N75)</f>
        <v>13127.533160000003</v>
      </c>
      <c r="O76" s="697">
        <f>SUM(O7:O75)</f>
        <v>290052.29315999994</v>
      </c>
      <c r="P76" s="697">
        <f>SUM(P7:P75)</f>
        <v>971140.29316</v>
      </c>
      <c r="Q76" s="37">
        <f>$Q$1</f>
        <v>4015</v>
      </c>
      <c r="R76" s="37">
        <f>SUM(R7:R75)</f>
        <v>3899128274</v>
      </c>
      <c r="S76" s="37">
        <f>SUM(S7:S75)</f>
        <v>1367802226</v>
      </c>
      <c r="T76" s="37">
        <f>SUM(T7:T75)</f>
        <v>1364760176</v>
      </c>
      <c r="U76" s="698">
        <f>SUM(U7:U75)</f>
        <v>2534368098</v>
      </c>
      <c r="V76" s="699">
        <f>ROUND(U76/R76,4)</f>
        <v>0.65</v>
      </c>
      <c r="W76" s="699">
        <f>ROUND(T76/R76,4)</f>
        <v>0.35</v>
      </c>
      <c r="X76" s="700">
        <f t="shared" si="64"/>
        <v>2003.7941881225333</v>
      </c>
      <c r="Y76" s="37">
        <f t="shared" ref="Y76:AE76" si="75">SUM(Y7:Y75)</f>
        <v>3696638618.3699999</v>
      </c>
      <c r="Z76" s="37">
        <f t="shared" si="75"/>
        <v>2330235377.3699999</v>
      </c>
      <c r="AA76" s="37">
        <f t="shared" si="75"/>
        <v>0</v>
      </c>
      <c r="AB76" s="37">
        <f t="shared" si="75"/>
        <v>1325703613.1599996</v>
      </c>
      <c r="AC76" s="37">
        <f t="shared" si="75"/>
        <v>1263936193.0999997</v>
      </c>
      <c r="AD76" s="37">
        <f t="shared" si="75"/>
        <v>776085318.10357738</v>
      </c>
      <c r="AE76" s="701">
        <f t="shared" si="75"/>
        <v>495848650</v>
      </c>
      <c r="AF76" s="702">
        <f t="shared" si="65"/>
        <v>728</v>
      </c>
      <c r="AG76" s="703">
        <f>IF(AC76=0,0,ROUND(AE76/AC76,4))</f>
        <v>0.39229999999999998</v>
      </c>
      <c r="AH76" s="701">
        <f>SUM(AH7:AH75)</f>
        <v>3030216748</v>
      </c>
      <c r="AI76" s="702">
        <f t="shared" si="66"/>
        <v>4449</v>
      </c>
      <c r="AJ76" s="701">
        <f>SUM(AJ7:AJ75)</f>
        <v>144901731</v>
      </c>
      <c r="AK76" s="702">
        <f t="shared" si="67"/>
        <v>212.75038027391469</v>
      </c>
      <c r="AL76" s="701">
        <f>SUM(AL7:AL75)</f>
        <v>3175118479</v>
      </c>
      <c r="AM76" s="702">
        <f t="shared" si="68"/>
        <v>4661.8329481652881</v>
      </c>
      <c r="AN76" s="701">
        <f>SUM(AN7:AN75)</f>
        <v>625861826</v>
      </c>
      <c r="AO76" s="702">
        <f t="shared" si="69"/>
        <v>918.91477459594057</v>
      </c>
      <c r="AP76" s="701">
        <f>SUM(AP7:AP75)</f>
        <v>3656078574</v>
      </c>
      <c r="AQ76" s="702">
        <f t="shared" si="70"/>
        <v>5367.9973424873142</v>
      </c>
      <c r="AR76" s="702">
        <f>SUM(AR7:AR75)</f>
        <v>99128929</v>
      </c>
      <c r="AS76" s="1097">
        <f>SUM(AS7:AS75)</f>
        <v>3755207503.0000005</v>
      </c>
      <c r="AT76" s="702">
        <f t="shared" si="71"/>
        <v>5513.5423073083075</v>
      </c>
      <c r="AU76" s="703">
        <f>AS76/BA76</f>
        <v>0.58823058401797579</v>
      </c>
      <c r="AV76" s="702"/>
      <c r="AW76" s="702">
        <f>SUM(AW7:AW75)</f>
        <v>2628696369.0999994</v>
      </c>
      <c r="AX76" s="702">
        <f t="shared" si="72"/>
        <v>3859.55</v>
      </c>
      <c r="AY76" s="702"/>
      <c r="AZ76" s="703">
        <f>AW76/BA76</f>
        <v>0.4117694159820241</v>
      </c>
      <c r="BA76" s="702">
        <f>SUM(BA7:BA75)</f>
        <v>6383903872.1000004</v>
      </c>
      <c r="BB76" s="37">
        <f t="shared" si="73"/>
        <v>9373.0969743997848</v>
      </c>
      <c r="BC76" s="702"/>
    </row>
    <row r="77" spans="1:5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C2:AC3"/>
    <mergeCell ref="AK2:AK3"/>
    <mergeCell ref="AR2:AR3"/>
    <mergeCell ref="AS2:AS3"/>
    <mergeCell ref="AN2:AN3"/>
    <mergeCell ref="AO2:AO3"/>
    <mergeCell ref="AP2:AP3"/>
    <mergeCell ref="AQ2:AQ3"/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</mergeCells>
  <phoneticPr fontId="0" type="noConversion"/>
  <conditionalFormatting sqref="T7:T75">
    <cfRule type="expression" dxfId="70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FY2019-20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485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10095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2579</v>
      </c>
      <c r="AM7" s="128"/>
      <c r="AN7" s="125"/>
      <c r="AO7" s="118">
        <v>0</v>
      </c>
      <c r="AP7" s="125"/>
      <c r="AQ7" s="126"/>
      <c r="AR7" s="126"/>
      <c r="AS7" s="125">
        <v>-227</v>
      </c>
      <c r="AT7" s="779">
        <v>7275</v>
      </c>
      <c r="AU7" s="780">
        <v>-730</v>
      </c>
      <c r="AV7" s="344"/>
      <c r="AW7" s="119">
        <v>13</v>
      </c>
      <c r="AX7" s="119">
        <v>6</v>
      </c>
      <c r="AY7" s="119">
        <v>-7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412669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244464</v>
      </c>
      <c r="AM29" s="147"/>
      <c r="AN29" s="144"/>
      <c r="AO29" s="136">
        <v>0</v>
      </c>
      <c r="AP29" s="144"/>
      <c r="AQ29" s="145"/>
      <c r="AR29" s="145"/>
      <c r="AS29" s="144">
        <v>17488</v>
      </c>
      <c r="AT29" s="781">
        <v>625353</v>
      </c>
      <c r="AU29" s="782">
        <v>44257</v>
      </c>
      <c r="AV29" s="344"/>
      <c r="AW29" s="137">
        <v>654</v>
      </c>
      <c r="AX29" s="137">
        <v>611</v>
      </c>
      <c r="AY29" s="137">
        <v>-43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3006805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4319996</v>
      </c>
      <c r="AM34" s="147"/>
      <c r="AN34" s="144"/>
      <c r="AO34" s="136">
        <v>0</v>
      </c>
      <c r="AP34" s="144"/>
      <c r="AQ34" s="145"/>
      <c r="AR34" s="145"/>
      <c r="AS34" s="144">
        <v>386206</v>
      </c>
      <c r="AT34" s="781">
        <v>7285095</v>
      </c>
      <c r="AU34" s="782">
        <v>630299</v>
      </c>
      <c r="AV34" s="344"/>
      <c r="AW34" s="137">
        <v>10392</v>
      </c>
      <c r="AX34" s="137">
        <v>10800</v>
      </c>
      <c r="AY34" s="137">
        <v>408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5006</v>
      </c>
      <c r="AM35" s="147"/>
      <c r="AN35" s="144"/>
      <c r="AO35" s="136">
        <v>0</v>
      </c>
      <c r="AP35" s="144"/>
      <c r="AQ35" s="145"/>
      <c r="AR35" s="145"/>
      <c r="AS35" s="144">
        <v>1248</v>
      </c>
      <c r="AT35" s="781">
        <v>9263</v>
      </c>
      <c r="AU35" s="782">
        <v>2316</v>
      </c>
      <c r="AV35" s="344"/>
      <c r="AW35" s="137">
        <v>0</v>
      </c>
      <c r="AX35" s="137">
        <v>13</v>
      </c>
      <c r="AY35" s="137">
        <v>13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2491</v>
      </c>
      <c r="AM36" s="162"/>
      <c r="AN36" s="159"/>
      <c r="AO36" s="150">
        <v>0</v>
      </c>
      <c r="AP36" s="159"/>
      <c r="AQ36" s="160"/>
      <c r="AR36" s="160"/>
      <c r="AS36" s="159">
        <v>621</v>
      </c>
      <c r="AT36" s="783">
        <v>5162</v>
      </c>
      <c r="AU36" s="784">
        <v>1290</v>
      </c>
      <c r="AV36" s="344"/>
      <c r="AW36" s="151">
        <v>0</v>
      </c>
      <c r="AX36" s="151">
        <v>6</v>
      </c>
      <c r="AY36" s="151">
        <v>6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2099</v>
      </c>
      <c r="AM46" s="162"/>
      <c r="AN46" s="159"/>
      <c r="AO46" s="150">
        <v>0</v>
      </c>
      <c r="AP46" s="159"/>
      <c r="AQ46" s="160"/>
      <c r="AR46" s="160"/>
      <c r="AS46" s="159">
        <v>524</v>
      </c>
      <c r="AT46" s="783">
        <v>4542</v>
      </c>
      <c r="AU46" s="784">
        <v>1136</v>
      </c>
      <c r="AV46" s="344"/>
      <c r="AW46" s="151">
        <v>0</v>
      </c>
      <c r="AX46" s="151">
        <v>5</v>
      </c>
      <c r="AY46" s="151">
        <v>5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4742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9786</v>
      </c>
      <c r="AM55" s="147"/>
      <c r="AN55" s="144"/>
      <c r="AO55" s="136">
        <v>0</v>
      </c>
      <c r="AP55" s="144"/>
      <c r="AQ55" s="145"/>
      <c r="AR55" s="145"/>
      <c r="AS55" s="144">
        <v>1982</v>
      </c>
      <c r="AT55" s="781">
        <v>34931</v>
      </c>
      <c r="AU55" s="782">
        <v>7486</v>
      </c>
      <c r="AV55" s="344"/>
      <c r="AW55" s="137">
        <v>7</v>
      </c>
      <c r="AX55" s="137">
        <v>24</v>
      </c>
      <c r="AY55" s="137">
        <v>17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233803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195177</v>
      </c>
      <c r="AM56" s="162"/>
      <c r="AN56" s="159"/>
      <c r="AO56" s="150">
        <v>0</v>
      </c>
      <c r="AP56" s="159"/>
      <c r="AQ56" s="160"/>
      <c r="AR56" s="160"/>
      <c r="AS56" s="159">
        <v>21978</v>
      </c>
      <c r="AT56" s="783">
        <v>463783</v>
      </c>
      <c r="AU56" s="784">
        <v>50382</v>
      </c>
      <c r="AV56" s="344"/>
      <c r="AW56" s="151">
        <v>401</v>
      </c>
      <c r="AX56" s="151">
        <v>488</v>
      </c>
      <c r="AY56" s="151">
        <v>87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3978</v>
      </c>
      <c r="AM61" s="162"/>
      <c r="AN61" s="159"/>
      <c r="AO61" s="150">
        <v>0</v>
      </c>
      <c r="AP61" s="159"/>
      <c r="AQ61" s="160"/>
      <c r="AR61" s="160"/>
      <c r="AS61" s="159">
        <v>992</v>
      </c>
      <c r="AT61" s="783">
        <v>8451</v>
      </c>
      <c r="AU61" s="784">
        <v>2113</v>
      </c>
      <c r="AV61" s="344"/>
      <c r="AW61" s="151">
        <v>0</v>
      </c>
      <c r="AX61" s="151">
        <v>10</v>
      </c>
      <c r="AY61" s="151">
        <v>10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138085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65025</v>
      </c>
      <c r="AM63" s="147"/>
      <c r="AN63" s="144"/>
      <c r="AO63" s="136">
        <v>0</v>
      </c>
      <c r="AP63" s="144"/>
      <c r="AQ63" s="145"/>
      <c r="AR63" s="145"/>
      <c r="AS63" s="144">
        <v>4802</v>
      </c>
      <c r="AT63" s="781">
        <v>205418</v>
      </c>
      <c r="AU63" s="782">
        <v>16985</v>
      </c>
      <c r="AV63" s="344"/>
      <c r="AW63" s="137">
        <v>172</v>
      </c>
      <c r="AX63" s="137">
        <v>163</v>
      </c>
      <c r="AY63" s="137">
        <v>-9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892</v>
      </c>
      <c r="D76" s="1022">
        <v>4255.7718143692655</v>
      </c>
      <c r="E76" s="1023">
        <v>3345456.1438638023</v>
      </c>
      <c r="F76" s="1024">
        <v>367</v>
      </c>
      <c r="G76" s="1025">
        <v>569.60967937788098</v>
      </c>
      <c r="H76" s="1026">
        <v>191515.10902041494</v>
      </c>
      <c r="I76" s="1024">
        <v>184</v>
      </c>
      <c r="J76" s="1025">
        <v>158.62710748085348</v>
      </c>
      <c r="K76" s="1026">
        <v>25710.514294098812</v>
      </c>
      <c r="L76" s="1024">
        <v>53</v>
      </c>
      <c r="M76" s="1025">
        <v>3935.2023104669443</v>
      </c>
      <c r="N76" s="1026">
        <v>187787.65634943804</v>
      </c>
      <c r="O76" s="1024">
        <v>41</v>
      </c>
      <c r="P76" s="1025">
        <v>1525.492171506211</v>
      </c>
      <c r="Q76" s="1026">
        <v>55728.89912180986</v>
      </c>
      <c r="R76" s="1027">
        <v>3806199</v>
      </c>
      <c r="S76" s="1025">
        <v>20863</v>
      </c>
      <c r="T76" s="1025">
        <v>-6714</v>
      </c>
      <c r="U76" s="1028">
        <v>14149</v>
      </c>
      <c r="V76" s="1027">
        <v>3820348</v>
      </c>
      <c r="W76" s="1026">
        <v>-9550</v>
      </c>
      <c r="X76" s="1027">
        <v>3810798</v>
      </c>
      <c r="Y76" s="1026">
        <v>0</v>
      </c>
      <c r="Z76" s="1027">
        <v>3810798</v>
      </c>
      <c r="AA76" s="1025">
        <v>2531120</v>
      </c>
      <c r="AB76" s="1025">
        <v>1279678</v>
      </c>
      <c r="AC76" s="1027">
        <v>319920</v>
      </c>
      <c r="AD76" s="1029">
        <v>3810798</v>
      </c>
      <c r="AE76" s="1025">
        <v>5423</v>
      </c>
      <c r="AF76" s="1030">
        <v>4838691</v>
      </c>
      <c r="AG76" s="1024">
        <v>4</v>
      </c>
      <c r="AH76" s="1025">
        <v>6900</v>
      </c>
      <c r="AI76" s="1024">
        <v>0</v>
      </c>
      <c r="AJ76" s="1025">
        <v>5010</v>
      </c>
      <c r="AK76" s="1028">
        <v>11910</v>
      </c>
      <c r="AL76" s="1030">
        <v>4850601</v>
      </c>
      <c r="AM76" s="1025">
        <v>-12126</v>
      </c>
      <c r="AN76" s="1030">
        <v>4838475</v>
      </c>
      <c r="AO76" s="1025">
        <v>0</v>
      </c>
      <c r="AP76" s="1030">
        <v>4838475</v>
      </c>
      <c r="AQ76" s="1025">
        <v>3096020</v>
      </c>
      <c r="AR76" s="1025">
        <v>1742455</v>
      </c>
      <c r="AS76" s="1030">
        <v>435614</v>
      </c>
      <c r="AT76" s="787">
        <v>8649273</v>
      </c>
      <c r="AU76" s="787">
        <v>755534</v>
      </c>
      <c r="AV76" s="516"/>
      <c r="AW76" s="165">
        <v>11639</v>
      </c>
      <c r="AX76" s="165">
        <v>12126</v>
      </c>
      <c r="AY76" s="165">
        <v>487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90224</v>
      </c>
      <c r="S77" s="975"/>
      <c r="T77" s="975"/>
      <c r="U77" s="975"/>
      <c r="V77" s="976">
        <v>90224</v>
      </c>
      <c r="W77" s="1018">
        <v>-226</v>
      </c>
      <c r="X77" s="976">
        <v>89998</v>
      </c>
      <c r="Y77" s="975"/>
      <c r="Z77" s="976">
        <v>89998</v>
      </c>
      <c r="AA77" s="975">
        <v>60904</v>
      </c>
      <c r="AB77" s="975">
        <v>29094</v>
      </c>
      <c r="AC77" s="976">
        <v>7274</v>
      </c>
      <c r="AD77" s="1020">
        <v>89998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89998</v>
      </c>
      <c r="AU77" s="1179">
        <v>7274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11210</v>
      </c>
      <c r="AA83" s="156">
        <v>7472</v>
      </c>
      <c r="AB83" s="795">
        <v>3738</v>
      </c>
      <c r="AC83" s="157">
        <v>935</v>
      </c>
      <c r="AD83" s="157">
        <v>11210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11210</v>
      </c>
      <c r="AU83" s="796">
        <v>935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892</v>
      </c>
      <c r="D84" s="1022">
        <v>4255.7718143692655</v>
      </c>
      <c r="E84" s="1023">
        <v>3345456.1438638023</v>
      </c>
      <c r="F84" s="1024">
        <v>367</v>
      </c>
      <c r="G84" s="1025">
        <v>569.60967937788098</v>
      </c>
      <c r="H84" s="1026">
        <v>191515.10902041494</v>
      </c>
      <c r="I84" s="1024">
        <v>184</v>
      </c>
      <c r="J84" s="1025">
        <v>158.62710748085348</v>
      </c>
      <c r="K84" s="1026">
        <v>25710.514294098812</v>
      </c>
      <c r="L84" s="1024">
        <v>53</v>
      </c>
      <c r="M84" s="1025">
        <v>3935.2023104669443</v>
      </c>
      <c r="N84" s="1026">
        <v>187787.65634943804</v>
      </c>
      <c r="O84" s="1024">
        <v>41</v>
      </c>
      <c r="P84" s="1025">
        <v>1525.492171506211</v>
      </c>
      <c r="Q84" s="1026">
        <v>55728.89912180986</v>
      </c>
      <c r="R84" s="1027">
        <v>3896423</v>
      </c>
      <c r="S84" s="1025">
        <v>20863</v>
      </c>
      <c r="T84" s="1025">
        <v>-6714</v>
      </c>
      <c r="U84" s="1028">
        <v>14149</v>
      </c>
      <c r="V84" s="1027">
        <v>3910572</v>
      </c>
      <c r="W84" s="1026">
        <v>-9776</v>
      </c>
      <c r="X84" s="1027">
        <v>3900796</v>
      </c>
      <c r="Y84" s="1026">
        <v>0</v>
      </c>
      <c r="Z84" s="1027">
        <v>3912006</v>
      </c>
      <c r="AA84" s="1025">
        <v>2599496</v>
      </c>
      <c r="AB84" s="1025">
        <v>1312510</v>
      </c>
      <c r="AC84" s="1027">
        <v>328129</v>
      </c>
      <c r="AD84" s="1029">
        <v>3912006</v>
      </c>
      <c r="AE84" s="1025">
        <v>5423</v>
      </c>
      <c r="AF84" s="1030">
        <v>4838691</v>
      </c>
      <c r="AG84" s="1024">
        <v>4</v>
      </c>
      <c r="AH84" s="1025">
        <v>6900</v>
      </c>
      <c r="AI84" s="1024">
        <v>0</v>
      </c>
      <c r="AJ84" s="1025">
        <v>5010</v>
      </c>
      <c r="AK84" s="1028">
        <v>11910</v>
      </c>
      <c r="AL84" s="1030">
        <v>4850601</v>
      </c>
      <c r="AM84" s="1025">
        <v>-12126</v>
      </c>
      <c r="AN84" s="1030">
        <v>4838475</v>
      </c>
      <c r="AO84" s="1025">
        <v>0</v>
      </c>
      <c r="AP84" s="1030">
        <v>4838475</v>
      </c>
      <c r="AQ84" s="1025">
        <v>3096020</v>
      </c>
      <c r="AR84" s="1025">
        <v>1742455</v>
      </c>
      <c r="AS84" s="1030">
        <v>435614</v>
      </c>
      <c r="AT84" s="787">
        <v>8750481</v>
      </c>
      <c r="AU84" s="787">
        <v>763743</v>
      </c>
      <c r="AV84" s="516"/>
      <c r="AW84" s="165">
        <v>11639</v>
      </c>
      <c r="AX84" s="165">
        <v>12126</v>
      </c>
      <c r="AY84" s="165">
        <v>487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460</v>
      </c>
    </row>
    <row r="92" spans="1:52" x14ac:dyDescent="0.2">
      <c r="B92" s="857" t="s">
        <v>1462</v>
      </c>
    </row>
    <row r="93" spans="1:52" x14ac:dyDescent="0.2">
      <c r="B93" s="857" t="s">
        <v>1154</v>
      </c>
    </row>
    <row r="94" spans="1:52" x14ac:dyDescent="0.2">
      <c r="B94" s="857" t="s">
        <v>1484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486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132986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42554</v>
      </c>
      <c r="AM7" s="128"/>
      <c r="AN7" s="125"/>
      <c r="AO7" s="118">
        <v>1241</v>
      </c>
      <c r="AP7" s="125"/>
      <c r="AQ7" s="126"/>
      <c r="AR7" s="126"/>
      <c r="AS7" s="125">
        <v>708</v>
      </c>
      <c r="AT7" s="779">
        <v>147541</v>
      </c>
      <c r="AU7" s="780">
        <v>4122</v>
      </c>
      <c r="AV7" s="344"/>
      <c r="AW7" s="119">
        <v>150</v>
      </c>
      <c r="AX7" s="119">
        <v>106</v>
      </c>
      <c r="AY7" s="119">
        <v>-44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9934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12964</v>
      </c>
      <c r="AM29" s="147"/>
      <c r="AN29" s="144"/>
      <c r="AO29" s="136">
        <v>0</v>
      </c>
      <c r="AP29" s="144"/>
      <c r="AQ29" s="145"/>
      <c r="AR29" s="145"/>
      <c r="AS29" s="144">
        <v>2629</v>
      </c>
      <c r="AT29" s="781">
        <v>41556</v>
      </c>
      <c r="AU29" s="782">
        <v>8133</v>
      </c>
      <c r="AV29" s="344"/>
      <c r="AW29" s="137">
        <v>9</v>
      </c>
      <c r="AX29" s="137">
        <v>32</v>
      </c>
      <c r="AY29" s="137">
        <v>23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3151583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4725085</v>
      </c>
      <c r="AM34" s="147"/>
      <c r="AN34" s="144"/>
      <c r="AO34" s="136">
        <v>0</v>
      </c>
      <c r="AP34" s="144"/>
      <c r="AQ34" s="145"/>
      <c r="AR34" s="145"/>
      <c r="AS34" s="144">
        <v>495530</v>
      </c>
      <c r="AT34" s="781">
        <v>8197224</v>
      </c>
      <c r="AU34" s="782">
        <v>842528</v>
      </c>
      <c r="AV34" s="344"/>
      <c r="AW34" s="137">
        <v>10268</v>
      </c>
      <c r="AX34" s="137">
        <v>11813</v>
      </c>
      <c r="AY34" s="137">
        <v>1545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496350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254436</v>
      </c>
      <c r="AM55" s="147"/>
      <c r="AN55" s="144"/>
      <c r="AO55" s="136">
        <v>0</v>
      </c>
      <c r="AP55" s="144"/>
      <c r="AQ55" s="145"/>
      <c r="AR55" s="145"/>
      <c r="AS55" s="144">
        <v>21266</v>
      </c>
      <c r="AT55" s="781">
        <v>751432</v>
      </c>
      <c r="AU55" s="782">
        <v>63156</v>
      </c>
      <c r="AV55" s="344"/>
      <c r="AW55" s="137">
        <v>634</v>
      </c>
      <c r="AX55" s="137">
        <v>636</v>
      </c>
      <c r="AY55" s="137">
        <v>2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242253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166475</v>
      </c>
      <c r="AM56" s="162"/>
      <c r="AN56" s="159"/>
      <c r="AO56" s="150">
        <v>0</v>
      </c>
      <c r="AP56" s="159"/>
      <c r="AQ56" s="160"/>
      <c r="AR56" s="160"/>
      <c r="AS56" s="159">
        <v>14201</v>
      </c>
      <c r="AT56" s="783">
        <v>398294</v>
      </c>
      <c r="AU56" s="784">
        <v>31985</v>
      </c>
      <c r="AV56" s="344"/>
      <c r="AW56" s="151">
        <v>411</v>
      </c>
      <c r="AX56" s="151">
        <v>416</v>
      </c>
      <c r="AY56" s="151">
        <v>5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2109</v>
      </c>
      <c r="AM62" s="128"/>
      <c r="AN62" s="125"/>
      <c r="AO62" s="118">
        <v>0</v>
      </c>
      <c r="AP62" s="125"/>
      <c r="AQ62" s="126"/>
      <c r="AR62" s="126"/>
      <c r="AS62" s="125">
        <v>526</v>
      </c>
      <c r="AT62" s="779">
        <v>4654</v>
      </c>
      <c r="AU62" s="780">
        <v>1164</v>
      </c>
      <c r="AV62" s="344"/>
      <c r="AW62" s="119">
        <v>0</v>
      </c>
      <c r="AX62" s="119">
        <v>5</v>
      </c>
      <c r="AY62" s="119">
        <v>5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37610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5202</v>
      </c>
      <c r="AM63" s="147"/>
      <c r="AN63" s="144"/>
      <c r="AO63" s="136">
        <v>0</v>
      </c>
      <c r="AP63" s="144"/>
      <c r="AQ63" s="145"/>
      <c r="AR63" s="145"/>
      <c r="AS63" s="144">
        <v>-1442</v>
      </c>
      <c r="AT63" s="781">
        <v>16158</v>
      </c>
      <c r="AU63" s="782">
        <v>-4952</v>
      </c>
      <c r="AV63" s="344"/>
      <c r="AW63" s="137">
        <v>41</v>
      </c>
      <c r="AX63" s="137">
        <v>13</v>
      </c>
      <c r="AY63" s="137">
        <v>-28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906</v>
      </c>
      <c r="D76" s="1022">
        <v>4255.7718143692655</v>
      </c>
      <c r="E76" s="1023">
        <v>3393935.22288353</v>
      </c>
      <c r="F76" s="1024">
        <v>725</v>
      </c>
      <c r="G76" s="1025">
        <v>569.60967937788098</v>
      </c>
      <c r="H76" s="1026">
        <v>371662.32019879163</v>
      </c>
      <c r="I76" s="1024">
        <v>299</v>
      </c>
      <c r="J76" s="1025">
        <v>158.62710748085348</v>
      </c>
      <c r="K76" s="1026">
        <v>42319.218368546266</v>
      </c>
      <c r="L76" s="1024">
        <v>68</v>
      </c>
      <c r="M76" s="1025">
        <v>3935.2023104669443</v>
      </c>
      <c r="N76" s="1026">
        <v>239467.66381767023</v>
      </c>
      <c r="O76" s="1024">
        <v>15</v>
      </c>
      <c r="P76" s="1025">
        <v>1525.492171506211</v>
      </c>
      <c r="Q76" s="1026">
        <v>23331.481760437713</v>
      </c>
      <c r="R76" s="1027">
        <v>4070716</v>
      </c>
      <c r="S76" s="1025">
        <v>323099</v>
      </c>
      <c r="T76" s="1025">
        <v>-25958</v>
      </c>
      <c r="U76" s="1028">
        <v>297141</v>
      </c>
      <c r="V76" s="1027">
        <v>4367857</v>
      </c>
      <c r="W76" s="1026">
        <v>-10919</v>
      </c>
      <c r="X76" s="1027">
        <v>4356938</v>
      </c>
      <c r="Y76" s="1026">
        <v>2876</v>
      </c>
      <c r="Z76" s="1027">
        <v>4359814</v>
      </c>
      <c r="AA76" s="1025">
        <v>2708946</v>
      </c>
      <c r="AB76" s="1025">
        <v>1650868</v>
      </c>
      <c r="AC76" s="1027">
        <v>412718</v>
      </c>
      <c r="AD76" s="1029">
        <v>4359814</v>
      </c>
      <c r="AE76" s="1025">
        <v>5423</v>
      </c>
      <c r="AF76" s="1030">
        <v>4786627</v>
      </c>
      <c r="AG76" s="1024">
        <v>73</v>
      </c>
      <c r="AH76" s="1025">
        <v>455366</v>
      </c>
      <c r="AI76" s="1024">
        <v>-11</v>
      </c>
      <c r="AJ76" s="1025">
        <v>-33168</v>
      </c>
      <c r="AK76" s="1028">
        <v>422198</v>
      </c>
      <c r="AL76" s="1030">
        <v>5208825</v>
      </c>
      <c r="AM76" s="1025">
        <v>-13021</v>
      </c>
      <c r="AN76" s="1030">
        <v>5195804</v>
      </c>
      <c r="AO76" s="1025">
        <v>1241</v>
      </c>
      <c r="AP76" s="1030">
        <v>5197045</v>
      </c>
      <c r="AQ76" s="1025">
        <v>3063376</v>
      </c>
      <c r="AR76" s="1025">
        <v>2133669</v>
      </c>
      <c r="AS76" s="1030">
        <v>533418</v>
      </c>
      <c r="AT76" s="787">
        <v>9556859</v>
      </c>
      <c r="AU76" s="787">
        <v>946136</v>
      </c>
      <c r="AV76" s="516"/>
      <c r="AW76" s="165">
        <v>11513</v>
      </c>
      <c r="AX76" s="165">
        <v>13021</v>
      </c>
      <c r="AY76" s="165">
        <v>1508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99468</v>
      </c>
      <c r="S77" s="975"/>
      <c r="T77" s="975"/>
      <c r="U77" s="975"/>
      <c r="V77" s="976">
        <v>99468</v>
      </c>
      <c r="W77" s="1018">
        <v>-249</v>
      </c>
      <c r="X77" s="976">
        <v>99219</v>
      </c>
      <c r="Y77" s="975"/>
      <c r="Z77" s="976">
        <v>99219</v>
      </c>
      <c r="AA77" s="975">
        <v>63926</v>
      </c>
      <c r="AB77" s="975">
        <v>35293</v>
      </c>
      <c r="AC77" s="976">
        <v>8823</v>
      </c>
      <c r="AD77" s="1020">
        <v>99219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99219</v>
      </c>
      <c r="AU77" s="1179">
        <v>8823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11564</v>
      </c>
      <c r="AA83" s="156">
        <v>7710</v>
      </c>
      <c r="AB83" s="795">
        <v>3854</v>
      </c>
      <c r="AC83" s="157">
        <v>964</v>
      </c>
      <c r="AD83" s="157">
        <v>11564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11564</v>
      </c>
      <c r="AU83" s="796">
        <v>964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906</v>
      </c>
      <c r="D84" s="1022">
        <v>4255.7718143692655</v>
      </c>
      <c r="E84" s="1023">
        <v>3393935.22288353</v>
      </c>
      <c r="F84" s="1024">
        <v>725</v>
      </c>
      <c r="G84" s="1025">
        <v>569.60967937788098</v>
      </c>
      <c r="H84" s="1026">
        <v>371662.32019879163</v>
      </c>
      <c r="I84" s="1024">
        <v>299</v>
      </c>
      <c r="J84" s="1025">
        <v>158.62710748085348</v>
      </c>
      <c r="K84" s="1026">
        <v>42319.218368546266</v>
      </c>
      <c r="L84" s="1024">
        <v>68</v>
      </c>
      <c r="M84" s="1025">
        <v>3935.2023104669443</v>
      </c>
      <c r="N84" s="1026">
        <v>239467.66381767023</v>
      </c>
      <c r="O84" s="1024">
        <v>15</v>
      </c>
      <c r="P84" s="1025">
        <v>1525.492171506211</v>
      </c>
      <c r="Q84" s="1026">
        <v>23331.481760437713</v>
      </c>
      <c r="R84" s="1027">
        <v>4170184</v>
      </c>
      <c r="S84" s="1025">
        <v>323099</v>
      </c>
      <c r="T84" s="1025">
        <v>-25958</v>
      </c>
      <c r="U84" s="1028">
        <v>297141</v>
      </c>
      <c r="V84" s="1027">
        <v>4467325</v>
      </c>
      <c r="W84" s="1026">
        <v>-11168</v>
      </c>
      <c r="X84" s="1027">
        <v>4456157</v>
      </c>
      <c r="Y84" s="1026">
        <v>2876</v>
      </c>
      <c r="Z84" s="1027">
        <v>4470597</v>
      </c>
      <c r="AA84" s="1025">
        <v>2780582</v>
      </c>
      <c r="AB84" s="1025">
        <v>1690015</v>
      </c>
      <c r="AC84" s="1027">
        <v>422505</v>
      </c>
      <c r="AD84" s="1029">
        <v>4470597</v>
      </c>
      <c r="AE84" s="1025">
        <v>5423</v>
      </c>
      <c r="AF84" s="1030">
        <v>4786627</v>
      </c>
      <c r="AG84" s="1024">
        <v>73</v>
      </c>
      <c r="AH84" s="1025">
        <v>455366</v>
      </c>
      <c r="AI84" s="1024">
        <v>-11</v>
      </c>
      <c r="AJ84" s="1025">
        <v>-33168</v>
      </c>
      <c r="AK84" s="1028">
        <v>422198</v>
      </c>
      <c r="AL84" s="1030">
        <v>5208825</v>
      </c>
      <c r="AM84" s="1025">
        <v>-13021</v>
      </c>
      <c r="AN84" s="1030">
        <v>5195804</v>
      </c>
      <c r="AO84" s="1025">
        <v>1241</v>
      </c>
      <c r="AP84" s="1030">
        <v>5197045</v>
      </c>
      <c r="AQ84" s="1025">
        <v>3063376</v>
      </c>
      <c r="AR84" s="1025">
        <v>2133669</v>
      </c>
      <c r="AS84" s="1030">
        <v>533418</v>
      </c>
      <c r="AT84" s="787">
        <v>9667642</v>
      </c>
      <c r="AU84" s="787">
        <v>955923</v>
      </c>
      <c r="AV84" s="516"/>
      <c r="AW84" s="165">
        <v>11513</v>
      </c>
      <c r="AX84" s="165">
        <v>13021</v>
      </c>
      <c r="AY84" s="165">
        <v>1508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2" t="s">
        <v>462</v>
      </c>
    </row>
    <row r="92" spans="1:52" x14ac:dyDescent="0.2">
      <c r="B92" s="857" t="s">
        <v>1462</v>
      </c>
    </row>
    <row r="93" spans="1:52" x14ac:dyDescent="0.2">
      <c r="B93" s="857" t="s">
        <v>1155</v>
      </c>
    </row>
    <row r="94" spans="1:52" x14ac:dyDescent="0.2">
      <c r="B94" s="857" t="s">
        <v>1483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3.28515625" style="5" bestFit="1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4257812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487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9"/>
      <c r="B3" s="1510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3"/>
      <c r="B5" s="733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51013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12895</v>
      </c>
      <c r="AM7" s="128"/>
      <c r="AN7" s="125"/>
      <c r="AO7" s="118">
        <v>0</v>
      </c>
      <c r="AP7" s="125"/>
      <c r="AQ7" s="126"/>
      <c r="AR7" s="126"/>
      <c r="AS7" s="125">
        <v>170</v>
      </c>
      <c r="AT7" s="779">
        <v>44602</v>
      </c>
      <c r="AU7" s="780">
        <v>-376</v>
      </c>
      <c r="AV7" s="344"/>
      <c r="AW7" s="119">
        <v>46</v>
      </c>
      <c r="AX7" s="119">
        <v>32</v>
      </c>
      <c r="AY7" s="119">
        <v>-14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5512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-604</v>
      </c>
      <c r="AT29" s="781">
        <v>0</v>
      </c>
      <c r="AU29" s="782">
        <v>-1520</v>
      </c>
      <c r="AV29" s="344"/>
      <c r="AW29" s="137">
        <v>9</v>
      </c>
      <c r="AX29" s="137">
        <v>0</v>
      </c>
      <c r="AY29" s="137">
        <v>-9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2333121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3153915</v>
      </c>
      <c r="AM34" s="147"/>
      <c r="AN34" s="144"/>
      <c r="AO34" s="136">
        <v>0</v>
      </c>
      <c r="AP34" s="144"/>
      <c r="AQ34" s="145"/>
      <c r="AR34" s="145"/>
      <c r="AS34" s="144">
        <v>295638</v>
      </c>
      <c r="AT34" s="781">
        <v>5550216</v>
      </c>
      <c r="AU34" s="782">
        <v>508803</v>
      </c>
      <c r="AV34" s="344"/>
      <c r="AW34" s="137">
        <v>7382</v>
      </c>
      <c r="AX34" s="137">
        <v>7885</v>
      </c>
      <c r="AY34" s="137">
        <v>503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164402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88074</v>
      </c>
      <c r="AM55" s="147"/>
      <c r="AN55" s="144"/>
      <c r="AO55" s="136">
        <v>0</v>
      </c>
      <c r="AP55" s="144"/>
      <c r="AQ55" s="145"/>
      <c r="AR55" s="145"/>
      <c r="AS55" s="144">
        <v>9584</v>
      </c>
      <c r="AT55" s="781">
        <v>274493</v>
      </c>
      <c r="AU55" s="782">
        <v>28912</v>
      </c>
      <c r="AV55" s="344"/>
      <c r="AW55" s="137">
        <v>186</v>
      </c>
      <c r="AX55" s="137">
        <v>220</v>
      </c>
      <c r="AY55" s="137">
        <v>34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185541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84194</v>
      </c>
      <c r="AM56" s="162"/>
      <c r="AN56" s="159"/>
      <c r="AO56" s="150">
        <v>0</v>
      </c>
      <c r="AP56" s="159"/>
      <c r="AQ56" s="160"/>
      <c r="AR56" s="160"/>
      <c r="AS56" s="159">
        <v>1132</v>
      </c>
      <c r="AT56" s="783">
        <v>215057</v>
      </c>
      <c r="AU56" s="784">
        <v>3054</v>
      </c>
      <c r="AV56" s="344"/>
      <c r="AW56" s="151">
        <v>299</v>
      </c>
      <c r="AX56" s="151">
        <v>210</v>
      </c>
      <c r="AY56" s="151">
        <v>-89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599</v>
      </c>
      <c r="D76" s="1022">
        <v>4255.7718143692655</v>
      </c>
      <c r="E76" s="1023">
        <v>2198496.1304049911</v>
      </c>
      <c r="F76" s="1024">
        <v>556</v>
      </c>
      <c r="G76" s="1025">
        <v>569.60967937788098</v>
      </c>
      <c r="H76" s="1026">
        <v>279997.81007142452</v>
      </c>
      <c r="I76" s="1024">
        <v>48</v>
      </c>
      <c r="J76" s="1025">
        <v>158.62710748085348</v>
      </c>
      <c r="K76" s="1026">
        <v>6739.744774135781</v>
      </c>
      <c r="L76" s="1024">
        <v>72</v>
      </c>
      <c r="M76" s="1025">
        <v>3935.2023104669443</v>
      </c>
      <c r="N76" s="1026">
        <v>252537.58285841375</v>
      </c>
      <c r="O76" s="1024">
        <v>1</v>
      </c>
      <c r="P76" s="1025">
        <v>1525.492171506211</v>
      </c>
      <c r="Q76" s="1026">
        <v>1817.8581749368434</v>
      </c>
      <c r="R76" s="1027">
        <v>2739589</v>
      </c>
      <c r="S76" s="1025">
        <v>62651</v>
      </c>
      <c r="T76" s="1025">
        <v>-41700</v>
      </c>
      <c r="U76" s="1028">
        <v>20951</v>
      </c>
      <c r="V76" s="1027">
        <v>2760540</v>
      </c>
      <c r="W76" s="1026">
        <v>-6903</v>
      </c>
      <c r="X76" s="1027">
        <v>2753637</v>
      </c>
      <c r="Y76" s="1026">
        <v>0</v>
      </c>
      <c r="Z76" s="1027">
        <v>2753637</v>
      </c>
      <c r="AA76" s="1025">
        <v>1821824</v>
      </c>
      <c r="AB76" s="1025">
        <v>931813</v>
      </c>
      <c r="AC76" s="1027">
        <v>232953</v>
      </c>
      <c r="AD76" s="1029">
        <v>2753637</v>
      </c>
      <c r="AE76" s="1025">
        <v>5423</v>
      </c>
      <c r="AF76" s="1030">
        <v>3298397</v>
      </c>
      <c r="AG76" s="1024">
        <v>13</v>
      </c>
      <c r="AH76" s="1025">
        <v>81247</v>
      </c>
      <c r="AI76" s="1024">
        <v>-17</v>
      </c>
      <c r="AJ76" s="1025">
        <v>-40566</v>
      </c>
      <c r="AK76" s="1028">
        <v>40681</v>
      </c>
      <c r="AL76" s="1030">
        <v>3339078</v>
      </c>
      <c r="AM76" s="1025">
        <v>-8347</v>
      </c>
      <c r="AN76" s="1030">
        <v>3330731</v>
      </c>
      <c r="AO76" s="1025">
        <v>0</v>
      </c>
      <c r="AP76" s="1030">
        <v>3330731</v>
      </c>
      <c r="AQ76" s="1025">
        <v>2107058</v>
      </c>
      <c r="AR76" s="1025">
        <v>1223673</v>
      </c>
      <c r="AS76" s="1030">
        <v>305920</v>
      </c>
      <c r="AT76" s="787">
        <v>6084368</v>
      </c>
      <c r="AU76" s="787">
        <v>538873</v>
      </c>
      <c r="AV76" s="516"/>
      <c r="AW76" s="165">
        <v>7922</v>
      </c>
      <c r="AX76" s="165">
        <v>8347</v>
      </c>
      <c r="AY76" s="165">
        <v>425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68373</v>
      </c>
      <c r="S77" s="975"/>
      <c r="T77" s="975"/>
      <c r="U77" s="975"/>
      <c r="V77" s="976">
        <v>68373</v>
      </c>
      <c r="W77" s="1018">
        <v>-171</v>
      </c>
      <c r="X77" s="976">
        <v>68202</v>
      </c>
      <c r="Y77" s="975"/>
      <c r="Z77" s="976">
        <v>68202</v>
      </c>
      <c r="AA77" s="975">
        <v>46726</v>
      </c>
      <c r="AB77" s="975">
        <v>21476</v>
      </c>
      <c r="AC77" s="976">
        <v>5369</v>
      </c>
      <c r="AD77" s="1020">
        <v>68202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68202</v>
      </c>
      <c r="AU77" s="1179">
        <v>5369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5074</v>
      </c>
      <c r="AA83" s="156">
        <v>3384</v>
      </c>
      <c r="AB83" s="795">
        <v>1690</v>
      </c>
      <c r="AC83" s="157">
        <v>423</v>
      </c>
      <c r="AD83" s="157">
        <v>5074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5074</v>
      </c>
      <c r="AU83" s="796">
        <v>423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599</v>
      </c>
      <c r="D84" s="1022">
        <v>4255.7718143692655</v>
      </c>
      <c r="E84" s="1023">
        <v>2198496.1304049911</v>
      </c>
      <c r="F84" s="1024">
        <v>556</v>
      </c>
      <c r="G84" s="1025">
        <v>569.60967937788098</v>
      </c>
      <c r="H84" s="1026">
        <v>279997.81007142452</v>
      </c>
      <c r="I84" s="1024">
        <v>48</v>
      </c>
      <c r="J84" s="1025">
        <v>158.62710748085348</v>
      </c>
      <c r="K84" s="1026">
        <v>6739.744774135781</v>
      </c>
      <c r="L84" s="1024">
        <v>72</v>
      </c>
      <c r="M84" s="1025">
        <v>3935.2023104669443</v>
      </c>
      <c r="N84" s="1026">
        <v>252537.58285841375</v>
      </c>
      <c r="O84" s="1024">
        <v>1</v>
      </c>
      <c r="P84" s="1025">
        <v>1525.492171506211</v>
      </c>
      <c r="Q84" s="1026">
        <v>1817.8581749368434</v>
      </c>
      <c r="R84" s="1027">
        <v>2807962</v>
      </c>
      <c r="S84" s="1025">
        <v>62651</v>
      </c>
      <c r="T84" s="1025">
        <v>-41700</v>
      </c>
      <c r="U84" s="1028">
        <v>20951</v>
      </c>
      <c r="V84" s="1027">
        <v>2828913</v>
      </c>
      <c r="W84" s="1026">
        <v>-7074</v>
      </c>
      <c r="X84" s="1027">
        <v>2821839</v>
      </c>
      <c r="Y84" s="1026">
        <v>0</v>
      </c>
      <c r="Z84" s="1027">
        <v>2826913</v>
      </c>
      <c r="AA84" s="1025">
        <v>1871934</v>
      </c>
      <c r="AB84" s="1025">
        <v>954979</v>
      </c>
      <c r="AC84" s="1027">
        <v>238745</v>
      </c>
      <c r="AD84" s="1029">
        <v>2826913</v>
      </c>
      <c r="AE84" s="1025">
        <v>5423</v>
      </c>
      <c r="AF84" s="1030">
        <v>3298397</v>
      </c>
      <c r="AG84" s="1024">
        <v>13</v>
      </c>
      <c r="AH84" s="1025">
        <v>81247</v>
      </c>
      <c r="AI84" s="1024">
        <v>-17</v>
      </c>
      <c r="AJ84" s="1025">
        <v>-40566</v>
      </c>
      <c r="AK84" s="1028">
        <v>40681</v>
      </c>
      <c r="AL84" s="1030">
        <v>3339078</v>
      </c>
      <c r="AM84" s="1025">
        <v>-8347</v>
      </c>
      <c r="AN84" s="1030">
        <v>3330731</v>
      </c>
      <c r="AO84" s="1025">
        <v>0</v>
      </c>
      <c r="AP84" s="1030">
        <v>3330731</v>
      </c>
      <c r="AQ84" s="1025">
        <v>2107058</v>
      </c>
      <c r="AR84" s="1025">
        <v>1223673</v>
      </c>
      <c r="AS84" s="1030">
        <v>305920</v>
      </c>
      <c r="AT84" s="787">
        <v>6157644</v>
      </c>
      <c r="AU84" s="787">
        <v>544665</v>
      </c>
      <c r="AV84" s="516"/>
      <c r="AW84" s="165">
        <v>7922</v>
      </c>
      <c r="AX84" s="165">
        <v>8347</v>
      </c>
      <c r="AY84" s="165">
        <v>425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0" t="s">
        <v>454</v>
      </c>
    </row>
    <row r="92" spans="1:52" x14ac:dyDescent="0.2">
      <c r="B92" s="857" t="s">
        <v>1462</v>
      </c>
    </row>
    <row r="93" spans="1:52" x14ac:dyDescent="0.2">
      <c r="B93" s="857" t="s">
        <v>1156</v>
      </c>
    </row>
    <row r="94" spans="1:52" x14ac:dyDescent="0.2">
      <c r="B94" s="857" t="s">
        <v>1482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503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203"/>
      <c r="B4" s="204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1969193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4807524</v>
      </c>
      <c r="AM23" s="147"/>
      <c r="AN23" s="144"/>
      <c r="AO23" s="136">
        <v>0</v>
      </c>
      <c r="AP23" s="144"/>
      <c r="AQ23" s="145"/>
      <c r="AR23" s="145"/>
      <c r="AS23" s="144">
        <v>591804</v>
      </c>
      <c r="AT23" s="781">
        <v>7434416</v>
      </c>
      <c r="AU23" s="782">
        <v>924154</v>
      </c>
      <c r="AV23" s="344"/>
      <c r="AW23" s="137">
        <v>9129</v>
      </c>
      <c r="AX23" s="137">
        <v>12019</v>
      </c>
      <c r="AY23" s="137">
        <v>2890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4259</v>
      </c>
      <c r="AM25" s="147"/>
      <c r="AN25" s="144"/>
      <c r="AO25" s="136">
        <v>0</v>
      </c>
      <c r="AP25" s="144"/>
      <c r="AQ25" s="145"/>
      <c r="AR25" s="145"/>
      <c r="AS25" s="144">
        <v>1062</v>
      </c>
      <c r="AT25" s="781">
        <v>9308</v>
      </c>
      <c r="AU25" s="782">
        <v>2327</v>
      </c>
      <c r="AV25" s="344"/>
      <c r="AW25" s="137">
        <v>0</v>
      </c>
      <c r="AX25" s="137">
        <v>11</v>
      </c>
      <c r="AY25" s="137">
        <v>11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16570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11867</v>
      </c>
      <c r="AM38" s="147"/>
      <c r="AN38" s="144"/>
      <c r="AO38" s="136">
        <v>0</v>
      </c>
      <c r="AP38" s="144"/>
      <c r="AQ38" s="145"/>
      <c r="AR38" s="145"/>
      <c r="AS38" s="144">
        <v>1618</v>
      </c>
      <c r="AT38" s="781">
        <v>42705</v>
      </c>
      <c r="AU38" s="782">
        <v>6581</v>
      </c>
      <c r="AV38" s="344"/>
      <c r="AW38" s="137">
        <v>20</v>
      </c>
      <c r="AX38" s="137">
        <v>30</v>
      </c>
      <c r="AY38" s="137">
        <v>10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6523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16262</v>
      </c>
      <c r="AM67" s="128"/>
      <c r="AN67" s="125"/>
      <c r="AO67" s="118">
        <v>0</v>
      </c>
      <c r="AP67" s="125"/>
      <c r="AQ67" s="126"/>
      <c r="AR67" s="126"/>
      <c r="AS67" s="125">
        <v>733</v>
      </c>
      <c r="AT67" s="779">
        <v>25096</v>
      </c>
      <c r="AU67" s="780">
        <v>1867</v>
      </c>
      <c r="AV67" s="344"/>
      <c r="AW67" s="119">
        <v>50</v>
      </c>
      <c r="AX67" s="119">
        <v>41</v>
      </c>
      <c r="AY67" s="119">
        <v>-9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5480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9062</v>
      </c>
      <c r="AM73" s="147"/>
      <c r="AN73" s="144"/>
      <c r="AO73" s="136">
        <v>0</v>
      </c>
      <c r="AP73" s="144"/>
      <c r="AQ73" s="145"/>
      <c r="AR73" s="145"/>
      <c r="AS73" s="144">
        <v>1232</v>
      </c>
      <c r="AT73" s="781">
        <v>16916</v>
      </c>
      <c r="AU73" s="782">
        <v>2290</v>
      </c>
      <c r="AV73" s="344"/>
      <c r="AW73" s="785">
        <v>15</v>
      </c>
      <c r="AX73" s="785">
        <v>23</v>
      </c>
      <c r="AY73" s="785">
        <v>8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172499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64386</v>
      </c>
      <c r="AM74" s="147"/>
      <c r="AN74" s="144"/>
      <c r="AO74" s="136">
        <v>0</v>
      </c>
      <c r="AP74" s="144"/>
      <c r="AQ74" s="145"/>
      <c r="AR74" s="145"/>
      <c r="AS74" s="144">
        <v>4036</v>
      </c>
      <c r="AT74" s="781">
        <v>209747</v>
      </c>
      <c r="AU74" s="782">
        <v>11739</v>
      </c>
      <c r="AV74" s="344"/>
      <c r="AW74" s="785">
        <v>181</v>
      </c>
      <c r="AX74" s="785">
        <v>161</v>
      </c>
      <c r="AY74" s="785">
        <v>-20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65740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26803</v>
      </c>
      <c r="AM75" s="147"/>
      <c r="AN75" s="144"/>
      <c r="AO75" s="136">
        <v>0</v>
      </c>
      <c r="AP75" s="144"/>
      <c r="AQ75" s="145"/>
      <c r="AR75" s="145"/>
      <c r="AS75" s="144">
        <v>967</v>
      </c>
      <c r="AT75" s="781">
        <v>70074</v>
      </c>
      <c r="AU75" s="782">
        <v>872</v>
      </c>
      <c r="AV75" s="344"/>
      <c r="AW75" s="786">
        <v>86</v>
      </c>
      <c r="AX75" s="786">
        <v>67</v>
      </c>
      <c r="AY75" s="786">
        <v>-19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513</v>
      </c>
      <c r="D76" s="1022">
        <v>4255.7718143692655</v>
      </c>
      <c r="E76" s="1023">
        <v>1840229.3712168862</v>
      </c>
      <c r="F76" s="1024">
        <v>451</v>
      </c>
      <c r="G76" s="1025">
        <v>569.60967937788098</v>
      </c>
      <c r="H76" s="1026">
        <v>206122.16411807798</v>
      </c>
      <c r="I76" s="1024">
        <v>49</v>
      </c>
      <c r="J76" s="1025">
        <v>158.62710748085348</v>
      </c>
      <c r="K76" s="1026">
        <v>5909.3745648348868</v>
      </c>
      <c r="L76" s="1024">
        <v>57</v>
      </c>
      <c r="M76" s="1025">
        <v>3935.2023104669443</v>
      </c>
      <c r="N76" s="1026">
        <v>179387.4900223091</v>
      </c>
      <c r="O76" s="1024">
        <v>3</v>
      </c>
      <c r="P76" s="1025">
        <v>1525.492171506211</v>
      </c>
      <c r="Q76" s="1026">
        <v>4354.747148372182</v>
      </c>
      <c r="R76" s="1027">
        <v>2236005</v>
      </c>
      <c r="S76" s="1025">
        <v>665163</v>
      </c>
      <c r="T76" s="1025">
        <v>-13497</v>
      </c>
      <c r="U76" s="1028">
        <v>651666</v>
      </c>
      <c r="V76" s="1027">
        <v>2887671</v>
      </c>
      <c r="W76" s="1026">
        <v>-7220</v>
      </c>
      <c r="X76" s="1027">
        <v>2880451</v>
      </c>
      <c r="Y76" s="1026">
        <v>0</v>
      </c>
      <c r="Z76" s="1027">
        <v>2880451</v>
      </c>
      <c r="AA76" s="1025">
        <v>1486944</v>
      </c>
      <c r="AB76" s="1025">
        <v>1393507</v>
      </c>
      <c r="AC76" s="1027">
        <v>348378</v>
      </c>
      <c r="AD76" s="1029">
        <v>2880451</v>
      </c>
      <c r="AE76" s="1025">
        <v>5423</v>
      </c>
      <c r="AF76" s="1030">
        <v>3722152</v>
      </c>
      <c r="AG76" s="1024">
        <v>164</v>
      </c>
      <c r="AH76" s="1025">
        <v>1254367</v>
      </c>
      <c r="AI76" s="1024">
        <v>-9</v>
      </c>
      <c r="AJ76" s="1025">
        <v>-36356</v>
      </c>
      <c r="AK76" s="1028">
        <v>1218011</v>
      </c>
      <c r="AL76" s="1030">
        <v>4940163</v>
      </c>
      <c r="AM76" s="1025">
        <v>-12352</v>
      </c>
      <c r="AN76" s="1030">
        <v>4927811</v>
      </c>
      <c r="AO76" s="1025">
        <v>0</v>
      </c>
      <c r="AP76" s="1030">
        <v>4927811</v>
      </c>
      <c r="AQ76" s="1025">
        <v>2522004</v>
      </c>
      <c r="AR76" s="1025">
        <v>2405807</v>
      </c>
      <c r="AS76" s="1030">
        <v>601452</v>
      </c>
      <c r="AT76" s="787">
        <v>7808262</v>
      </c>
      <c r="AU76" s="787">
        <v>949830</v>
      </c>
      <c r="AV76" s="516"/>
      <c r="AW76" s="165">
        <v>9481</v>
      </c>
      <c r="AX76" s="165">
        <v>12352</v>
      </c>
      <c r="AY76" s="165">
        <v>2871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96187</v>
      </c>
      <c r="S77" s="975"/>
      <c r="T77" s="975"/>
      <c r="U77" s="975"/>
      <c r="V77" s="976">
        <v>96187</v>
      </c>
      <c r="W77" s="1018">
        <v>-240</v>
      </c>
      <c r="X77" s="976">
        <v>95947</v>
      </c>
      <c r="Y77" s="975"/>
      <c r="Z77" s="976">
        <v>95947</v>
      </c>
      <c r="AA77" s="975">
        <v>55430</v>
      </c>
      <c r="AB77" s="975">
        <v>40517</v>
      </c>
      <c r="AC77" s="976">
        <v>10129</v>
      </c>
      <c r="AD77" s="1020">
        <v>95947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95947</v>
      </c>
      <c r="AU77" s="1179">
        <v>10129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513</v>
      </c>
      <c r="D84" s="1022">
        <v>4255.7718143692655</v>
      </c>
      <c r="E84" s="1023">
        <v>1840229.3712168862</v>
      </c>
      <c r="F84" s="1024">
        <v>451</v>
      </c>
      <c r="G84" s="1025">
        <v>569.60967937788098</v>
      </c>
      <c r="H84" s="1026">
        <v>206122.16411807798</v>
      </c>
      <c r="I84" s="1024">
        <v>49</v>
      </c>
      <c r="J84" s="1025">
        <v>158.62710748085348</v>
      </c>
      <c r="K84" s="1026">
        <v>5909.3745648348868</v>
      </c>
      <c r="L84" s="1024">
        <v>57</v>
      </c>
      <c r="M84" s="1025">
        <v>3935.2023104669443</v>
      </c>
      <c r="N84" s="1026">
        <v>179387.4900223091</v>
      </c>
      <c r="O84" s="1024">
        <v>3</v>
      </c>
      <c r="P84" s="1025">
        <v>1525.492171506211</v>
      </c>
      <c r="Q84" s="1026">
        <v>4354.747148372182</v>
      </c>
      <c r="R84" s="1027">
        <v>2332192</v>
      </c>
      <c r="S84" s="1025">
        <v>665163</v>
      </c>
      <c r="T84" s="1025">
        <v>-13497</v>
      </c>
      <c r="U84" s="1028">
        <v>651666</v>
      </c>
      <c r="V84" s="1027">
        <v>2983858</v>
      </c>
      <c r="W84" s="1026">
        <v>-7460</v>
      </c>
      <c r="X84" s="1027">
        <v>2976398</v>
      </c>
      <c r="Y84" s="1026">
        <v>0</v>
      </c>
      <c r="Z84" s="1027">
        <v>2976398</v>
      </c>
      <c r="AA84" s="1025">
        <v>1542374</v>
      </c>
      <c r="AB84" s="1025">
        <v>1434024</v>
      </c>
      <c r="AC84" s="1027">
        <v>358507</v>
      </c>
      <c r="AD84" s="1029">
        <v>2976398</v>
      </c>
      <c r="AE84" s="1025">
        <v>5423</v>
      </c>
      <c r="AF84" s="1030">
        <v>3722152</v>
      </c>
      <c r="AG84" s="1024">
        <v>164</v>
      </c>
      <c r="AH84" s="1025">
        <v>1254367</v>
      </c>
      <c r="AI84" s="1024">
        <v>-9</v>
      </c>
      <c r="AJ84" s="1025">
        <v>-36356</v>
      </c>
      <c r="AK84" s="1028">
        <v>1218011</v>
      </c>
      <c r="AL84" s="1030">
        <v>4940163</v>
      </c>
      <c r="AM84" s="1025">
        <v>-12352</v>
      </c>
      <c r="AN84" s="1030">
        <v>4927811</v>
      </c>
      <c r="AO84" s="1025">
        <v>0</v>
      </c>
      <c r="AP84" s="1030">
        <v>4927811</v>
      </c>
      <c r="AQ84" s="1025">
        <v>2522004</v>
      </c>
      <c r="AR84" s="1025">
        <v>2405807</v>
      </c>
      <c r="AS84" s="1030">
        <v>601452</v>
      </c>
      <c r="AT84" s="787">
        <v>7904209</v>
      </c>
      <c r="AU84" s="787">
        <v>959959</v>
      </c>
      <c r="AV84" s="516"/>
      <c r="AW84" s="165">
        <v>9481</v>
      </c>
      <c r="AX84" s="165">
        <v>12352</v>
      </c>
      <c r="AY84" s="165">
        <v>2871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2" t="s">
        <v>371</v>
      </c>
    </row>
    <row r="92" spans="1:52" x14ac:dyDescent="0.2">
      <c r="B92" s="857" t="s">
        <v>1462</v>
      </c>
    </row>
    <row r="93" spans="1:52" x14ac:dyDescent="0.2">
      <c r="B93" s="857" t="s">
        <v>1157</v>
      </c>
    </row>
    <row r="94" spans="1:52" x14ac:dyDescent="0.2">
      <c r="B94" s="857" t="s">
        <v>1481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1111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203"/>
      <c r="B4" s="204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145294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491120</v>
      </c>
      <c r="AM13" s="147"/>
      <c r="AN13" s="144"/>
      <c r="AO13" s="136">
        <v>0</v>
      </c>
      <c r="AP13" s="144"/>
      <c r="AQ13" s="145"/>
      <c r="AR13" s="145"/>
      <c r="AS13" s="144">
        <v>39395</v>
      </c>
      <c r="AT13" s="781">
        <v>646051</v>
      </c>
      <c r="AU13" s="782">
        <v>54279</v>
      </c>
      <c r="AV13" s="344"/>
      <c r="AW13" s="137">
        <v>1249</v>
      </c>
      <c r="AX13" s="137">
        <v>1228</v>
      </c>
      <c r="AY13" s="137">
        <v>-21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308412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208029</v>
      </c>
      <c r="AM20" s="147"/>
      <c r="AN20" s="144"/>
      <c r="AO20" s="136">
        <v>0</v>
      </c>
      <c r="AP20" s="144"/>
      <c r="AQ20" s="145"/>
      <c r="AR20" s="145"/>
      <c r="AS20" s="144">
        <v>18064</v>
      </c>
      <c r="AT20" s="781">
        <v>536106</v>
      </c>
      <c r="AU20" s="782">
        <v>48939</v>
      </c>
      <c r="AV20" s="344"/>
      <c r="AW20" s="137">
        <v>508</v>
      </c>
      <c r="AX20" s="137">
        <v>520</v>
      </c>
      <c r="AY20" s="137">
        <v>12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92003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83160</v>
      </c>
      <c r="AM31" s="162"/>
      <c r="AN31" s="159"/>
      <c r="AO31" s="150">
        <v>0</v>
      </c>
      <c r="AP31" s="159"/>
      <c r="AQ31" s="160"/>
      <c r="AR31" s="160"/>
      <c r="AS31" s="159">
        <v>7438</v>
      </c>
      <c r="AT31" s="783">
        <v>182870</v>
      </c>
      <c r="AU31" s="784">
        <v>17122</v>
      </c>
      <c r="AV31" s="344"/>
      <c r="AW31" s="151">
        <v>200</v>
      </c>
      <c r="AX31" s="151">
        <v>208</v>
      </c>
      <c r="AY31" s="151">
        <v>8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1474757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1991367</v>
      </c>
      <c r="AM37" s="128"/>
      <c r="AN37" s="125"/>
      <c r="AO37" s="118">
        <v>0</v>
      </c>
      <c r="AP37" s="125"/>
      <c r="AQ37" s="126"/>
      <c r="AR37" s="126"/>
      <c r="AS37" s="125">
        <v>188801</v>
      </c>
      <c r="AT37" s="779">
        <v>3643050</v>
      </c>
      <c r="AU37" s="780">
        <v>357788</v>
      </c>
      <c r="AV37" s="344"/>
      <c r="AW37" s="119">
        <v>4629</v>
      </c>
      <c r="AX37" s="119">
        <v>4978</v>
      </c>
      <c r="AY37" s="119">
        <v>349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49217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37639</v>
      </c>
      <c r="AM43" s="147"/>
      <c r="AN43" s="144"/>
      <c r="AO43" s="136">
        <v>0</v>
      </c>
      <c r="AP43" s="144"/>
      <c r="AQ43" s="145"/>
      <c r="AR43" s="145"/>
      <c r="AS43" s="144">
        <v>4792</v>
      </c>
      <c r="AT43" s="781">
        <v>101990</v>
      </c>
      <c r="AU43" s="782">
        <v>12721</v>
      </c>
      <c r="AV43" s="344"/>
      <c r="AW43" s="137">
        <v>69</v>
      </c>
      <c r="AX43" s="137">
        <v>94</v>
      </c>
      <c r="AY43" s="137">
        <v>25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244905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111750</v>
      </c>
      <c r="AM62" s="128"/>
      <c r="AN62" s="125"/>
      <c r="AO62" s="118">
        <v>0</v>
      </c>
      <c r="AP62" s="125"/>
      <c r="AQ62" s="126"/>
      <c r="AR62" s="126"/>
      <c r="AS62" s="125">
        <v>1749</v>
      </c>
      <c r="AT62" s="779">
        <v>286413</v>
      </c>
      <c r="AU62" s="780">
        <v>4769</v>
      </c>
      <c r="AV62" s="344"/>
      <c r="AW62" s="119">
        <v>393</v>
      </c>
      <c r="AX62" s="119">
        <v>279</v>
      </c>
      <c r="AY62" s="119">
        <v>-114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41949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8478</v>
      </c>
      <c r="AM66" s="162"/>
      <c r="AN66" s="159"/>
      <c r="AO66" s="150">
        <v>0</v>
      </c>
      <c r="AP66" s="159"/>
      <c r="AQ66" s="160"/>
      <c r="AR66" s="160"/>
      <c r="AS66" s="159">
        <v>-1909</v>
      </c>
      <c r="AT66" s="783">
        <v>19568</v>
      </c>
      <c r="AU66" s="784">
        <v>-6105</v>
      </c>
      <c r="AV66" s="344"/>
      <c r="AW66" s="151">
        <v>60</v>
      </c>
      <c r="AX66" s="151">
        <v>21</v>
      </c>
      <c r="AY66" s="151">
        <v>-39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3466</v>
      </c>
      <c r="AM70" s="147"/>
      <c r="AN70" s="144"/>
      <c r="AO70" s="136">
        <v>0</v>
      </c>
      <c r="AP70" s="144"/>
      <c r="AQ70" s="145"/>
      <c r="AR70" s="145"/>
      <c r="AS70" s="144">
        <v>864</v>
      </c>
      <c r="AT70" s="781">
        <v>8999</v>
      </c>
      <c r="AU70" s="782">
        <v>2250</v>
      </c>
      <c r="AV70" s="344"/>
      <c r="AW70" s="137">
        <v>0</v>
      </c>
      <c r="AX70" s="137">
        <v>9</v>
      </c>
      <c r="AY70" s="137">
        <v>9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456</v>
      </c>
      <c r="D76" s="1022">
        <v>4255.7718143692655</v>
      </c>
      <c r="E76" s="1023">
        <v>1841983.4586543867</v>
      </c>
      <c r="F76" s="1024">
        <v>382</v>
      </c>
      <c r="G76" s="1025">
        <v>569.60967937788098</v>
      </c>
      <c r="H76" s="1026">
        <v>210543.09186315438</v>
      </c>
      <c r="I76" s="1024">
        <v>136.5</v>
      </c>
      <c r="J76" s="1025">
        <v>158.62710748085348</v>
      </c>
      <c r="K76" s="1026">
        <v>20773.615628893014</v>
      </c>
      <c r="L76" s="1024">
        <v>72</v>
      </c>
      <c r="M76" s="1025">
        <v>3935.2023104669443</v>
      </c>
      <c r="N76" s="1026">
        <v>274132.74996922706</v>
      </c>
      <c r="O76" s="1024">
        <v>6</v>
      </c>
      <c r="P76" s="1025">
        <v>1525.492171506211</v>
      </c>
      <c r="Q76" s="1026">
        <v>9103.8933906608472</v>
      </c>
      <c r="R76" s="1027">
        <v>2356537</v>
      </c>
      <c r="S76" s="1025">
        <v>120053</v>
      </c>
      <c r="T76" s="1025">
        <v>27044</v>
      </c>
      <c r="U76" s="1028">
        <v>147097</v>
      </c>
      <c r="V76" s="1027">
        <v>2503634</v>
      </c>
      <c r="W76" s="1026">
        <v>-6259</v>
      </c>
      <c r="X76" s="1027">
        <v>2497375</v>
      </c>
      <c r="Y76" s="1026">
        <v>0</v>
      </c>
      <c r="Z76" s="1027">
        <v>2497375</v>
      </c>
      <c r="AA76" s="1025">
        <v>1567102</v>
      </c>
      <c r="AB76" s="1025">
        <v>930273</v>
      </c>
      <c r="AC76" s="1027">
        <v>232569</v>
      </c>
      <c r="AD76" s="1029">
        <v>2497375</v>
      </c>
      <c r="AE76" s="1025">
        <v>5423</v>
      </c>
      <c r="AF76" s="1030">
        <v>2797451</v>
      </c>
      <c r="AG76" s="1024">
        <v>21</v>
      </c>
      <c r="AH76" s="1025">
        <v>159455</v>
      </c>
      <c r="AI76" s="1024">
        <v>-2</v>
      </c>
      <c r="AJ76" s="1025">
        <v>-21897</v>
      </c>
      <c r="AK76" s="1028">
        <v>137558</v>
      </c>
      <c r="AL76" s="1030">
        <v>2935009</v>
      </c>
      <c r="AM76" s="1025">
        <v>-7337</v>
      </c>
      <c r="AN76" s="1030">
        <v>2927672</v>
      </c>
      <c r="AO76" s="1025">
        <v>0</v>
      </c>
      <c r="AP76" s="1030">
        <v>2927672</v>
      </c>
      <c r="AQ76" s="1025">
        <v>1890900</v>
      </c>
      <c r="AR76" s="1025">
        <v>1036772</v>
      </c>
      <c r="AS76" s="1030">
        <v>259194</v>
      </c>
      <c r="AT76" s="787">
        <v>5425047</v>
      </c>
      <c r="AU76" s="787">
        <v>491763</v>
      </c>
      <c r="AV76" s="516"/>
      <c r="AW76" s="165">
        <v>7108</v>
      </c>
      <c r="AX76" s="165">
        <v>7337</v>
      </c>
      <c r="AY76" s="165">
        <v>229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76042</v>
      </c>
      <c r="S77" s="975"/>
      <c r="T77" s="975"/>
      <c r="U77" s="975"/>
      <c r="V77" s="976">
        <v>76042</v>
      </c>
      <c r="W77" s="1018">
        <v>-190</v>
      </c>
      <c r="X77" s="976">
        <v>75852</v>
      </c>
      <c r="Y77" s="975"/>
      <c r="Z77" s="976">
        <v>75852</v>
      </c>
      <c r="AA77" s="975">
        <v>46924</v>
      </c>
      <c r="AB77" s="975">
        <v>28928</v>
      </c>
      <c r="AC77" s="976">
        <v>7232</v>
      </c>
      <c r="AD77" s="1020">
        <v>75852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75852</v>
      </c>
      <c r="AU77" s="1179">
        <v>7232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13255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13452</v>
      </c>
      <c r="AA83" s="156">
        <v>8968</v>
      </c>
      <c r="AB83" s="795">
        <v>4484</v>
      </c>
      <c r="AC83" s="157">
        <v>1121</v>
      </c>
      <c r="AD83" s="157">
        <v>13452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13452</v>
      </c>
      <c r="AU83" s="796">
        <v>1121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456</v>
      </c>
      <c r="D84" s="1022">
        <v>4255.7718143692655</v>
      </c>
      <c r="E84" s="1023">
        <v>1841983.4586543867</v>
      </c>
      <c r="F84" s="1024">
        <v>382</v>
      </c>
      <c r="G84" s="1025">
        <v>569.60967937788098</v>
      </c>
      <c r="H84" s="1026">
        <v>210543.09186315438</v>
      </c>
      <c r="I84" s="1024">
        <v>136.5</v>
      </c>
      <c r="J84" s="1025">
        <v>158.62710748085348</v>
      </c>
      <c r="K84" s="1026">
        <v>20773.615628893014</v>
      </c>
      <c r="L84" s="1024">
        <v>72</v>
      </c>
      <c r="M84" s="1025">
        <v>3935.2023104669443</v>
      </c>
      <c r="N84" s="1026">
        <v>274132.74996922706</v>
      </c>
      <c r="O84" s="1024">
        <v>6</v>
      </c>
      <c r="P84" s="1025">
        <v>1525.492171506211</v>
      </c>
      <c r="Q84" s="1026">
        <v>9103.8933906608472</v>
      </c>
      <c r="R84" s="1027">
        <v>2432579</v>
      </c>
      <c r="S84" s="1025">
        <v>120053</v>
      </c>
      <c r="T84" s="1025">
        <v>27044</v>
      </c>
      <c r="U84" s="1028">
        <v>147097</v>
      </c>
      <c r="V84" s="1027">
        <v>2579676</v>
      </c>
      <c r="W84" s="1026">
        <v>-6449</v>
      </c>
      <c r="X84" s="1027">
        <v>2573227</v>
      </c>
      <c r="Y84" s="1026">
        <v>0</v>
      </c>
      <c r="Z84" s="1027">
        <v>2586679</v>
      </c>
      <c r="AA84" s="1025">
        <v>1622994</v>
      </c>
      <c r="AB84" s="1025">
        <v>963685</v>
      </c>
      <c r="AC84" s="1027">
        <v>240922</v>
      </c>
      <c r="AD84" s="1029">
        <v>2599934</v>
      </c>
      <c r="AE84" s="1025">
        <v>5423</v>
      </c>
      <c r="AF84" s="1030">
        <v>2797451</v>
      </c>
      <c r="AG84" s="1024">
        <v>21</v>
      </c>
      <c r="AH84" s="1025">
        <v>159455</v>
      </c>
      <c r="AI84" s="1024">
        <v>-2</v>
      </c>
      <c r="AJ84" s="1025">
        <v>-21897</v>
      </c>
      <c r="AK84" s="1028">
        <v>137558</v>
      </c>
      <c r="AL84" s="1030">
        <v>2935009</v>
      </c>
      <c r="AM84" s="1025">
        <v>-7337</v>
      </c>
      <c r="AN84" s="1030">
        <v>2927672</v>
      </c>
      <c r="AO84" s="1025">
        <v>0</v>
      </c>
      <c r="AP84" s="1030">
        <v>2927672</v>
      </c>
      <c r="AQ84" s="1025">
        <v>1890900</v>
      </c>
      <c r="AR84" s="1025">
        <v>1036772</v>
      </c>
      <c r="AS84" s="1030">
        <v>259194</v>
      </c>
      <c r="AT84" s="787">
        <v>5514351</v>
      </c>
      <c r="AU84" s="787">
        <v>500116</v>
      </c>
      <c r="AV84" s="516"/>
      <c r="AW84" s="165">
        <v>7108</v>
      </c>
      <c r="AX84" s="165">
        <v>7337</v>
      </c>
      <c r="AY84" s="165">
        <v>229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A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A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2"/>
      <c r="AB87" s="12"/>
      <c r="AC87" s="12"/>
      <c r="AD87" s="12"/>
      <c r="AE87" s="12"/>
      <c r="AF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505</v>
      </c>
    </row>
    <row r="92" spans="1:52" x14ac:dyDescent="0.2">
      <c r="B92" s="857" t="s">
        <v>1462</v>
      </c>
    </row>
    <row r="93" spans="1:52" x14ac:dyDescent="0.2">
      <c r="B93" s="857" t="s">
        <v>1158</v>
      </c>
    </row>
    <row r="94" spans="1:52" x14ac:dyDescent="0.2">
      <c r="B94" s="857" t="s">
        <v>1480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T1:AT3"/>
    <mergeCell ref="AU1:AU3"/>
    <mergeCell ref="AS2:AS3"/>
    <mergeCell ref="AP2:AP3"/>
    <mergeCell ref="AQ2:AQ3"/>
    <mergeCell ref="AR2:AR3"/>
    <mergeCell ref="AL1:AS1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8:P89"/>
    <mergeCell ref="A81:B81"/>
    <mergeCell ref="A82:B82"/>
    <mergeCell ref="A83:B83"/>
    <mergeCell ref="A84:B84"/>
    <mergeCell ref="J88:J89"/>
    <mergeCell ref="M88:M89"/>
    <mergeCell ref="A78:B78"/>
    <mergeCell ref="A79:B79"/>
    <mergeCell ref="C2:C3"/>
    <mergeCell ref="D2:E2"/>
    <mergeCell ref="F2:H2"/>
    <mergeCell ref="A77:B77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1406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8.85546875" style="5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545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6.149999999999999" customHeight="1" x14ac:dyDescent="0.2">
      <c r="A4" s="203"/>
      <c r="B4" s="204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 t="s">
        <v>603</v>
      </c>
      <c r="D6" s="601" t="s">
        <v>603</v>
      </c>
      <c r="E6" s="601" t="s">
        <v>604</v>
      </c>
      <c r="F6" s="601" t="s">
        <v>694</v>
      </c>
      <c r="G6" s="601" t="s">
        <v>603</v>
      </c>
      <c r="H6" s="601" t="s">
        <v>604</v>
      </c>
      <c r="I6" s="601" t="s">
        <v>694</v>
      </c>
      <c r="J6" s="601" t="s">
        <v>603</v>
      </c>
      <c r="K6" s="601" t="s">
        <v>604</v>
      </c>
      <c r="L6" s="601" t="s">
        <v>694</v>
      </c>
      <c r="M6" s="601" t="s">
        <v>603</v>
      </c>
      <c r="N6" s="601" t="s">
        <v>604</v>
      </c>
      <c r="O6" s="601" t="s">
        <v>694</v>
      </c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18249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9780</v>
      </c>
      <c r="AM9" s="147"/>
      <c r="AN9" s="144"/>
      <c r="AO9" s="136">
        <v>0</v>
      </c>
      <c r="AP9" s="144"/>
      <c r="AQ9" s="145"/>
      <c r="AR9" s="145"/>
      <c r="AS9" s="144">
        <v>-1892</v>
      </c>
      <c r="AT9" s="781">
        <v>20412</v>
      </c>
      <c r="AU9" s="782">
        <v>-2262</v>
      </c>
      <c r="AV9" s="344"/>
      <c r="AW9" s="137">
        <v>65</v>
      </c>
      <c r="AX9" s="137">
        <v>24</v>
      </c>
      <c r="AY9" s="137">
        <v>-41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4858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7509</v>
      </c>
      <c r="AM35" s="147"/>
      <c r="AN35" s="144"/>
      <c r="AO35" s="136">
        <v>0</v>
      </c>
      <c r="AP35" s="144"/>
      <c r="AQ35" s="145"/>
      <c r="AR35" s="145"/>
      <c r="AS35" s="144">
        <v>1039</v>
      </c>
      <c r="AT35" s="781">
        <v>14759</v>
      </c>
      <c r="AU35" s="782">
        <v>2048</v>
      </c>
      <c r="AV35" s="344"/>
      <c r="AW35" s="137">
        <v>13</v>
      </c>
      <c r="AX35" s="137">
        <v>19</v>
      </c>
      <c r="AY35" s="137">
        <v>6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205195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738332</v>
      </c>
      <c r="AM53" s="147"/>
      <c r="AN53" s="144"/>
      <c r="AO53" s="136">
        <v>0</v>
      </c>
      <c r="AP53" s="144"/>
      <c r="AQ53" s="145"/>
      <c r="AR53" s="145"/>
      <c r="AS53" s="144">
        <v>42576</v>
      </c>
      <c r="AT53" s="781">
        <v>911031</v>
      </c>
      <c r="AU53" s="782">
        <v>52098</v>
      </c>
      <c r="AV53" s="344"/>
      <c r="AW53" s="137">
        <v>2129</v>
      </c>
      <c r="AX53" s="137">
        <v>1846</v>
      </c>
      <c r="AY53" s="137">
        <v>-283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80244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147764</v>
      </c>
      <c r="AM54" s="147"/>
      <c r="AN54" s="144"/>
      <c r="AO54" s="136">
        <v>0</v>
      </c>
      <c r="AP54" s="144"/>
      <c r="AQ54" s="145"/>
      <c r="AR54" s="145"/>
      <c r="AS54" s="144">
        <v>21643</v>
      </c>
      <c r="AT54" s="781">
        <v>255684</v>
      </c>
      <c r="AU54" s="782">
        <v>35375</v>
      </c>
      <c r="AV54" s="344"/>
      <c r="AW54" s="137">
        <v>229</v>
      </c>
      <c r="AX54" s="137">
        <v>369</v>
      </c>
      <c r="AY54" s="137">
        <v>140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79</v>
      </c>
      <c r="D76" s="1022">
        <v>4255.7718143692655</v>
      </c>
      <c r="E76" s="1023">
        <v>238169.82488500638</v>
      </c>
      <c r="F76" s="1024">
        <v>67</v>
      </c>
      <c r="G76" s="1025">
        <v>569.60967937788098</v>
      </c>
      <c r="H76" s="1026">
        <v>23551.622238373711</v>
      </c>
      <c r="I76" s="1024">
        <v>0</v>
      </c>
      <c r="J76" s="1025">
        <v>158.62710748085348</v>
      </c>
      <c r="K76" s="1026">
        <v>0</v>
      </c>
      <c r="L76" s="1024">
        <v>19</v>
      </c>
      <c r="M76" s="1025">
        <v>3935.2023104669443</v>
      </c>
      <c r="N76" s="1026">
        <v>46824.210586098139</v>
      </c>
      <c r="O76" s="1024">
        <v>0</v>
      </c>
      <c r="P76" s="1025">
        <v>1525.492171506211</v>
      </c>
      <c r="Q76" s="1026">
        <v>0</v>
      </c>
      <c r="R76" s="1027">
        <v>308546</v>
      </c>
      <c r="S76" s="1025">
        <v>8353</v>
      </c>
      <c r="T76" s="1025">
        <v>-15387</v>
      </c>
      <c r="U76" s="1028">
        <v>-7034</v>
      </c>
      <c r="V76" s="1027">
        <v>301512</v>
      </c>
      <c r="W76" s="1026">
        <v>-753</v>
      </c>
      <c r="X76" s="1027">
        <v>300759</v>
      </c>
      <c r="Y76" s="1026">
        <v>0</v>
      </c>
      <c r="Z76" s="1027">
        <v>300759</v>
      </c>
      <c r="AA76" s="1025">
        <v>205186</v>
      </c>
      <c r="AB76" s="1025">
        <v>95573</v>
      </c>
      <c r="AC76" s="1027">
        <v>23893</v>
      </c>
      <c r="AD76" s="1029">
        <v>300759</v>
      </c>
      <c r="AE76" s="1025">
        <v>5423</v>
      </c>
      <c r="AF76" s="1030">
        <v>1036078</v>
      </c>
      <c r="AG76" s="1024">
        <v>-3</v>
      </c>
      <c r="AH76" s="1025">
        <v>-101050</v>
      </c>
      <c r="AI76" s="1024">
        <v>-7</v>
      </c>
      <c r="AJ76" s="1025">
        <v>-31643</v>
      </c>
      <c r="AK76" s="1028">
        <v>-132693</v>
      </c>
      <c r="AL76" s="1030">
        <v>903385</v>
      </c>
      <c r="AM76" s="1025">
        <v>-2258</v>
      </c>
      <c r="AN76" s="1030">
        <v>901127</v>
      </c>
      <c r="AO76" s="1025">
        <v>0</v>
      </c>
      <c r="AP76" s="1030">
        <v>901127</v>
      </c>
      <c r="AQ76" s="1025">
        <v>647662</v>
      </c>
      <c r="AR76" s="1025">
        <v>253465</v>
      </c>
      <c r="AS76" s="1030">
        <v>63366</v>
      </c>
      <c r="AT76" s="787">
        <v>1201886</v>
      </c>
      <c r="AU76" s="787">
        <v>87259</v>
      </c>
      <c r="AV76" s="516"/>
      <c r="AW76" s="165">
        <v>2436</v>
      </c>
      <c r="AX76" s="165">
        <v>2258</v>
      </c>
      <c r="AY76" s="165">
        <v>-178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15222</v>
      </c>
      <c r="S77" s="975"/>
      <c r="T77" s="975"/>
      <c r="U77" s="975"/>
      <c r="V77" s="976">
        <v>15222</v>
      </c>
      <c r="W77" s="1018">
        <v>-38</v>
      </c>
      <c r="X77" s="976">
        <v>15184</v>
      </c>
      <c r="Y77" s="975"/>
      <c r="Z77" s="976">
        <v>15184</v>
      </c>
      <c r="AA77" s="975">
        <v>9694</v>
      </c>
      <c r="AB77" s="975">
        <v>5490</v>
      </c>
      <c r="AC77" s="976">
        <v>1373</v>
      </c>
      <c r="AD77" s="1020">
        <v>15184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15184</v>
      </c>
      <c r="AU77" s="1179">
        <v>1373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708</v>
      </c>
      <c r="AA83" s="156">
        <v>472</v>
      </c>
      <c r="AB83" s="795">
        <v>236</v>
      </c>
      <c r="AC83" s="157">
        <v>59</v>
      </c>
      <c r="AD83" s="157">
        <v>708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708</v>
      </c>
      <c r="AU83" s="796">
        <v>59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79</v>
      </c>
      <c r="D84" s="1022">
        <v>4255.7718143692655</v>
      </c>
      <c r="E84" s="1023">
        <v>238169.82488500638</v>
      </c>
      <c r="F84" s="1024">
        <v>67</v>
      </c>
      <c r="G84" s="1025">
        <v>569.60967937788098</v>
      </c>
      <c r="H84" s="1026">
        <v>23551.622238373711</v>
      </c>
      <c r="I84" s="1024">
        <v>0</v>
      </c>
      <c r="J84" s="1025">
        <v>158.62710748085348</v>
      </c>
      <c r="K84" s="1026">
        <v>0</v>
      </c>
      <c r="L84" s="1024">
        <v>19</v>
      </c>
      <c r="M84" s="1025">
        <v>3935.2023104669443</v>
      </c>
      <c r="N84" s="1026">
        <v>46824.210586098139</v>
      </c>
      <c r="O84" s="1024">
        <v>0</v>
      </c>
      <c r="P84" s="1025">
        <v>1525.492171506211</v>
      </c>
      <c r="Q84" s="1026">
        <v>0</v>
      </c>
      <c r="R84" s="1027">
        <v>323768</v>
      </c>
      <c r="S84" s="1025">
        <v>8353</v>
      </c>
      <c r="T84" s="1025">
        <v>-15387</v>
      </c>
      <c r="U84" s="1028">
        <v>-7034</v>
      </c>
      <c r="V84" s="1027">
        <v>316734</v>
      </c>
      <c r="W84" s="1026">
        <v>-791</v>
      </c>
      <c r="X84" s="1027">
        <v>315943</v>
      </c>
      <c r="Y84" s="1026">
        <v>0</v>
      </c>
      <c r="Z84" s="1027">
        <v>316651</v>
      </c>
      <c r="AA84" s="1025">
        <v>215352</v>
      </c>
      <c r="AB84" s="1025">
        <v>101299</v>
      </c>
      <c r="AC84" s="1027">
        <v>25325</v>
      </c>
      <c r="AD84" s="1029">
        <v>316651</v>
      </c>
      <c r="AE84" s="1025">
        <v>5423</v>
      </c>
      <c r="AF84" s="1030">
        <v>1036078</v>
      </c>
      <c r="AG84" s="1024">
        <v>-3</v>
      </c>
      <c r="AH84" s="1025">
        <v>-101050</v>
      </c>
      <c r="AI84" s="1024">
        <v>-7</v>
      </c>
      <c r="AJ84" s="1025">
        <v>-31643</v>
      </c>
      <c r="AK84" s="1028">
        <v>-132693</v>
      </c>
      <c r="AL84" s="1030">
        <v>903385</v>
      </c>
      <c r="AM84" s="1025">
        <v>-2258</v>
      </c>
      <c r="AN84" s="1030">
        <v>901127</v>
      </c>
      <c r="AO84" s="1025">
        <v>0</v>
      </c>
      <c r="AP84" s="1030">
        <v>901127</v>
      </c>
      <c r="AQ84" s="1025">
        <v>647662</v>
      </c>
      <c r="AR84" s="1025">
        <v>253465</v>
      </c>
      <c r="AS84" s="1030">
        <v>63366</v>
      </c>
      <c r="AT84" s="787">
        <v>1217778</v>
      </c>
      <c r="AU84" s="787">
        <v>88691</v>
      </c>
      <c r="AV84" s="516"/>
      <c r="AW84" s="165">
        <v>2436</v>
      </c>
      <c r="AX84" s="165">
        <v>2258</v>
      </c>
      <c r="AY84" s="165">
        <v>-178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60" t="s">
        <v>546</v>
      </c>
    </row>
    <row r="92" spans="1:52" x14ac:dyDescent="0.2">
      <c r="B92" s="857" t="s">
        <v>1462</v>
      </c>
    </row>
    <row r="93" spans="1:52" x14ac:dyDescent="0.2">
      <c r="B93" s="857" t="s">
        <v>1159</v>
      </c>
    </row>
    <row r="94" spans="1:52" x14ac:dyDescent="0.2">
      <c r="B94" s="857" t="s">
        <v>1479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P88:P89"/>
    <mergeCell ref="A81:B81"/>
    <mergeCell ref="A82:B82"/>
    <mergeCell ref="A83:B83"/>
    <mergeCell ref="A84:B84"/>
    <mergeCell ref="J88:J89"/>
    <mergeCell ref="M88:M89"/>
    <mergeCell ref="A76:B76"/>
    <mergeCell ref="A78:B78"/>
    <mergeCell ref="A79:B79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7:B77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1406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3" style="5" bestFit="1" customWidth="1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897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4.25" customHeight="1" x14ac:dyDescent="0.2">
      <c r="A4" s="203"/>
      <c r="B4" s="204"/>
      <c r="C4" s="202">
        <v>1</v>
      </c>
      <c r="D4" s="202">
        <v>2</v>
      </c>
      <c r="E4" s="202">
        <v>3</v>
      </c>
      <c r="F4" s="202">
        <v>4</v>
      </c>
      <c r="G4" s="202">
        <v>5</v>
      </c>
      <c r="H4" s="202">
        <v>6</v>
      </c>
      <c r="I4" s="202">
        <v>7</v>
      </c>
      <c r="J4" s="202">
        <v>8</v>
      </c>
      <c r="K4" s="202">
        <v>9</v>
      </c>
      <c r="L4" s="202">
        <v>10</v>
      </c>
      <c r="M4" s="202">
        <v>11</v>
      </c>
      <c r="N4" s="202">
        <v>12</v>
      </c>
      <c r="O4" s="202">
        <v>13</v>
      </c>
      <c r="P4" s="202">
        <v>14</v>
      </c>
      <c r="Q4" s="202">
        <v>15</v>
      </c>
      <c r="R4" s="202">
        <v>16</v>
      </c>
      <c r="S4" s="202">
        <v>17</v>
      </c>
      <c r="T4" s="202">
        <v>18</v>
      </c>
      <c r="U4" s="202">
        <v>19</v>
      </c>
      <c r="V4" s="202">
        <v>20</v>
      </c>
      <c r="W4" s="202">
        <v>21</v>
      </c>
      <c r="X4" s="202">
        <v>22</v>
      </c>
      <c r="Y4" s="202">
        <v>23</v>
      </c>
      <c r="Z4" s="202">
        <v>24</v>
      </c>
      <c r="AA4" s="202">
        <v>25</v>
      </c>
      <c r="AB4" s="202">
        <v>26</v>
      </c>
      <c r="AC4" s="202">
        <v>27</v>
      </c>
      <c r="AD4" s="202">
        <v>28</v>
      </c>
      <c r="AE4" s="202">
        <v>29</v>
      </c>
      <c r="AF4" s="202">
        <v>30</v>
      </c>
      <c r="AG4" s="202">
        <v>31</v>
      </c>
      <c r="AH4" s="202">
        <v>32</v>
      </c>
      <c r="AI4" s="202">
        <v>33</v>
      </c>
      <c r="AJ4" s="202">
        <v>34</v>
      </c>
      <c r="AK4" s="202">
        <v>35</v>
      </c>
      <c r="AL4" s="202">
        <v>36</v>
      </c>
      <c r="AM4" s="202">
        <v>37</v>
      </c>
      <c r="AN4" s="202">
        <v>38</v>
      </c>
      <c r="AO4" s="202">
        <v>39</v>
      </c>
      <c r="AP4" s="202">
        <v>40</v>
      </c>
      <c r="AQ4" s="202">
        <v>41</v>
      </c>
      <c r="AR4" s="202">
        <v>42</v>
      </c>
      <c r="AS4" s="202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36637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61099</v>
      </c>
      <c r="AM32" s="128"/>
      <c r="AN32" s="125"/>
      <c r="AO32" s="118">
        <v>0</v>
      </c>
      <c r="AP32" s="125"/>
      <c r="AQ32" s="126"/>
      <c r="AR32" s="126"/>
      <c r="AS32" s="125">
        <v>6477</v>
      </c>
      <c r="AT32" s="779">
        <v>115523</v>
      </c>
      <c r="AU32" s="780">
        <v>12949</v>
      </c>
      <c r="AV32" s="344"/>
      <c r="AW32" s="119">
        <v>109</v>
      </c>
      <c r="AX32" s="119">
        <v>153</v>
      </c>
      <c r="AY32" s="119">
        <v>44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247399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563274</v>
      </c>
      <c r="AM42" s="128"/>
      <c r="AN42" s="125"/>
      <c r="AO42" s="118">
        <v>-23954</v>
      </c>
      <c r="AP42" s="125"/>
      <c r="AQ42" s="126"/>
      <c r="AR42" s="126"/>
      <c r="AS42" s="125">
        <v>39613</v>
      </c>
      <c r="AT42" s="779">
        <v>897665</v>
      </c>
      <c r="AU42" s="780">
        <v>67804</v>
      </c>
      <c r="AV42" s="344"/>
      <c r="AW42" s="119">
        <v>958</v>
      </c>
      <c r="AX42" s="119">
        <v>1408</v>
      </c>
      <c r="AY42" s="119">
        <v>450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5443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7582</v>
      </c>
      <c r="AM50" s="147"/>
      <c r="AN50" s="144"/>
      <c r="AO50" s="136">
        <v>0</v>
      </c>
      <c r="AP50" s="144"/>
      <c r="AQ50" s="145"/>
      <c r="AR50" s="145"/>
      <c r="AS50" s="144">
        <v>559</v>
      </c>
      <c r="AT50" s="781">
        <v>18099</v>
      </c>
      <c r="AU50" s="782">
        <v>1437</v>
      </c>
      <c r="AV50" s="344"/>
      <c r="AW50" s="137">
        <v>10</v>
      </c>
      <c r="AX50" s="137">
        <v>19</v>
      </c>
      <c r="AY50" s="137">
        <v>9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7168</v>
      </c>
      <c r="AM51" s="162"/>
      <c r="AN51" s="159"/>
      <c r="AO51" s="150">
        <v>0</v>
      </c>
      <c r="AP51" s="159"/>
      <c r="AQ51" s="160"/>
      <c r="AR51" s="160"/>
      <c r="AS51" s="159">
        <v>1788</v>
      </c>
      <c r="AT51" s="783">
        <v>8621</v>
      </c>
      <c r="AU51" s="784">
        <v>2156</v>
      </c>
      <c r="AV51" s="344"/>
      <c r="AW51" s="151">
        <v>0</v>
      </c>
      <c r="AX51" s="151">
        <v>18</v>
      </c>
      <c r="AY51" s="151">
        <v>18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1347</v>
      </c>
      <c r="AM59" s="147"/>
      <c r="AN59" s="144"/>
      <c r="AO59" s="136">
        <v>0</v>
      </c>
      <c r="AP59" s="144"/>
      <c r="AQ59" s="145"/>
      <c r="AR59" s="145"/>
      <c r="AS59" s="144">
        <v>336</v>
      </c>
      <c r="AT59" s="781">
        <v>4051</v>
      </c>
      <c r="AU59" s="782">
        <v>1013</v>
      </c>
      <c r="AV59" s="344"/>
      <c r="AW59" s="137">
        <v>0</v>
      </c>
      <c r="AX59" s="137">
        <v>3</v>
      </c>
      <c r="AY59" s="137">
        <v>3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67</v>
      </c>
      <c r="D76" s="1022">
        <v>4255.7718143692655</v>
      </c>
      <c r="E76" s="1023">
        <v>232374.83292845555</v>
      </c>
      <c r="F76" s="1024">
        <v>54</v>
      </c>
      <c r="G76" s="1025">
        <v>569.60967937788098</v>
      </c>
      <c r="H76" s="1026">
        <v>25336.597005490818</v>
      </c>
      <c r="I76" s="1024">
        <v>0</v>
      </c>
      <c r="J76" s="1025">
        <v>158.62710748085348</v>
      </c>
      <c r="K76" s="1026">
        <v>0</v>
      </c>
      <c r="L76" s="1024">
        <v>10</v>
      </c>
      <c r="M76" s="1025">
        <v>3935.2023104669443</v>
      </c>
      <c r="N76" s="1026">
        <v>31767.992498219352</v>
      </c>
      <c r="O76" s="1024">
        <v>0</v>
      </c>
      <c r="P76" s="1025">
        <v>1525.492171506211</v>
      </c>
      <c r="Q76" s="1026">
        <v>0</v>
      </c>
      <c r="R76" s="1027">
        <v>289479</v>
      </c>
      <c r="S76" s="1025">
        <v>128668</v>
      </c>
      <c r="T76" s="1025">
        <v>11973</v>
      </c>
      <c r="U76" s="1028">
        <v>140641</v>
      </c>
      <c r="V76" s="1027">
        <v>430120</v>
      </c>
      <c r="W76" s="1026">
        <v>-1076</v>
      </c>
      <c r="X76" s="1027">
        <v>429044</v>
      </c>
      <c r="Y76" s="1026">
        <v>0</v>
      </c>
      <c r="Z76" s="1027">
        <v>429044</v>
      </c>
      <c r="AA76" s="1025">
        <v>282704</v>
      </c>
      <c r="AB76" s="1025">
        <v>146340</v>
      </c>
      <c r="AC76" s="1027">
        <v>36586</v>
      </c>
      <c r="AD76" s="1029">
        <v>429044</v>
      </c>
      <c r="AE76" s="1025">
        <v>5423</v>
      </c>
      <c r="AF76" s="1030">
        <v>428399</v>
      </c>
      <c r="AG76" s="1024">
        <v>36</v>
      </c>
      <c r="AH76" s="1025">
        <v>226474</v>
      </c>
      <c r="AI76" s="1024">
        <v>-6</v>
      </c>
      <c r="AJ76" s="1025">
        <v>-14403</v>
      </c>
      <c r="AK76" s="1028">
        <v>212071</v>
      </c>
      <c r="AL76" s="1030">
        <v>640470</v>
      </c>
      <c r="AM76" s="1025">
        <v>-1601</v>
      </c>
      <c r="AN76" s="1030">
        <v>638869</v>
      </c>
      <c r="AO76" s="1025">
        <v>-23954</v>
      </c>
      <c r="AP76" s="1030">
        <v>614915</v>
      </c>
      <c r="AQ76" s="1025">
        <v>419828</v>
      </c>
      <c r="AR76" s="1025">
        <v>195087</v>
      </c>
      <c r="AS76" s="1030">
        <v>48773</v>
      </c>
      <c r="AT76" s="787">
        <v>1043959</v>
      </c>
      <c r="AU76" s="787">
        <v>85359</v>
      </c>
      <c r="AV76" s="516"/>
      <c r="AW76" s="165">
        <v>1077</v>
      </c>
      <c r="AX76" s="165">
        <v>1601</v>
      </c>
      <c r="AY76" s="165">
        <v>524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11143</v>
      </c>
      <c r="S77" s="975"/>
      <c r="T77" s="975"/>
      <c r="U77" s="975"/>
      <c r="V77" s="976">
        <v>11143</v>
      </c>
      <c r="W77" s="1018">
        <v>-28</v>
      </c>
      <c r="X77" s="976">
        <v>11115</v>
      </c>
      <c r="Y77" s="975"/>
      <c r="Z77" s="976">
        <v>11115</v>
      </c>
      <c r="AA77" s="975">
        <v>7294</v>
      </c>
      <c r="AB77" s="975">
        <v>3821</v>
      </c>
      <c r="AC77" s="976">
        <v>955</v>
      </c>
      <c r="AD77" s="1020">
        <v>11115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11115</v>
      </c>
      <c r="AU77" s="1179">
        <v>955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28271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67</v>
      </c>
      <c r="D84" s="1022">
        <v>4255.7718143692655</v>
      </c>
      <c r="E84" s="1023">
        <v>232374.83292845555</v>
      </c>
      <c r="F84" s="1024">
        <v>54</v>
      </c>
      <c r="G84" s="1025">
        <v>569.60967937788098</v>
      </c>
      <c r="H84" s="1026">
        <v>25336.597005490818</v>
      </c>
      <c r="I84" s="1024">
        <v>0</v>
      </c>
      <c r="J84" s="1025">
        <v>158.62710748085348</v>
      </c>
      <c r="K84" s="1026">
        <v>0</v>
      </c>
      <c r="L84" s="1024">
        <v>10</v>
      </c>
      <c r="M84" s="1025">
        <v>3935.2023104669443</v>
      </c>
      <c r="N84" s="1026">
        <v>31767.992498219352</v>
      </c>
      <c r="O84" s="1024">
        <v>0</v>
      </c>
      <c r="P84" s="1025">
        <v>1525.492171506211</v>
      </c>
      <c r="Q84" s="1026">
        <v>0</v>
      </c>
      <c r="R84" s="1027">
        <v>300622</v>
      </c>
      <c r="S84" s="1025">
        <v>128668</v>
      </c>
      <c r="T84" s="1025">
        <v>11973</v>
      </c>
      <c r="U84" s="1028">
        <v>140641</v>
      </c>
      <c r="V84" s="1027">
        <v>441263</v>
      </c>
      <c r="W84" s="1026">
        <v>-1104</v>
      </c>
      <c r="X84" s="1027">
        <v>440159</v>
      </c>
      <c r="Y84" s="1026">
        <v>0</v>
      </c>
      <c r="Z84" s="1027">
        <v>440159</v>
      </c>
      <c r="AA84" s="1025">
        <v>289998</v>
      </c>
      <c r="AB84" s="1025">
        <v>150161</v>
      </c>
      <c r="AC84" s="1027">
        <v>37541</v>
      </c>
      <c r="AD84" s="1029">
        <v>468430</v>
      </c>
      <c r="AE84" s="1025">
        <v>5423</v>
      </c>
      <c r="AF84" s="1030">
        <v>428399</v>
      </c>
      <c r="AG84" s="1024">
        <v>36</v>
      </c>
      <c r="AH84" s="1025">
        <v>226474</v>
      </c>
      <c r="AI84" s="1024">
        <v>-6</v>
      </c>
      <c r="AJ84" s="1025">
        <v>-14403</v>
      </c>
      <c r="AK84" s="1028">
        <v>212071</v>
      </c>
      <c r="AL84" s="1030">
        <v>640470</v>
      </c>
      <c r="AM84" s="1025">
        <v>-1601</v>
      </c>
      <c r="AN84" s="1030">
        <v>638869</v>
      </c>
      <c r="AO84" s="1025">
        <v>-23954</v>
      </c>
      <c r="AP84" s="1030">
        <v>614915</v>
      </c>
      <c r="AQ84" s="1025">
        <v>419828</v>
      </c>
      <c r="AR84" s="1025">
        <v>195087</v>
      </c>
      <c r="AS84" s="1030">
        <v>48773</v>
      </c>
      <c r="AT84" s="787">
        <v>1055074</v>
      </c>
      <c r="AU84" s="787">
        <v>86314</v>
      </c>
      <c r="AV84" s="516"/>
      <c r="AW84" s="165">
        <v>1077</v>
      </c>
      <c r="AX84" s="165">
        <v>1601</v>
      </c>
      <c r="AY84" s="165">
        <v>524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16" t="s">
        <v>1171</v>
      </c>
      <c r="D89" s="8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C90" s="16"/>
      <c r="D90" s="8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695</v>
      </c>
      <c r="C91" s="16"/>
      <c r="D91" s="8"/>
    </row>
    <row r="92" spans="1:52" x14ac:dyDescent="0.2">
      <c r="B92" s="857" t="s">
        <v>1462</v>
      </c>
    </row>
    <row r="93" spans="1:52" x14ac:dyDescent="0.2">
      <c r="B93" s="857" t="s">
        <v>1160</v>
      </c>
    </row>
    <row r="94" spans="1:52" x14ac:dyDescent="0.2">
      <c r="B94" s="857" t="s">
        <v>1478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S2:AS3"/>
    <mergeCell ref="A76:B76"/>
    <mergeCell ref="AN2:AN3"/>
    <mergeCell ref="AO2:AO3"/>
    <mergeCell ref="S2:U2"/>
    <mergeCell ref="V2:V3"/>
    <mergeCell ref="AP2:AP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1406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3" style="5" bestFit="1" customWidth="1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898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4.25" customHeight="1" x14ac:dyDescent="0.2">
      <c r="A4" s="203"/>
      <c r="B4" s="204"/>
      <c r="C4" s="202">
        <v>1</v>
      </c>
      <c r="D4" s="202">
        <v>2</v>
      </c>
      <c r="E4" s="202">
        <v>3</v>
      </c>
      <c r="F4" s="202">
        <v>4</v>
      </c>
      <c r="G4" s="202">
        <v>5</v>
      </c>
      <c r="H4" s="202">
        <v>6</v>
      </c>
      <c r="I4" s="202">
        <v>7</v>
      </c>
      <c r="J4" s="202">
        <v>8</v>
      </c>
      <c r="K4" s="202">
        <v>9</v>
      </c>
      <c r="L4" s="202">
        <v>10</v>
      </c>
      <c r="M4" s="202">
        <v>11</v>
      </c>
      <c r="N4" s="202">
        <v>12</v>
      </c>
      <c r="O4" s="202">
        <v>13</v>
      </c>
      <c r="P4" s="202">
        <v>14</v>
      </c>
      <c r="Q4" s="202">
        <v>15</v>
      </c>
      <c r="R4" s="202">
        <v>16</v>
      </c>
      <c r="S4" s="202">
        <v>17</v>
      </c>
      <c r="T4" s="202">
        <v>18</v>
      </c>
      <c r="U4" s="202">
        <v>19</v>
      </c>
      <c r="V4" s="202">
        <v>20</v>
      </c>
      <c r="W4" s="202">
        <v>21</v>
      </c>
      <c r="X4" s="202">
        <v>22</v>
      </c>
      <c r="Y4" s="202">
        <v>23</v>
      </c>
      <c r="Z4" s="202">
        <v>24</v>
      </c>
      <c r="AA4" s="202">
        <v>25</v>
      </c>
      <c r="AB4" s="202">
        <v>26</v>
      </c>
      <c r="AC4" s="202">
        <v>27</v>
      </c>
      <c r="AD4" s="202">
        <v>28</v>
      </c>
      <c r="AE4" s="202">
        <v>29</v>
      </c>
      <c r="AF4" s="202">
        <v>30</v>
      </c>
      <c r="AG4" s="202">
        <v>31</v>
      </c>
      <c r="AH4" s="202">
        <v>32</v>
      </c>
      <c r="AI4" s="202">
        <v>33</v>
      </c>
      <c r="AJ4" s="202">
        <v>34</v>
      </c>
      <c r="AK4" s="202">
        <v>35</v>
      </c>
      <c r="AL4" s="202">
        <v>36</v>
      </c>
      <c r="AM4" s="202">
        <v>37</v>
      </c>
      <c r="AN4" s="202">
        <v>38</v>
      </c>
      <c r="AO4" s="202">
        <v>39</v>
      </c>
      <c r="AP4" s="202">
        <v>40</v>
      </c>
      <c r="AQ4" s="202">
        <v>41</v>
      </c>
      <c r="AR4" s="202">
        <v>42</v>
      </c>
      <c r="AS4" s="202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19861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3869</v>
      </c>
      <c r="AM7" s="128"/>
      <c r="AN7" s="125"/>
      <c r="AO7" s="118">
        <v>0</v>
      </c>
      <c r="AP7" s="125"/>
      <c r="AQ7" s="126"/>
      <c r="AR7" s="126"/>
      <c r="AS7" s="125">
        <v>95</v>
      </c>
      <c r="AT7" s="779">
        <v>14179</v>
      </c>
      <c r="AU7" s="780">
        <v>-627</v>
      </c>
      <c r="AV7" s="344"/>
      <c r="AW7" s="119">
        <v>13</v>
      </c>
      <c r="AX7" s="119">
        <v>10</v>
      </c>
      <c r="AY7" s="119">
        <v>-3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9934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3704</v>
      </c>
      <c r="AM29" s="147"/>
      <c r="AN29" s="144"/>
      <c r="AO29" s="136">
        <v>0</v>
      </c>
      <c r="AP29" s="144"/>
      <c r="AQ29" s="145"/>
      <c r="AR29" s="145"/>
      <c r="AS29" s="144">
        <v>320</v>
      </c>
      <c r="AT29" s="781">
        <v>12958</v>
      </c>
      <c r="AU29" s="782">
        <v>984</v>
      </c>
      <c r="AV29" s="344"/>
      <c r="AW29" s="137">
        <v>9</v>
      </c>
      <c r="AX29" s="137">
        <v>9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3604</v>
      </c>
      <c r="AM33" s="147"/>
      <c r="AN33" s="144"/>
      <c r="AO33" s="136">
        <v>0</v>
      </c>
      <c r="AP33" s="144"/>
      <c r="AQ33" s="145"/>
      <c r="AR33" s="145"/>
      <c r="AS33" s="144">
        <v>899</v>
      </c>
      <c r="AT33" s="781">
        <v>9516</v>
      </c>
      <c r="AU33" s="782">
        <v>2379</v>
      </c>
      <c r="AV33" s="344"/>
      <c r="AW33" s="137">
        <v>0</v>
      </c>
      <c r="AX33" s="137">
        <v>9</v>
      </c>
      <c r="AY33" s="137">
        <v>9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243925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338540</v>
      </c>
      <c r="AM34" s="147"/>
      <c r="AN34" s="144"/>
      <c r="AO34" s="136">
        <v>0</v>
      </c>
      <c r="AP34" s="144"/>
      <c r="AQ34" s="145"/>
      <c r="AR34" s="145"/>
      <c r="AS34" s="144">
        <v>35521</v>
      </c>
      <c r="AT34" s="781">
        <v>608824</v>
      </c>
      <c r="AU34" s="782">
        <v>62751</v>
      </c>
      <c r="AV34" s="344"/>
      <c r="AW34" s="137">
        <v>735</v>
      </c>
      <c r="AX34" s="137">
        <v>846</v>
      </c>
      <c r="AY34" s="137">
        <v>111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10454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4194</v>
      </c>
      <c r="AM55" s="147"/>
      <c r="AN55" s="144"/>
      <c r="AO55" s="136">
        <v>0</v>
      </c>
      <c r="AP55" s="144"/>
      <c r="AQ55" s="145"/>
      <c r="AR55" s="145"/>
      <c r="AS55" s="144">
        <v>129</v>
      </c>
      <c r="AT55" s="781">
        <v>12004</v>
      </c>
      <c r="AU55" s="782">
        <v>346</v>
      </c>
      <c r="AV55" s="344"/>
      <c r="AW55" s="137">
        <v>14</v>
      </c>
      <c r="AX55" s="137">
        <v>10</v>
      </c>
      <c r="AY55" s="137">
        <v>-4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9666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7654</v>
      </c>
      <c r="AM56" s="162"/>
      <c r="AN56" s="159"/>
      <c r="AO56" s="150">
        <v>0</v>
      </c>
      <c r="AP56" s="159"/>
      <c r="AQ56" s="160"/>
      <c r="AR56" s="160"/>
      <c r="AS56" s="159">
        <v>1288</v>
      </c>
      <c r="AT56" s="783">
        <v>18257</v>
      </c>
      <c r="AU56" s="784">
        <v>2336</v>
      </c>
      <c r="AV56" s="344"/>
      <c r="AW56" s="151">
        <v>9</v>
      </c>
      <c r="AX56" s="151">
        <v>19</v>
      </c>
      <c r="AY56" s="151">
        <v>10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4612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-746</v>
      </c>
      <c r="AT57" s="779">
        <v>0</v>
      </c>
      <c r="AU57" s="780">
        <v>-1513</v>
      </c>
      <c r="AV57" s="344"/>
      <c r="AW57" s="119">
        <v>11</v>
      </c>
      <c r="AX57" s="119">
        <v>0</v>
      </c>
      <c r="AY57" s="119">
        <v>-11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22302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2601</v>
      </c>
      <c r="AM63" s="147"/>
      <c r="AN63" s="144"/>
      <c r="AO63" s="136">
        <v>0</v>
      </c>
      <c r="AP63" s="144"/>
      <c r="AQ63" s="145"/>
      <c r="AR63" s="145"/>
      <c r="AS63" s="144">
        <v>-1178</v>
      </c>
      <c r="AT63" s="781">
        <v>8155</v>
      </c>
      <c r="AU63" s="782">
        <v>-3496</v>
      </c>
      <c r="AV63" s="344"/>
      <c r="AW63" s="137">
        <v>27</v>
      </c>
      <c r="AX63" s="137">
        <v>7</v>
      </c>
      <c r="AY63" s="137">
        <v>-20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64</v>
      </c>
      <c r="D76" s="1022">
        <v>4255.7718143692655</v>
      </c>
      <c r="E76" s="1023">
        <v>240324.86682567236</v>
      </c>
      <c r="F76" s="1024">
        <v>56</v>
      </c>
      <c r="G76" s="1025">
        <v>569.60967937788098</v>
      </c>
      <c r="H76" s="1026">
        <v>29036.566533227964</v>
      </c>
      <c r="I76" s="1024">
        <v>3</v>
      </c>
      <c r="J76" s="1025">
        <v>158.62710748085348</v>
      </c>
      <c r="K76" s="1026">
        <v>397.59735696867892</v>
      </c>
      <c r="L76" s="1024">
        <v>14</v>
      </c>
      <c r="M76" s="1025">
        <v>3935.2023104669443</v>
      </c>
      <c r="N76" s="1026">
        <v>50995.326559741741</v>
      </c>
      <c r="O76" s="1024">
        <v>0</v>
      </c>
      <c r="P76" s="1025">
        <v>1525.492171506211</v>
      </c>
      <c r="Q76" s="1026">
        <v>0</v>
      </c>
      <c r="R76" s="1027">
        <v>320754</v>
      </c>
      <c r="S76" s="1025">
        <v>8634</v>
      </c>
      <c r="T76" s="1025">
        <v>-7946</v>
      </c>
      <c r="U76" s="1028">
        <v>688</v>
      </c>
      <c r="V76" s="1027">
        <v>321442</v>
      </c>
      <c r="W76" s="1026">
        <v>-805</v>
      </c>
      <c r="X76" s="1027">
        <v>320637</v>
      </c>
      <c r="Y76" s="1026">
        <v>0</v>
      </c>
      <c r="Z76" s="1027">
        <v>320637</v>
      </c>
      <c r="AA76" s="1025">
        <v>213306</v>
      </c>
      <c r="AB76" s="1025">
        <v>107331</v>
      </c>
      <c r="AC76" s="1027">
        <v>26832</v>
      </c>
      <c r="AD76" s="1029">
        <v>320637</v>
      </c>
      <c r="AE76" s="1025">
        <v>5423</v>
      </c>
      <c r="AF76" s="1030">
        <v>339944</v>
      </c>
      <c r="AG76" s="1024">
        <v>4</v>
      </c>
      <c r="AH76" s="1025">
        <v>27864</v>
      </c>
      <c r="AI76" s="1024">
        <v>-3</v>
      </c>
      <c r="AJ76" s="1025">
        <v>-3642</v>
      </c>
      <c r="AK76" s="1028">
        <v>24222</v>
      </c>
      <c r="AL76" s="1030">
        <v>364166</v>
      </c>
      <c r="AM76" s="1025">
        <v>-910</v>
      </c>
      <c r="AN76" s="1030">
        <v>363256</v>
      </c>
      <c r="AO76" s="1025">
        <v>0</v>
      </c>
      <c r="AP76" s="1030">
        <v>363256</v>
      </c>
      <c r="AQ76" s="1025">
        <v>217946</v>
      </c>
      <c r="AR76" s="1025">
        <v>145310</v>
      </c>
      <c r="AS76" s="1030">
        <v>36328</v>
      </c>
      <c r="AT76" s="787">
        <v>683893</v>
      </c>
      <c r="AU76" s="787">
        <v>63160</v>
      </c>
      <c r="AV76" s="516"/>
      <c r="AW76" s="165">
        <v>818</v>
      </c>
      <c r="AX76" s="165">
        <v>910</v>
      </c>
      <c r="AY76" s="165">
        <v>92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12640</v>
      </c>
      <c r="S77" s="975"/>
      <c r="T77" s="975"/>
      <c r="U77" s="975"/>
      <c r="V77" s="976">
        <v>12640</v>
      </c>
      <c r="W77" s="1018">
        <v>-32</v>
      </c>
      <c r="X77" s="976">
        <v>12608</v>
      </c>
      <c r="Y77" s="975"/>
      <c r="Z77" s="976">
        <v>12608</v>
      </c>
      <c r="AA77" s="975">
        <v>9262</v>
      </c>
      <c r="AB77" s="975">
        <v>3346</v>
      </c>
      <c r="AC77" s="976">
        <v>837</v>
      </c>
      <c r="AD77" s="1020">
        <v>12608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12608</v>
      </c>
      <c r="AU77" s="1179">
        <v>837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3776</v>
      </c>
      <c r="AA83" s="156">
        <v>2518</v>
      </c>
      <c r="AB83" s="795">
        <v>1258</v>
      </c>
      <c r="AC83" s="157">
        <v>315</v>
      </c>
      <c r="AD83" s="157">
        <v>3776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3776</v>
      </c>
      <c r="AU83" s="796">
        <v>315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64</v>
      </c>
      <c r="D84" s="1022">
        <v>4255.7718143692655</v>
      </c>
      <c r="E84" s="1023">
        <v>240324.86682567236</v>
      </c>
      <c r="F84" s="1024">
        <v>56</v>
      </c>
      <c r="G84" s="1025">
        <v>569.60967937788098</v>
      </c>
      <c r="H84" s="1026">
        <v>29036.566533227964</v>
      </c>
      <c r="I84" s="1024">
        <v>3</v>
      </c>
      <c r="J84" s="1025">
        <v>158.62710748085348</v>
      </c>
      <c r="K84" s="1026">
        <v>397.59735696867892</v>
      </c>
      <c r="L84" s="1024">
        <v>14</v>
      </c>
      <c r="M84" s="1025">
        <v>3935.2023104669443</v>
      </c>
      <c r="N84" s="1026">
        <v>50995.326559741741</v>
      </c>
      <c r="O84" s="1024">
        <v>0</v>
      </c>
      <c r="P84" s="1025">
        <v>1525.492171506211</v>
      </c>
      <c r="Q84" s="1026">
        <v>0</v>
      </c>
      <c r="R84" s="1027">
        <v>333394</v>
      </c>
      <c r="S84" s="1025">
        <v>8634</v>
      </c>
      <c r="T84" s="1025">
        <v>-7946</v>
      </c>
      <c r="U84" s="1028">
        <v>688</v>
      </c>
      <c r="V84" s="1027">
        <v>334082</v>
      </c>
      <c r="W84" s="1026">
        <v>-837</v>
      </c>
      <c r="X84" s="1027">
        <v>333245</v>
      </c>
      <c r="Y84" s="1026">
        <v>0</v>
      </c>
      <c r="Z84" s="1027">
        <v>337021</v>
      </c>
      <c r="AA84" s="1025">
        <v>225086</v>
      </c>
      <c r="AB84" s="1025">
        <v>111935</v>
      </c>
      <c r="AC84" s="1027">
        <v>27984</v>
      </c>
      <c r="AD84" s="1029">
        <v>347021</v>
      </c>
      <c r="AE84" s="1025">
        <v>5423</v>
      </c>
      <c r="AF84" s="1030">
        <v>339944</v>
      </c>
      <c r="AG84" s="1024">
        <v>4</v>
      </c>
      <c r="AH84" s="1025">
        <v>27864</v>
      </c>
      <c r="AI84" s="1024">
        <v>-3</v>
      </c>
      <c r="AJ84" s="1025">
        <v>-3642</v>
      </c>
      <c r="AK84" s="1028">
        <v>24222</v>
      </c>
      <c r="AL84" s="1030">
        <v>364166</v>
      </c>
      <c r="AM84" s="1025">
        <v>-910</v>
      </c>
      <c r="AN84" s="1030">
        <v>363256</v>
      </c>
      <c r="AO84" s="1025">
        <v>0</v>
      </c>
      <c r="AP84" s="1030">
        <v>363256</v>
      </c>
      <c r="AQ84" s="1025">
        <v>217946</v>
      </c>
      <c r="AR84" s="1025">
        <v>145310</v>
      </c>
      <c r="AS84" s="1030">
        <v>36328</v>
      </c>
      <c r="AT84" s="787">
        <v>700277</v>
      </c>
      <c r="AU84" s="787">
        <v>64312</v>
      </c>
      <c r="AV84" s="516"/>
      <c r="AW84" s="165">
        <v>818</v>
      </c>
      <c r="AX84" s="165">
        <v>910</v>
      </c>
      <c r="AY84" s="165">
        <v>92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16" t="s">
        <v>1171</v>
      </c>
      <c r="D89" s="520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C90" s="16"/>
      <c r="D90" s="520"/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697</v>
      </c>
      <c r="C91" s="16"/>
      <c r="D91" s="520"/>
    </row>
    <row r="92" spans="1:52" x14ac:dyDescent="0.2">
      <c r="B92" s="857" t="s">
        <v>1462</v>
      </c>
      <c r="C92" s="16"/>
      <c r="D92" s="520"/>
    </row>
    <row r="93" spans="1:52" x14ac:dyDescent="0.2">
      <c r="B93" s="857" t="s">
        <v>1161</v>
      </c>
      <c r="C93" s="16"/>
      <c r="D93" s="520"/>
    </row>
    <row r="94" spans="1:52" x14ac:dyDescent="0.2">
      <c r="B94" s="857" t="s">
        <v>1477</v>
      </c>
      <c r="C94" s="16"/>
      <c r="D94" s="52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3" style="5" bestFit="1" customWidth="1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899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4.25" customHeight="1" x14ac:dyDescent="0.2">
      <c r="A4" s="203"/>
      <c r="B4" s="204"/>
      <c r="C4" s="202">
        <v>1</v>
      </c>
      <c r="D4" s="202">
        <v>2</v>
      </c>
      <c r="E4" s="202">
        <v>3</v>
      </c>
      <c r="F4" s="202">
        <v>4</v>
      </c>
      <c r="G4" s="202">
        <v>5</v>
      </c>
      <c r="H4" s="202">
        <v>6</v>
      </c>
      <c r="I4" s="202">
        <v>7</v>
      </c>
      <c r="J4" s="202">
        <v>8</v>
      </c>
      <c r="K4" s="202">
        <v>9</v>
      </c>
      <c r="L4" s="202">
        <v>10</v>
      </c>
      <c r="M4" s="202">
        <v>11</v>
      </c>
      <c r="N4" s="202">
        <v>12</v>
      </c>
      <c r="O4" s="202">
        <v>13</v>
      </c>
      <c r="P4" s="202">
        <v>14</v>
      </c>
      <c r="Q4" s="202">
        <v>15</v>
      </c>
      <c r="R4" s="202">
        <v>16</v>
      </c>
      <c r="S4" s="202">
        <v>17</v>
      </c>
      <c r="T4" s="202">
        <v>18</v>
      </c>
      <c r="U4" s="202">
        <v>19</v>
      </c>
      <c r="V4" s="202">
        <v>20</v>
      </c>
      <c r="W4" s="202">
        <v>21</v>
      </c>
      <c r="X4" s="202">
        <v>22</v>
      </c>
      <c r="Y4" s="202">
        <v>23</v>
      </c>
      <c r="Z4" s="202">
        <v>24</v>
      </c>
      <c r="AA4" s="202">
        <v>25</v>
      </c>
      <c r="AB4" s="202">
        <v>26</v>
      </c>
      <c r="AC4" s="202">
        <v>27</v>
      </c>
      <c r="AD4" s="202">
        <v>28</v>
      </c>
      <c r="AE4" s="202">
        <v>29</v>
      </c>
      <c r="AF4" s="202">
        <v>30</v>
      </c>
      <c r="AG4" s="202">
        <v>31</v>
      </c>
      <c r="AH4" s="202">
        <v>32</v>
      </c>
      <c r="AI4" s="202">
        <v>33</v>
      </c>
      <c r="AJ4" s="202">
        <v>34</v>
      </c>
      <c r="AK4" s="202">
        <v>35</v>
      </c>
      <c r="AL4" s="202">
        <v>36</v>
      </c>
      <c r="AM4" s="202">
        <v>37</v>
      </c>
      <c r="AN4" s="202">
        <v>38</v>
      </c>
      <c r="AO4" s="202">
        <v>39</v>
      </c>
      <c r="AP4" s="202">
        <v>40</v>
      </c>
      <c r="AQ4" s="202">
        <v>41</v>
      </c>
      <c r="AR4" s="202">
        <v>42</v>
      </c>
      <c r="AS4" s="202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1122784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2985805</v>
      </c>
      <c r="AM23" s="147"/>
      <c r="AN23" s="144"/>
      <c r="AO23" s="136">
        <v>7721</v>
      </c>
      <c r="AP23" s="144"/>
      <c r="AQ23" s="145"/>
      <c r="AR23" s="145"/>
      <c r="AS23" s="144">
        <v>423083</v>
      </c>
      <c r="AT23" s="781">
        <v>4713382</v>
      </c>
      <c r="AU23" s="782">
        <v>667649</v>
      </c>
      <c r="AV23" s="344"/>
      <c r="AW23" s="137">
        <v>4844</v>
      </c>
      <c r="AX23" s="137">
        <v>7465</v>
      </c>
      <c r="AY23" s="137">
        <v>2621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200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199</v>
      </c>
      <c r="AU38" s="782">
        <v>16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3020</v>
      </c>
      <c r="AM73" s="147"/>
      <c r="AN73" s="144"/>
      <c r="AO73" s="136">
        <v>0</v>
      </c>
      <c r="AP73" s="144"/>
      <c r="AQ73" s="145"/>
      <c r="AR73" s="145"/>
      <c r="AS73" s="144">
        <v>753</v>
      </c>
      <c r="AT73" s="781">
        <v>5424</v>
      </c>
      <c r="AU73" s="782">
        <v>1356</v>
      </c>
      <c r="AV73" s="344"/>
      <c r="AW73" s="785">
        <v>0</v>
      </c>
      <c r="AX73" s="785">
        <v>8</v>
      </c>
      <c r="AY73" s="785">
        <v>8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1580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38325</v>
      </c>
      <c r="AM74" s="147"/>
      <c r="AN74" s="144"/>
      <c r="AO74" s="136">
        <v>0</v>
      </c>
      <c r="AP74" s="144"/>
      <c r="AQ74" s="145"/>
      <c r="AR74" s="145"/>
      <c r="AS74" s="144">
        <v>9557</v>
      </c>
      <c r="AT74" s="781">
        <v>129319</v>
      </c>
      <c r="AU74" s="782">
        <v>32067</v>
      </c>
      <c r="AV74" s="344"/>
      <c r="AW74" s="785">
        <v>0</v>
      </c>
      <c r="AX74" s="785">
        <v>96</v>
      </c>
      <c r="AY74" s="785">
        <v>96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3829</v>
      </c>
      <c r="AM75" s="147"/>
      <c r="AN75" s="144"/>
      <c r="AO75" s="136">
        <v>0</v>
      </c>
      <c r="AP75" s="144"/>
      <c r="AQ75" s="145"/>
      <c r="AR75" s="145"/>
      <c r="AS75" s="144">
        <v>955</v>
      </c>
      <c r="AT75" s="781">
        <v>10010</v>
      </c>
      <c r="AU75" s="782">
        <v>2503</v>
      </c>
      <c r="AV75" s="344"/>
      <c r="AW75" s="786">
        <v>0</v>
      </c>
      <c r="AX75" s="786">
        <v>10</v>
      </c>
      <c r="AY75" s="786">
        <v>10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251</v>
      </c>
      <c r="D76" s="1022">
        <v>4255.7718143692655</v>
      </c>
      <c r="E76" s="1023">
        <v>862257.81761317817</v>
      </c>
      <c r="F76" s="1024">
        <v>224</v>
      </c>
      <c r="G76" s="1025">
        <v>569.60967937788098</v>
      </c>
      <c r="H76" s="1026">
        <v>97736.878481117776</v>
      </c>
      <c r="I76" s="1024">
        <v>227</v>
      </c>
      <c r="J76" s="1025">
        <v>158.62710748085348</v>
      </c>
      <c r="K76" s="1026">
        <v>27721.037068603317</v>
      </c>
      <c r="L76" s="1024">
        <v>46</v>
      </c>
      <c r="M76" s="1025">
        <v>3935.2023104669443</v>
      </c>
      <c r="N76" s="1026">
        <v>136847.4962499417</v>
      </c>
      <c r="O76" s="1024">
        <v>0</v>
      </c>
      <c r="P76" s="1025">
        <v>1525.492171506211</v>
      </c>
      <c r="Q76" s="1026">
        <v>0</v>
      </c>
      <c r="R76" s="1027">
        <v>1124564</v>
      </c>
      <c r="S76" s="1025">
        <v>747070</v>
      </c>
      <c r="T76" s="1025">
        <v>-43456</v>
      </c>
      <c r="U76" s="1028">
        <v>703614</v>
      </c>
      <c r="V76" s="1027">
        <v>1828178</v>
      </c>
      <c r="W76" s="1026">
        <v>-4571</v>
      </c>
      <c r="X76" s="1027">
        <v>1823607</v>
      </c>
      <c r="Y76" s="1026">
        <v>3606</v>
      </c>
      <c r="Z76" s="1027">
        <v>1827213</v>
      </c>
      <c r="AA76" s="1025">
        <v>750240</v>
      </c>
      <c r="AB76" s="1025">
        <v>1076973</v>
      </c>
      <c r="AC76" s="1027">
        <v>269243</v>
      </c>
      <c r="AD76" s="1029">
        <v>1827213</v>
      </c>
      <c r="AE76" s="1025">
        <v>5423</v>
      </c>
      <c r="AF76" s="1030">
        <v>1897309</v>
      </c>
      <c r="AG76" s="1024">
        <v>168</v>
      </c>
      <c r="AH76" s="1025">
        <v>1200999</v>
      </c>
      <c r="AI76" s="1024">
        <v>-20</v>
      </c>
      <c r="AJ76" s="1025">
        <v>-67329</v>
      </c>
      <c r="AK76" s="1028">
        <v>1133670</v>
      </c>
      <c r="AL76" s="1030">
        <v>3030979</v>
      </c>
      <c r="AM76" s="1025">
        <v>-7579</v>
      </c>
      <c r="AN76" s="1030">
        <v>3023400</v>
      </c>
      <c r="AO76" s="1025">
        <v>7721</v>
      </c>
      <c r="AP76" s="1030">
        <v>3031121</v>
      </c>
      <c r="AQ76" s="1025">
        <v>1293730</v>
      </c>
      <c r="AR76" s="1025">
        <v>1737391</v>
      </c>
      <c r="AS76" s="1030">
        <v>434348</v>
      </c>
      <c r="AT76" s="787">
        <v>4858334</v>
      </c>
      <c r="AU76" s="787">
        <v>703591</v>
      </c>
      <c r="AV76" s="516"/>
      <c r="AW76" s="165">
        <v>4844</v>
      </c>
      <c r="AX76" s="165">
        <v>7579</v>
      </c>
      <c r="AY76" s="165">
        <v>2735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55746</v>
      </c>
      <c r="S77" s="975"/>
      <c r="T77" s="975"/>
      <c r="U77" s="975"/>
      <c r="V77" s="976">
        <v>55746</v>
      </c>
      <c r="W77" s="1018">
        <v>-139</v>
      </c>
      <c r="X77" s="976">
        <v>55607</v>
      </c>
      <c r="Y77" s="975"/>
      <c r="Z77" s="976">
        <v>55607</v>
      </c>
      <c r="AA77" s="975">
        <v>30748</v>
      </c>
      <c r="AB77" s="975">
        <v>24859</v>
      </c>
      <c r="AC77" s="976">
        <v>6215</v>
      </c>
      <c r="AD77" s="1020">
        <v>55607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55607</v>
      </c>
      <c r="AU77" s="1179">
        <v>6215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55189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91853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14809</v>
      </c>
      <c r="AA83" s="156">
        <v>9872</v>
      </c>
      <c r="AB83" s="795">
        <v>4937</v>
      </c>
      <c r="AC83" s="157">
        <v>1234</v>
      </c>
      <c r="AD83" s="157">
        <v>14809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14809</v>
      </c>
      <c r="AU83" s="796">
        <v>1234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251</v>
      </c>
      <c r="D84" s="1022">
        <v>4255.7718143692655</v>
      </c>
      <c r="E84" s="1023">
        <v>862257.81761317817</v>
      </c>
      <c r="F84" s="1024">
        <v>224</v>
      </c>
      <c r="G84" s="1025">
        <v>569.60967937788098</v>
      </c>
      <c r="H84" s="1026">
        <v>97736.878481117776</v>
      </c>
      <c r="I84" s="1024">
        <v>227</v>
      </c>
      <c r="J84" s="1025">
        <v>158.62710748085348</v>
      </c>
      <c r="K84" s="1026">
        <v>27721.037068603317</v>
      </c>
      <c r="L84" s="1024">
        <v>46</v>
      </c>
      <c r="M84" s="1025">
        <v>3935.2023104669443</v>
      </c>
      <c r="N84" s="1026">
        <v>136847.4962499417</v>
      </c>
      <c r="O84" s="1024">
        <v>0</v>
      </c>
      <c r="P84" s="1025">
        <v>1525.492171506211</v>
      </c>
      <c r="Q84" s="1026">
        <v>0</v>
      </c>
      <c r="R84" s="1027">
        <v>1180310</v>
      </c>
      <c r="S84" s="1025">
        <v>747070</v>
      </c>
      <c r="T84" s="1025">
        <v>-43456</v>
      </c>
      <c r="U84" s="1028">
        <v>703614</v>
      </c>
      <c r="V84" s="1027">
        <v>1883924</v>
      </c>
      <c r="W84" s="1026">
        <v>-4710</v>
      </c>
      <c r="X84" s="1027">
        <v>1879214</v>
      </c>
      <c r="Y84" s="1026">
        <v>3606</v>
      </c>
      <c r="Z84" s="1027">
        <v>1897629</v>
      </c>
      <c r="AA84" s="1025">
        <v>790860</v>
      </c>
      <c r="AB84" s="1025">
        <v>1106769</v>
      </c>
      <c r="AC84" s="1027">
        <v>276692</v>
      </c>
      <c r="AD84" s="1029">
        <v>2044671</v>
      </c>
      <c r="AE84" s="1025">
        <v>5423</v>
      </c>
      <c r="AF84" s="1030">
        <v>1897309</v>
      </c>
      <c r="AG84" s="1024">
        <v>168</v>
      </c>
      <c r="AH84" s="1025">
        <v>1200999</v>
      </c>
      <c r="AI84" s="1024">
        <v>-20</v>
      </c>
      <c r="AJ84" s="1025">
        <v>-67329</v>
      </c>
      <c r="AK84" s="1028">
        <v>1133670</v>
      </c>
      <c r="AL84" s="1030">
        <v>3030979</v>
      </c>
      <c r="AM84" s="1025">
        <v>-7579</v>
      </c>
      <c r="AN84" s="1030">
        <v>3023400</v>
      </c>
      <c r="AO84" s="1025">
        <v>7721</v>
      </c>
      <c r="AP84" s="1030">
        <v>3031121</v>
      </c>
      <c r="AQ84" s="1025">
        <v>1293730</v>
      </c>
      <c r="AR84" s="1025">
        <v>1737391</v>
      </c>
      <c r="AS84" s="1030">
        <v>434348</v>
      </c>
      <c r="AT84" s="787">
        <v>4928750</v>
      </c>
      <c r="AU84" s="787">
        <v>711040</v>
      </c>
      <c r="AV84" s="516"/>
      <c r="AW84" s="165">
        <v>4844</v>
      </c>
      <c r="AX84" s="165">
        <v>7579</v>
      </c>
      <c r="AY84" s="165">
        <v>2735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698</v>
      </c>
    </row>
    <row r="92" spans="1:52" x14ac:dyDescent="0.2">
      <c r="B92" s="857" t="s">
        <v>1462</v>
      </c>
    </row>
    <row r="93" spans="1:52" x14ac:dyDescent="0.2">
      <c r="B93" s="857" t="s">
        <v>1162</v>
      </c>
    </row>
    <row r="94" spans="1:52" x14ac:dyDescent="0.2">
      <c r="B94" s="857" t="s">
        <v>1476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710937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3" style="5" bestFit="1" customWidth="1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900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654" t="s">
        <v>533</v>
      </c>
      <c r="E3" s="654" t="s">
        <v>320</v>
      </c>
      <c r="F3" s="886" t="s">
        <v>1197</v>
      </c>
      <c r="G3" s="654" t="s">
        <v>392</v>
      </c>
      <c r="H3" s="654" t="s">
        <v>320</v>
      </c>
      <c r="I3" s="886" t="s">
        <v>1198</v>
      </c>
      <c r="J3" s="654" t="s">
        <v>392</v>
      </c>
      <c r="K3" s="654" t="s">
        <v>320</v>
      </c>
      <c r="L3" s="886" t="s">
        <v>1199</v>
      </c>
      <c r="M3" s="654" t="s">
        <v>407</v>
      </c>
      <c r="N3" s="654" t="s">
        <v>320</v>
      </c>
      <c r="O3" s="886" t="s">
        <v>1199</v>
      </c>
      <c r="P3" s="654" t="s">
        <v>407</v>
      </c>
      <c r="Q3" s="654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535" t="s">
        <v>440</v>
      </c>
      <c r="AX3" s="535" t="s">
        <v>441</v>
      </c>
      <c r="AY3" s="535" t="s">
        <v>375</v>
      </c>
    </row>
    <row r="4" spans="1:52" ht="14.25" customHeight="1" x14ac:dyDescent="0.2">
      <c r="A4" s="203"/>
      <c r="B4" s="204"/>
      <c r="C4" s="202">
        <v>1</v>
      </c>
      <c r="D4" s="202">
        <v>2</v>
      </c>
      <c r="E4" s="202">
        <v>3</v>
      </c>
      <c r="F4" s="202">
        <v>4</v>
      </c>
      <c r="G4" s="202">
        <v>5</v>
      </c>
      <c r="H4" s="202">
        <v>6</v>
      </c>
      <c r="I4" s="202">
        <v>7</v>
      </c>
      <c r="J4" s="202">
        <v>8</v>
      </c>
      <c r="K4" s="202">
        <v>9</v>
      </c>
      <c r="L4" s="202">
        <v>10</v>
      </c>
      <c r="M4" s="202">
        <v>11</v>
      </c>
      <c r="N4" s="202">
        <v>12</v>
      </c>
      <c r="O4" s="202">
        <v>13</v>
      </c>
      <c r="P4" s="202">
        <v>14</v>
      </c>
      <c r="Q4" s="202">
        <v>15</v>
      </c>
      <c r="R4" s="202">
        <v>16</v>
      </c>
      <c r="S4" s="202">
        <v>17</v>
      </c>
      <c r="T4" s="202">
        <v>18</v>
      </c>
      <c r="U4" s="202">
        <v>19</v>
      </c>
      <c r="V4" s="202">
        <v>20</v>
      </c>
      <c r="W4" s="202">
        <v>21</v>
      </c>
      <c r="X4" s="202">
        <v>22</v>
      </c>
      <c r="Y4" s="202">
        <v>23</v>
      </c>
      <c r="Z4" s="202">
        <v>24</v>
      </c>
      <c r="AA4" s="202">
        <v>25</v>
      </c>
      <c r="AB4" s="202">
        <v>26</v>
      </c>
      <c r="AC4" s="202">
        <v>27</v>
      </c>
      <c r="AD4" s="202">
        <v>28</v>
      </c>
      <c r="AE4" s="202">
        <v>29</v>
      </c>
      <c r="AF4" s="202">
        <v>30</v>
      </c>
      <c r="AG4" s="202">
        <v>31</v>
      </c>
      <c r="AH4" s="202">
        <v>32</v>
      </c>
      <c r="AI4" s="202">
        <v>33</v>
      </c>
      <c r="AJ4" s="202">
        <v>34</v>
      </c>
      <c r="AK4" s="202">
        <v>35</v>
      </c>
      <c r="AL4" s="202">
        <v>36</v>
      </c>
      <c r="AM4" s="202">
        <v>37</v>
      </c>
      <c r="AN4" s="202">
        <v>38</v>
      </c>
      <c r="AO4" s="202">
        <v>39</v>
      </c>
      <c r="AP4" s="202">
        <v>40</v>
      </c>
      <c r="AQ4" s="202">
        <v>41</v>
      </c>
      <c r="AR4" s="202">
        <v>42</v>
      </c>
      <c r="AS4" s="202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1287377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2641870</v>
      </c>
      <c r="AM23" s="147"/>
      <c r="AN23" s="144"/>
      <c r="AO23" s="136">
        <v>3860</v>
      </c>
      <c r="AP23" s="144"/>
      <c r="AQ23" s="145"/>
      <c r="AR23" s="145"/>
      <c r="AS23" s="144">
        <v>218798</v>
      </c>
      <c r="AT23" s="781">
        <v>4125073</v>
      </c>
      <c r="AU23" s="782">
        <v>347622</v>
      </c>
      <c r="AV23" s="344"/>
      <c r="AW23" s="137">
        <v>5848</v>
      </c>
      <c r="AX23" s="137">
        <v>6605</v>
      </c>
      <c r="AY23" s="137">
        <v>757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>
        <v>0</v>
      </c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>
        <v>0</v>
      </c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>
        <v>0</v>
      </c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6041</v>
      </c>
      <c r="AM73" s="147"/>
      <c r="AN73" s="144"/>
      <c r="AO73" s="136">
        <v>0</v>
      </c>
      <c r="AP73" s="144"/>
      <c r="AQ73" s="145"/>
      <c r="AR73" s="145"/>
      <c r="AS73" s="144">
        <v>1507</v>
      </c>
      <c r="AT73" s="781">
        <v>15880</v>
      </c>
      <c r="AU73" s="782">
        <v>3971</v>
      </c>
      <c r="AV73" s="344"/>
      <c r="AW73" s="785">
        <v>0</v>
      </c>
      <c r="AX73" s="785">
        <v>15</v>
      </c>
      <c r="AY73" s="785">
        <v>15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18923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35259</v>
      </c>
      <c r="AM74" s="147"/>
      <c r="AN74" s="144"/>
      <c r="AO74" s="136">
        <v>0</v>
      </c>
      <c r="AP74" s="144"/>
      <c r="AQ74" s="145"/>
      <c r="AR74" s="145"/>
      <c r="AS74" s="144">
        <v>2840</v>
      </c>
      <c r="AT74" s="781">
        <v>114191</v>
      </c>
      <c r="AU74" s="782">
        <v>9611</v>
      </c>
      <c r="AV74" s="344"/>
      <c r="AW74" s="785">
        <v>22</v>
      </c>
      <c r="AX74" s="785">
        <v>88</v>
      </c>
      <c r="AY74" s="785">
        <v>66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306</v>
      </c>
      <c r="D76" s="1022">
        <v>4255.7718143692655</v>
      </c>
      <c r="E76" s="1023">
        <v>1057643.1567930938</v>
      </c>
      <c r="F76" s="1024">
        <v>302</v>
      </c>
      <c r="G76" s="1025">
        <v>569.60967937788098</v>
      </c>
      <c r="H76" s="1026">
        <v>132633.54951931437</v>
      </c>
      <c r="I76" s="1024">
        <v>0</v>
      </c>
      <c r="J76" s="1025">
        <v>158.62710748085348</v>
      </c>
      <c r="K76" s="1026">
        <v>0</v>
      </c>
      <c r="L76" s="1024">
        <v>39</v>
      </c>
      <c r="M76" s="1025">
        <v>3935.2023104669443</v>
      </c>
      <c r="N76" s="1026">
        <v>116022.87725538536</v>
      </c>
      <c r="O76" s="1024">
        <v>0</v>
      </c>
      <c r="P76" s="1025">
        <v>1525.492171506211</v>
      </c>
      <c r="Q76" s="1026">
        <v>0</v>
      </c>
      <c r="R76" s="1027">
        <v>1306300</v>
      </c>
      <c r="S76" s="1025">
        <v>326943</v>
      </c>
      <c r="T76" s="1025">
        <v>-56390</v>
      </c>
      <c r="U76" s="1028">
        <v>270553</v>
      </c>
      <c r="V76" s="1027">
        <v>1576853</v>
      </c>
      <c r="W76" s="1026">
        <v>-3942</v>
      </c>
      <c r="X76" s="1027">
        <v>1572911</v>
      </c>
      <c r="Y76" s="1026">
        <v>1911</v>
      </c>
      <c r="Z76" s="1027">
        <v>1574822</v>
      </c>
      <c r="AA76" s="1025">
        <v>1022591</v>
      </c>
      <c r="AB76" s="1025">
        <v>552231</v>
      </c>
      <c r="AC76" s="1027">
        <v>138059</v>
      </c>
      <c r="AD76" s="1029">
        <v>1574822</v>
      </c>
      <c r="AE76" s="1025">
        <v>5423</v>
      </c>
      <c r="AF76" s="1030">
        <v>2299575</v>
      </c>
      <c r="AG76" s="1024">
        <v>68</v>
      </c>
      <c r="AH76" s="1025">
        <v>467564</v>
      </c>
      <c r="AI76" s="1024">
        <v>-24</v>
      </c>
      <c r="AJ76" s="1025">
        <v>-83969</v>
      </c>
      <c r="AK76" s="1028">
        <v>383595</v>
      </c>
      <c r="AL76" s="1030">
        <v>2683170</v>
      </c>
      <c r="AM76" s="1025">
        <v>-6708</v>
      </c>
      <c r="AN76" s="1030">
        <v>2676462</v>
      </c>
      <c r="AO76" s="1025">
        <v>3860</v>
      </c>
      <c r="AP76" s="1030">
        <v>2680322</v>
      </c>
      <c r="AQ76" s="1025">
        <v>1787745</v>
      </c>
      <c r="AR76" s="1025">
        <v>892577</v>
      </c>
      <c r="AS76" s="1030">
        <v>223145</v>
      </c>
      <c r="AT76" s="787">
        <v>4255144</v>
      </c>
      <c r="AU76" s="787">
        <v>361204</v>
      </c>
      <c r="AV76" s="516"/>
      <c r="AW76" s="165">
        <v>5870</v>
      </c>
      <c r="AX76" s="165">
        <v>6708</v>
      </c>
      <c r="AY76" s="165">
        <v>838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30495</v>
      </c>
      <c r="S77" s="975"/>
      <c r="T77" s="975"/>
      <c r="U77" s="975"/>
      <c r="V77" s="976">
        <v>30495</v>
      </c>
      <c r="W77" s="1018">
        <v>-76</v>
      </c>
      <c r="X77" s="976">
        <v>30419</v>
      </c>
      <c r="Y77" s="975"/>
      <c r="Z77" s="976">
        <v>30419</v>
      </c>
      <c r="AA77" s="975">
        <v>23592</v>
      </c>
      <c r="AB77" s="975">
        <v>6827</v>
      </c>
      <c r="AC77" s="976">
        <v>1707</v>
      </c>
      <c r="AD77" s="1020">
        <v>30419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30419</v>
      </c>
      <c r="AU77" s="1179">
        <v>1707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306</v>
      </c>
      <c r="D84" s="1022">
        <v>4255.7718143692655</v>
      </c>
      <c r="E84" s="1023">
        <v>1057643.1567930938</v>
      </c>
      <c r="F84" s="1024">
        <v>302</v>
      </c>
      <c r="G84" s="1025">
        <v>569.60967937788098</v>
      </c>
      <c r="H84" s="1026">
        <v>132633.54951931437</v>
      </c>
      <c r="I84" s="1024">
        <v>0</v>
      </c>
      <c r="J84" s="1025">
        <v>158.62710748085348</v>
      </c>
      <c r="K84" s="1026">
        <v>0</v>
      </c>
      <c r="L84" s="1024">
        <v>39</v>
      </c>
      <c r="M84" s="1025">
        <v>3935.2023104669443</v>
      </c>
      <c r="N84" s="1026">
        <v>116022.87725538536</v>
      </c>
      <c r="O84" s="1024">
        <v>0</v>
      </c>
      <c r="P84" s="1025">
        <v>1525.492171506211</v>
      </c>
      <c r="Q84" s="1026">
        <v>0</v>
      </c>
      <c r="R84" s="1027">
        <v>1336795</v>
      </c>
      <c r="S84" s="1025">
        <v>326943</v>
      </c>
      <c r="T84" s="1025">
        <v>-56390</v>
      </c>
      <c r="U84" s="1028">
        <v>270553</v>
      </c>
      <c r="V84" s="1027">
        <v>1607348</v>
      </c>
      <c r="W84" s="1026">
        <v>-4018</v>
      </c>
      <c r="X84" s="1027">
        <v>1603330</v>
      </c>
      <c r="Y84" s="1026">
        <v>1911</v>
      </c>
      <c r="Z84" s="1027">
        <v>1605241</v>
      </c>
      <c r="AA84" s="1025">
        <v>1046183</v>
      </c>
      <c r="AB84" s="1025">
        <v>559058</v>
      </c>
      <c r="AC84" s="1027">
        <v>139766</v>
      </c>
      <c r="AD84" s="1029">
        <v>1605241</v>
      </c>
      <c r="AE84" s="1025">
        <v>5423</v>
      </c>
      <c r="AF84" s="1030">
        <v>2299575</v>
      </c>
      <c r="AG84" s="1024">
        <v>68</v>
      </c>
      <c r="AH84" s="1025">
        <v>467564</v>
      </c>
      <c r="AI84" s="1024">
        <v>-24</v>
      </c>
      <c r="AJ84" s="1025">
        <v>-83969</v>
      </c>
      <c r="AK84" s="1028">
        <v>383595</v>
      </c>
      <c r="AL84" s="1030">
        <v>2683170</v>
      </c>
      <c r="AM84" s="1025">
        <v>-6708</v>
      </c>
      <c r="AN84" s="1030">
        <v>2676462</v>
      </c>
      <c r="AO84" s="1025">
        <v>3860</v>
      </c>
      <c r="AP84" s="1030">
        <v>2680322</v>
      </c>
      <c r="AQ84" s="1025">
        <v>1787745</v>
      </c>
      <c r="AR84" s="1025">
        <v>892577</v>
      </c>
      <c r="AS84" s="1030">
        <v>223145</v>
      </c>
      <c r="AT84" s="787">
        <v>4285563</v>
      </c>
      <c r="AU84" s="787">
        <v>362911</v>
      </c>
      <c r="AV84" s="516"/>
      <c r="AW84" s="165">
        <v>5870</v>
      </c>
      <c r="AX84" s="165">
        <v>6708</v>
      </c>
      <c r="AY84" s="165">
        <v>838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C87" s="16"/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C89" s="5">
        <v>4</v>
      </c>
      <c r="AS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474</v>
      </c>
    </row>
    <row r="92" spans="1:52" x14ac:dyDescent="0.2">
      <c r="B92" s="857" t="s">
        <v>1462</v>
      </c>
    </row>
    <row r="93" spans="1:52" x14ac:dyDescent="0.2">
      <c r="B93" s="857" t="s">
        <v>1163</v>
      </c>
    </row>
    <row r="94" spans="1:52" x14ac:dyDescent="0.2">
      <c r="B94" s="857" t="s">
        <v>1475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Y2:Y3"/>
    <mergeCell ref="V2:V3"/>
    <mergeCell ref="AM2:AM3"/>
    <mergeCell ref="Z2:Z3"/>
    <mergeCell ref="A78:B78"/>
    <mergeCell ref="AA2:AA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77:B77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12.5703125" defaultRowHeight="12.75" x14ac:dyDescent="0.2"/>
  <cols>
    <col min="1" max="1" width="4.28515625" style="284" customWidth="1"/>
    <col min="2" max="2" width="19.7109375" style="284" customWidth="1"/>
    <col min="3" max="3" width="13.7109375" style="284" customWidth="1"/>
    <col min="4" max="4" width="18" style="284" customWidth="1"/>
    <col min="5" max="5" width="16" style="284" customWidth="1"/>
    <col min="6" max="6" width="14.85546875" style="284" customWidth="1"/>
    <col min="7" max="7" width="16" style="284" customWidth="1"/>
    <col min="8" max="9" width="13.28515625" style="284" customWidth="1"/>
    <col min="10" max="11" width="15.85546875" style="284" customWidth="1"/>
    <col min="12" max="12" width="16.28515625" style="284" customWidth="1"/>
    <col min="13" max="13" width="15.85546875" style="284" customWidth="1"/>
    <col min="14" max="16384" width="12.5703125" style="284"/>
  </cols>
  <sheetData>
    <row r="1" spans="1:13" ht="30" customHeight="1" x14ac:dyDescent="0.2">
      <c r="A1" s="1346" t="s">
        <v>79</v>
      </c>
      <c r="B1" s="1347"/>
      <c r="C1" s="1359" t="s">
        <v>281</v>
      </c>
      <c r="D1" s="1360"/>
      <c r="E1" s="1354" t="s">
        <v>1260</v>
      </c>
      <c r="F1" s="1355"/>
      <c r="G1" s="1356"/>
      <c r="H1" s="1363" t="s">
        <v>133</v>
      </c>
      <c r="I1" s="1364"/>
      <c r="J1" s="1341" t="s">
        <v>490</v>
      </c>
      <c r="K1" s="1341" t="s">
        <v>491</v>
      </c>
      <c r="L1" s="1344" t="s">
        <v>1334</v>
      </c>
      <c r="M1" s="1341" t="s">
        <v>1277</v>
      </c>
    </row>
    <row r="2" spans="1:13" ht="103.5" customHeight="1" x14ac:dyDescent="0.2">
      <c r="A2" s="1317"/>
      <c r="B2" s="1318"/>
      <c r="C2" s="1350" t="s">
        <v>1367</v>
      </c>
      <c r="D2" s="1352" t="s">
        <v>1329</v>
      </c>
      <c r="E2" s="1357" t="s">
        <v>280</v>
      </c>
      <c r="F2" s="1361" t="s">
        <v>1194</v>
      </c>
      <c r="G2" s="670" t="s">
        <v>1276</v>
      </c>
      <c r="H2" s="1357" t="s">
        <v>1194</v>
      </c>
      <c r="I2" s="670" t="s">
        <v>132</v>
      </c>
      <c r="J2" s="1342"/>
      <c r="K2" s="1342"/>
      <c r="L2" s="1345"/>
      <c r="M2" s="1342"/>
    </row>
    <row r="3" spans="1:13" ht="15.75" customHeight="1" x14ac:dyDescent="0.2">
      <c r="A3" s="1348"/>
      <c r="B3" s="1349"/>
      <c r="C3" s="1351"/>
      <c r="D3" s="1353"/>
      <c r="E3" s="1358"/>
      <c r="F3" s="1362"/>
      <c r="G3" s="797">
        <f>38456219/F76</f>
        <v>69.399898939769912</v>
      </c>
      <c r="H3" s="1358"/>
      <c r="I3" s="798">
        <v>100</v>
      </c>
      <c r="J3" s="1343"/>
      <c r="K3" s="1343"/>
      <c r="L3" s="1332"/>
      <c r="M3" s="1343"/>
    </row>
    <row r="4" spans="1:13" s="801" customFormat="1" ht="14.25" customHeight="1" x14ac:dyDescent="0.2">
      <c r="A4" s="799"/>
      <c r="B4" s="800"/>
      <c r="C4" s="1075">
        <v>1</v>
      </c>
      <c r="D4" s="1075">
        <f t="shared" ref="D4:M4" si="0">C4+1</f>
        <v>2</v>
      </c>
      <c r="E4" s="1075">
        <f t="shared" si="0"/>
        <v>3</v>
      </c>
      <c r="F4" s="1075">
        <f t="shared" si="0"/>
        <v>4</v>
      </c>
      <c r="G4" s="1075">
        <f t="shared" si="0"/>
        <v>5</v>
      </c>
      <c r="H4" s="1075">
        <f t="shared" si="0"/>
        <v>6</v>
      </c>
      <c r="I4" s="1075">
        <f t="shared" si="0"/>
        <v>7</v>
      </c>
      <c r="J4" s="1075">
        <f t="shared" si="0"/>
        <v>8</v>
      </c>
      <c r="K4" s="1075">
        <f t="shared" si="0"/>
        <v>9</v>
      </c>
      <c r="L4" s="1075">
        <f t="shared" si="0"/>
        <v>10</v>
      </c>
      <c r="M4" s="1075">
        <f t="shared" si="0"/>
        <v>11</v>
      </c>
    </row>
    <row r="5" spans="1:13" s="802" customFormat="1" ht="17.25" customHeight="1" x14ac:dyDescent="0.2">
      <c r="A5" s="707"/>
      <c r="B5" s="707"/>
      <c r="C5" s="1076" t="s">
        <v>733</v>
      </c>
      <c r="D5" s="1076" t="s">
        <v>945</v>
      </c>
      <c r="E5" s="1076" t="s">
        <v>733</v>
      </c>
      <c r="F5" s="1077" t="s">
        <v>234</v>
      </c>
      <c r="G5" s="1077" t="s">
        <v>1280</v>
      </c>
      <c r="H5" s="1076" t="s">
        <v>234</v>
      </c>
      <c r="I5" s="1077" t="s">
        <v>1281</v>
      </c>
      <c r="J5" s="1077" t="s">
        <v>1278</v>
      </c>
      <c r="K5" s="1077" t="s">
        <v>1279</v>
      </c>
      <c r="L5" s="1076" t="s">
        <v>1272</v>
      </c>
      <c r="M5" s="1077" t="s">
        <v>1333</v>
      </c>
    </row>
    <row r="6" spans="1:13" s="802" customFormat="1" ht="22.5" hidden="1" customHeight="1" x14ac:dyDescent="0.2">
      <c r="A6" s="707"/>
      <c r="B6" s="707"/>
      <c r="C6" s="709" t="s">
        <v>740</v>
      </c>
      <c r="D6" s="709" t="s">
        <v>604</v>
      </c>
      <c r="E6" s="709" t="s">
        <v>740</v>
      </c>
      <c r="F6" s="709" t="s">
        <v>604</v>
      </c>
      <c r="G6" s="708" t="s">
        <v>943</v>
      </c>
      <c r="H6" s="709" t="s">
        <v>603</v>
      </c>
      <c r="I6" s="708" t="s">
        <v>944</v>
      </c>
      <c r="J6" s="709" t="s">
        <v>604</v>
      </c>
      <c r="K6" s="709" t="s">
        <v>604</v>
      </c>
      <c r="L6" s="709"/>
      <c r="M6" s="709"/>
    </row>
    <row r="7" spans="1:13" ht="15.6" customHeight="1" x14ac:dyDescent="0.2">
      <c r="A7" s="368">
        <v>1</v>
      </c>
      <c r="B7" s="369" t="s">
        <v>5</v>
      </c>
      <c r="C7" s="803">
        <v>777.48</v>
      </c>
      <c r="D7" s="33">
        <f>ROUND(C7*'3_Levels 1&amp;2'!C7,0)</f>
        <v>7342521</v>
      </c>
      <c r="E7" s="804">
        <v>0</v>
      </c>
      <c r="F7" s="805">
        <f>'3_Levels 1&amp;2'!C7</f>
        <v>9444</v>
      </c>
      <c r="G7" s="803">
        <f t="shared" ref="G7:G38" si="1">ROUND($G$3*F7,0)</f>
        <v>655413</v>
      </c>
      <c r="H7" s="806">
        <f>'3_Levels 1&amp;2'!C7</f>
        <v>9444</v>
      </c>
      <c r="I7" s="803">
        <f t="shared" ref="I7:I38" si="2">ROUND(H7*$I$3,0)</f>
        <v>944400</v>
      </c>
      <c r="J7" s="803">
        <f t="shared" ref="J7:J38" si="3">E7+G7+I7</f>
        <v>1599813</v>
      </c>
      <c r="K7" s="803">
        <f t="shared" ref="K7:K38" si="4">D7+E7+G7+I7</f>
        <v>8942334</v>
      </c>
      <c r="L7" s="803">
        <v>1240679.9584405266</v>
      </c>
      <c r="M7" s="1155">
        <f>K7+L7</f>
        <v>10183013.958440527</v>
      </c>
    </row>
    <row r="8" spans="1:13" ht="15.6" customHeight="1" x14ac:dyDescent="0.2">
      <c r="A8" s="368">
        <v>2</v>
      </c>
      <c r="B8" s="369" t="s">
        <v>6</v>
      </c>
      <c r="C8" s="803">
        <v>842.32</v>
      </c>
      <c r="D8" s="803">
        <f>ROUND(C8*'3_Levels 1&amp;2'!C8,0)</f>
        <v>3370122</v>
      </c>
      <c r="E8" s="804">
        <v>0</v>
      </c>
      <c r="F8" s="805">
        <f>'3_Levels 1&amp;2'!C8</f>
        <v>4001</v>
      </c>
      <c r="G8" s="803">
        <f t="shared" si="1"/>
        <v>277669</v>
      </c>
      <c r="H8" s="806">
        <f>'3_Levels 1&amp;2'!C8</f>
        <v>4001</v>
      </c>
      <c r="I8" s="803">
        <f t="shared" si="2"/>
        <v>400100</v>
      </c>
      <c r="J8" s="803">
        <f t="shared" si="3"/>
        <v>677769</v>
      </c>
      <c r="K8" s="803">
        <f t="shared" si="4"/>
        <v>4047891</v>
      </c>
      <c r="L8" s="803">
        <v>640117.04397095379</v>
      </c>
      <c r="M8" s="1155">
        <f t="shared" ref="M8:M71" si="5">K8+L8</f>
        <v>4688008.0439709537</v>
      </c>
    </row>
    <row r="9" spans="1:13" ht="15.6" customHeight="1" x14ac:dyDescent="0.2">
      <c r="A9" s="368">
        <v>3</v>
      </c>
      <c r="B9" s="369" t="s">
        <v>7</v>
      </c>
      <c r="C9" s="803">
        <v>596.84</v>
      </c>
      <c r="D9" s="803">
        <f>ROUND(C9*'3_Levels 1&amp;2'!C9,0)</f>
        <v>13362054</v>
      </c>
      <c r="E9" s="804">
        <v>0</v>
      </c>
      <c r="F9" s="805">
        <f>'3_Levels 1&amp;2'!C9</f>
        <v>22388</v>
      </c>
      <c r="G9" s="803">
        <f t="shared" si="1"/>
        <v>1553725</v>
      </c>
      <c r="H9" s="806">
        <f>'3_Levels 1&amp;2'!C9</f>
        <v>22388</v>
      </c>
      <c r="I9" s="803">
        <f t="shared" si="2"/>
        <v>2238800</v>
      </c>
      <c r="J9" s="803">
        <f t="shared" si="3"/>
        <v>3792525</v>
      </c>
      <c r="K9" s="803">
        <f t="shared" si="4"/>
        <v>17154579</v>
      </c>
      <c r="L9" s="803">
        <v>3055422.4529477688</v>
      </c>
      <c r="M9" s="1155">
        <f t="shared" si="5"/>
        <v>20210001.452947769</v>
      </c>
    </row>
    <row r="10" spans="1:13" ht="15.6" customHeight="1" x14ac:dyDescent="0.2">
      <c r="A10" s="368">
        <v>4</v>
      </c>
      <c r="B10" s="369" t="s">
        <v>8</v>
      </c>
      <c r="C10" s="803">
        <v>585.76</v>
      </c>
      <c r="D10" s="803">
        <f>ROUND(C10*'3_Levels 1&amp;2'!C10,0)</f>
        <v>1844558</v>
      </c>
      <c r="E10" s="804">
        <v>0</v>
      </c>
      <c r="F10" s="805">
        <f>'3_Levels 1&amp;2'!C10</f>
        <v>3149</v>
      </c>
      <c r="G10" s="803">
        <f t="shared" si="1"/>
        <v>218540</v>
      </c>
      <c r="H10" s="806">
        <f>'3_Levels 1&amp;2'!C10</f>
        <v>3149</v>
      </c>
      <c r="I10" s="803">
        <f t="shared" si="2"/>
        <v>314900</v>
      </c>
      <c r="J10" s="803">
        <f t="shared" si="3"/>
        <v>533440</v>
      </c>
      <c r="K10" s="803">
        <f t="shared" si="4"/>
        <v>2377998</v>
      </c>
      <c r="L10" s="803">
        <v>444501.4182952306</v>
      </c>
      <c r="M10" s="1155">
        <f t="shared" si="5"/>
        <v>2822499.4182952307</v>
      </c>
    </row>
    <row r="11" spans="1:13" ht="15.6" customHeight="1" x14ac:dyDescent="0.2">
      <c r="A11" s="358">
        <v>5</v>
      </c>
      <c r="B11" s="359" t="s">
        <v>9</v>
      </c>
      <c r="C11" s="807">
        <v>555.91</v>
      </c>
      <c r="D11" s="807">
        <f>ROUND(C11*'3_Levels 1&amp;2'!C11,0)</f>
        <v>2852374</v>
      </c>
      <c r="E11" s="808">
        <v>0</v>
      </c>
      <c r="F11" s="809">
        <f>'3_Levels 1&amp;2'!C11</f>
        <v>5131</v>
      </c>
      <c r="G11" s="807">
        <f t="shared" si="1"/>
        <v>356091</v>
      </c>
      <c r="H11" s="810">
        <f>'3_Levels 1&amp;2'!C11</f>
        <v>5131</v>
      </c>
      <c r="I11" s="807">
        <f t="shared" si="2"/>
        <v>513100</v>
      </c>
      <c r="J11" s="807">
        <f t="shared" si="3"/>
        <v>869191</v>
      </c>
      <c r="K11" s="807">
        <f t="shared" si="4"/>
        <v>3721565</v>
      </c>
      <c r="L11" s="807">
        <v>629593.89246904687</v>
      </c>
      <c r="M11" s="1156">
        <f t="shared" si="5"/>
        <v>4351158.8924690466</v>
      </c>
    </row>
    <row r="12" spans="1:13" ht="15.6" customHeight="1" x14ac:dyDescent="0.2">
      <c r="A12" s="368">
        <v>6</v>
      </c>
      <c r="B12" s="369" t="s">
        <v>10</v>
      </c>
      <c r="C12" s="803">
        <v>545.4799999999999</v>
      </c>
      <c r="D12" s="811">
        <f>ROUND(C12*'3_Levels 1&amp;2'!C12,0)</f>
        <v>3156693</v>
      </c>
      <c r="E12" s="804">
        <v>0</v>
      </c>
      <c r="F12" s="805">
        <f>'3_Levels 1&amp;2'!C12</f>
        <v>5787</v>
      </c>
      <c r="G12" s="803">
        <f t="shared" si="1"/>
        <v>401617</v>
      </c>
      <c r="H12" s="806">
        <f>'3_Levels 1&amp;2'!C12</f>
        <v>5787</v>
      </c>
      <c r="I12" s="803">
        <f t="shared" si="2"/>
        <v>578700</v>
      </c>
      <c r="J12" s="803">
        <f t="shared" si="3"/>
        <v>980317</v>
      </c>
      <c r="K12" s="803">
        <f t="shared" si="4"/>
        <v>4137010</v>
      </c>
      <c r="L12" s="803">
        <v>856909.82372052257</v>
      </c>
      <c r="M12" s="1155">
        <f t="shared" si="5"/>
        <v>4993919.8237205222</v>
      </c>
    </row>
    <row r="13" spans="1:13" ht="15.6" customHeight="1" x14ac:dyDescent="0.2">
      <c r="A13" s="368">
        <v>7</v>
      </c>
      <c r="B13" s="369" t="s">
        <v>11</v>
      </c>
      <c r="C13" s="803">
        <v>756.91999999999985</v>
      </c>
      <c r="D13" s="803">
        <f>ROUND(C13*'3_Levels 1&amp;2'!C13,0)</f>
        <v>1578935</v>
      </c>
      <c r="E13" s="804">
        <v>0</v>
      </c>
      <c r="F13" s="805">
        <f>'3_Levels 1&amp;2'!C13</f>
        <v>2086</v>
      </c>
      <c r="G13" s="803">
        <f t="shared" si="1"/>
        <v>144768</v>
      </c>
      <c r="H13" s="806">
        <f>'3_Levels 1&amp;2'!C13</f>
        <v>2086</v>
      </c>
      <c r="I13" s="803">
        <f t="shared" si="2"/>
        <v>208600</v>
      </c>
      <c r="J13" s="803">
        <f t="shared" si="3"/>
        <v>353368</v>
      </c>
      <c r="K13" s="803">
        <f t="shared" si="4"/>
        <v>1932303</v>
      </c>
      <c r="L13" s="803">
        <v>402722.51328408998</v>
      </c>
      <c r="M13" s="1155">
        <f t="shared" si="5"/>
        <v>2335025.51328409</v>
      </c>
    </row>
    <row r="14" spans="1:13" ht="15.6" customHeight="1" x14ac:dyDescent="0.2">
      <c r="A14" s="368">
        <v>8</v>
      </c>
      <c r="B14" s="369" t="s">
        <v>12</v>
      </c>
      <c r="C14" s="803">
        <v>725.76</v>
      </c>
      <c r="D14" s="803">
        <f>ROUND(C14*'3_Levels 1&amp;2'!C14,0)</f>
        <v>16294764</v>
      </c>
      <c r="E14" s="804">
        <v>0</v>
      </c>
      <c r="F14" s="805">
        <f>'3_Levels 1&amp;2'!C14</f>
        <v>22452</v>
      </c>
      <c r="G14" s="803">
        <f t="shared" si="1"/>
        <v>1558167</v>
      </c>
      <c r="H14" s="806">
        <f>'3_Levels 1&amp;2'!C14</f>
        <v>22452</v>
      </c>
      <c r="I14" s="803">
        <f t="shared" si="2"/>
        <v>2245200</v>
      </c>
      <c r="J14" s="803">
        <f t="shared" si="3"/>
        <v>3803367</v>
      </c>
      <c r="K14" s="803">
        <f t="shared" si="4"/>
        <v>20098131</v>
      </c>
      <c r="L14" s="803">
        <v>3182243.2904865895</v>
      </c>
      <c r="M14" s="1155">
        <f t="shared" si="5"/>
        <v>23280374.290486589</v>
      </c>
    </row>
    <row r="15" spans="1:13" ht="15.6" customHeight="1" x14ac:dyDescent="0.2">
      <c r="A15" s="368">
        <v>9</v>
      </c>
      <c r="B15" s="369" t="s">
        <v>13</v>
      </c>
      <c r="C15" s="803">
        <v>744.76</v>
      </c>
      <c r="D15" s="803">
        <f>ROUND(C15*'3_Levels 1&amp;2'!C15,0)</f>
        <v>28700816</v>
      </c>
      <c r="E15" s="804">
        <v>0</v>
      </c>
      <c r="F15" s="805">
        <f>'3_Levels 1&amp;2'!C15</f>
        <v>38537</v>
      </c>
      <c r="G15" s="803">
        <f t="shared" si="1"/>
        <v>2674464</v>
      </c>
      <c r="H15" s="806">
        <f>'3_Levels 1&amp;2'!C15</f>
        <v>38537</v>
      </c>
      <c r="I15" s="803">
        <f t="shared" si="2"/>
        <v>3853700</v>
      </c>
      <c r="J15" s="803">
        <f t="shared" si="3"/>
        <v>6528164</v>
      </c>
      <c r="K15" s="803">
        <f t="shared" si="4"/>
        <v>35228980</v>
      </c>
      <c r="L15" s="803">
        <v>5245217.2068733349</v>
      </c>
      <c r="M15" s="1155">
        <f t="shared" si="5"/>
        <v>40474197.206873335</v>
      </c>
    </row>
    <row r="16" spans="1:13" ht="15.6" customHeight="1" x14ac:dyDescent="0.2">
      <c r="A16" s="358">
        <v>10</v>
      </c>
      <c r="B16" s="359" t="s">
        <v>14</v>
      </c>
      <c r="C16" s="807">
        <v>608.04000000000008</v>
      </c>
      <c r="D16" s="807">
        <f>ROUND(C16*'3_Levels 1&amp;2'!C16,0)</f>
        <v>20187536</v>
      </c>
      <c r="E16" s="808">
        <v>0</v>
      </c>
      <c r="F16" s="809">
        <f>'3_Levels 1&amp;2'!C16</f>
        <v>33201</v>
      </c>
      <c r="G16" s="807">
        <f t="shared" si="1"/>
        <v>2304146</v>
      </c>
      <c r="H16" s="810">
        <f>'3_Levels 1&amp;2'!C16</f>
        <v>33201</v>
      </c>
      <c r="I16" s="807">
        <f t="shared" si="2"/>
        <v>3320100</v>
      </c>
      <c r="J16" s="807">
        <f t="shared" si="3"/>
        <v>5624246</v>
      </c>
      <c r="K16" s="807">
        <f t="shared" si="4"/>
        <v>25811782</v>
      </c>
      <c r="L16" s="807">
        <v>5295371.6520684268</v>
      </c>
      <c r="M16" s="1156">
        <f t="shared" si="5"/>
        <v>31107153.652068429</v>
      </c>
    </row>
    <row r="17" spans="1:13" ht="15.6" customHeight="1" x14ac:dyDescent="0.2">
      <c r="A17" s="368">
        <v>11</v>
      </c>
      <c r="B17" s="369" t="s">
        <v>15</v>
      </c>
      <c r="C17" s="803">
        <v>706.55</v>
      </c>
      <c r="D17" s="811">
        <f>ROUND(C17*'3_Levels 1&amp;2'!C17,0)</f>
        <v>1092326</v>
      </c>
      <c r="E17" s="804">
        <v>0</v>
      </c>
      <c r="F17" s="805">
        <f>'3_Levels 1&amp;2'!C17</f>
        <v>1546</v>
      </c>
      <c r="G17" s="803">
        <f t="shared" si="1"/>
        <v>107292</v>
      </c>
      <c r="H17" s="806">
        <f>'3_Levels 1&amp;2'!C17</f>
        <v>1546</v>
      </c>
      <c r="I17" s="803">
        <f t="shared" si="2"/>
        <v>154600</v>
      </c>
      <c r="J17" s="803">
        <f t="shared" si="3"/>
        <v>261892</v>
      </c>
      <c r="K17" s="803">
        <f t="shared" si="4"/>
        <v>1354218</v>
      </c>
      <c r="L17" s="803">
        <v>268017.01274988905</v>
      </c>
      <c r="M17" s="1155">
        <f t="shared" si="5"/>
        <v>1622235.0127498889</v>
      </c>
    </row>
    <row r="18" spans="1:13" ht="15.6" customHeight="1" x14ac:dyDescent="0.2">
      <c r="A18" s="368">
        <v>12</v>
      </c>
      <c r="B18" s="369" t="s">
        <v>16</v>
      </c>
      <c r="C18" s="803">
        <v>1063.31</v>
      </c>
      <c r="D18" s="803">
        <f>ROUND(C18*'3_Levels 1&amp;2'!C18,0)</f>
        <v>1398253</v>
      </c>
      <c r="E18" s="804">
        <v>0</v>
      </c>
      <c r="F18" s="805">
        <f>'3_Levels 1&amp;2'!C18</f>
        <v>1315</v>
      </c>
      <c r="G18" s="803">
        <f t="shared" si="1"/>
        <v>91261</v>
      </c>
      <c r="H18" s="806">
        <f>'3_Levels 1&amp;2'!C18</f>
        <v>1315</v>
      </c>
      <c r="I18" s="803">
        <f t="shared" si="2"/>
        <v>131500</v>
      </c>
      <c r="J18" s="803">
        <f t="shared" si="3"/>
        <v>222761</v>
      </c>
      <c r="K18" s="803">
        <f t="shared" si="4"/>
        <v>1621014</v>
      </c>
      <c r="L18" s="803">
        <v>271622.96109510085</v>
      </c>
      <c r="M18" s="1155">
        <f t="shared" si="5"/>
        <v>1892636.9610951007</v>
      </c>
    </row>
    <row r="19" spans="1:13" ht="15.6" customHeight="1" x14ac:dyDescent="0.2">
      <c r="A19" s="368">
        <v>13</v>
      </c>
      <c r="B19" s="369" t="s">
        <v>17</v>
      </c>
      <c r="C19" s="803">
        <v>749.43000000000006</v>
      </c>
      <c r="D19" s="803">
        <f>ROUND(C19*'3_Levels 1&amp;2'!C19,0)</f>
        <v>948029</v>
      </c>
      <c r="E19" s="804">
        <v>0</v>
      </c>
      <c r="F19" s="805">
        <f>'3_Levels 1&amp;2'!C19</f>
        <v>1265</v>
      </c>
      <c r="G19" s="803">
        <f t="shared" si="1"/>
        <v>87791</v>
      </c>
      <c r="H19" s="806">
        <f>'3_Levels 1&amp;2'!C19</f>
        <v>1265</v>
      </c>
      <c r="I19" s="803">
        <f t="shared" si="2"/>
        <v>126500</v>
      </c>
      <c r="J19" s="803">
        <f t="shared" si="3"/>
        <v>214291</v>
      </c>
      <c r="K19" s="803">
        <f t="shared" si="4"/>
        <v>1162320</v>
      </c>
      <c r="L19" s="803">
        <v>210090.92104077287</v>
      </c>
      <c r="M19" s="1155">
        <f t="shared" si="5"/>
        <v>1372410.9210407729</v>
      </c>
    </row>
    <row r="20" spans="1:13" ht="15.6" customHeight="1" x14ac:dyDescent="0.2">
      <c r="A20" s="368">
        <v>14</v>
      </c>
      <c r="B20" s="369" t="s">
        <v>18</v>
      </c>
      <c r="C20" s="803">
        <v>809.9799999999999</v>
      </c>
      <c r="D20" s="803">
        <f>ROUND(C20*'3_Levels 1&amp;2'!C20,0)</f>
        <v>1410175</v>
      </c>
      <c r="E20" s="804">
        <v>0</v>
      </c>
      <c r="F20" s="805">
        <f>'3_Levels 1&amp;2'!C20</f>
        <v>1741</v>
      </c>
      <c r="G20" s="803">
        <f t="shared" si="1"/>
        <v>120825</v>
      </c>
      <c r="H20" s="806">
        <f>'3_Levels 1&amp;2'!C20</f>
        <v>1741</v>
      </c>
      <c r="I20" s="803">
        <f t="shared" si="2"/>
        <v>174100</v>
      </c>
      <c r="J20" s="803">
        <f t="shared" si="3"/>
        <v>294925</v>
      </c>
      <c r="K20" s="803">
        <f t="shared" si="4"/>
        <v>1705100</v>
      </c>
      <c r="L20" s="803">
        <v>279491.15634442662</v>
      </c>
      <c r="M20" s="1155">
        <f t="shared" si="5"/>
        <v>1984591.1563444266</v>
      </c>
    </row>
    <row r="21" spans="1:13" ht="15.6" customHeight="1" x14ac:dyDescent="0.2">
      <c r="A21" s="358">
        <v>15</v>
      </c>
      <c r="B21" s="359" t="s">
        <v>19</v>
      </c>
      <c r="C21" s="807">
        <v>553.79999999999995</v>
      </c>
      <c r="D21" s="807">
        <f>ROUND(C21*'3_Levels 1&amp;2'!C21,0)</f>
        <v>1975958</v>
      </c>
      <c r="E21" s="808">
        <v>0</v>
      </c>
      <c r="F21" s="809"/>
      <c r="G21" s="807">
        <f t="shared" si="1"/>
        <v>0</v>
      </c>
      <c r="H21" s="810">
        <f>'3_Levels 1&amp;2'!C21</f>
        <v>3568</v>
      </c>
      <c r="I21" s="807">
        <f t="shared" si="2"/>
        <v>356800</v>
      </c>
      <c r="J21" s="807">
        <f t="shared" si="3"/>
        <v>356800</v>
      </c>
      <c r="K21" s="807">
        <f t="shared" si="4"/>
        <v>2332758</v>
      </c>
      <c r="L21" s="807">
        <v>565458.34568331402</v>
      </c>
      <c r="M21" s="1156">
        <f t="shared" si="5"/>
        <v>2898216.3456833139</v>
      </c>
    </row>
    <row r="22" spans="1:13" ht="15.6" customHeight="1" x14ac:dyDescent="0.2">
      <c r="A22" s="368">
        <v>16</v>
      </c>
      <c r="B22" s="369" t="s">
        <v>20</v>
      </c>
      <c r="C22" s="803">
        <v>686.73</v>
      </c>
      <c r="D22" s="811">
        <f>ROUND(C22*'3_Levels 1&amp;2'!C22,0)</f>
        <v>3313472</v>
      </c>
      <c r="E22" s="804">
        <v>0</v>
      </c>
      <c r="F22" s="805">
        <f>'3_Levels 1&amp;2'!C22</f>
        <v>4825</v>
      </c>
      <c r="G22" s="803">
        <f t="shared" si="1"/>
        <v>334855</v>
      </c>
      <c r="H22" s="806">
        <f>'3_Levels 1&amp;2'!C22</f>
        <v>4825</v>
      </c>
      <c r="I22" s="803">
        <f t="shared" si="2"/>
        <v>482500</v>
      </c>
      <c r="J22" s="803">
        <f t="shared" si="3"/>
        <v>817355</v>
      </c>
      <c r="K22" s="803">
        <f t="shared" si="4"/>
        <v>4130827</v>
      </c>
      <c r="L22" s="803">
        <v>739175.34419558919</v>
      </c>
      <c r="M22" s="1155">
        <f t="shared" si="5"/>
        <v>4870002.3441955894</v>
      </c>
    </row>
    <row r="23" spans="1:13" ht="15.6" customHeight="1" x14ac:dyDescent="0.2">
      <c r="A23" s="368">
        <v>17</v>
      </c>
      <c r="B23" s="369" t="s">
        <v>21</v>
      </c>
      <c r="C23" s="803">
        <v>801.48</v>
      </c>
      <c r="D23" s="803">
        <f>ROUND(C23*'3_Levels 1&amp;2'!C23,0)</f>
        <v>35862223</v>
      </c>
      <c r="E23" s="804">
        <v>13580692</v>
      </c>
      <c r="F23" s="805"/>
      <c r="G23" s="803">
        <f t="shared" si="1"/>
        <v>0</v>
      </c>
      <c r="H23" s="806">
        <f>'3_Levels 1&amp;2'!C23</f>
        <v>44745</v>
      </c>
      <c r="I23" s="803">
        <f t="shared" si="2"/>
        <v>4474500</v>
      </c>
      <c r="J23" s="803">
        <f t="shared" si="3"/>
        <v>18055192</v>
      </c>
      <c r="K23" s="803">
        <f t="shared" si="4"/>
        <v>53917415</v>
      </c>
      <c r="L23" s="803">
        <v>6930615.1110452479</v>
      </c>
      <c r="M23" s="1155">
        <f t="shared" si="5"/>
        <v>60848030.111045249</v>
      </c>
    </row>
    <row r="24" spans="1:13" ht="15.6" customHeight="1" x14ac:dyDescent="0.2">
      <c r="A24" s="368">
        <v>18</v>
      </c>
      <c r="B24" s="369" t="s">
        <v>22</v>
      </c>
      <c r="C24" s="803">
        <v>845.94999999999993</v>
      </c>
      <c r="D24" s="803">
        <f>ROUND(C24*'3_Levels 1&amp;2'!C24,0)</f>
        <v>759663</v>
      </c>
      <c r="E24" s="804">
        <v>0</v>
      </c>
      <c r="F24" s="805">
        <f>'3_Levels 1&amp;2'!C24</f>
        <v>898</v>
      </c>
      <c r="G24" s="803">
        <f t="shared" si="1"/>
        <v>62321</v>
      </c>
      <c r="H24" s="806">
        <f>'3_Levels 1&amp;2'!C24</f>
        <v>898</v>
      </c>
      <c r="I24" s="803">
        <f t="shared" si="2"/>
        <v>89800</v>
      </c>
      <c r="J24" s="803">
        <f t="shared" si="3"/>
        <v>152121</v>
      </c>
      <c r="K24" s="803">
        <f t="shared" si="4"/>
        <v>911784</v>
      </c>
      <c r="L24" s="803">
        <v>142030.31968328895</v>
      </c>
      <c r="M24" s="1155">
        <f t="shared" si="5"/>
        <v>1053814.3196832889</v>
      </c>
    </row>
    <row r="25" spans="1:13" ht="15.6" customHeight="1" x14ac:dyDescent="0.2">
      <c r="A25" s="368">
        <v>19</v>
      </c>
      <c r="B25" s="369" t="s">
        <v>23</v>
      </c>
      <c r="C25" s="803">
        <v>905.43</v>
      </c>
      <c r="D25" s="803">
        <f>ROUND(C25*'3_Levels 1&amp;2'!C25,0)</f>
        <v>1685005</v>
      </c>
      <c r="E25" s="804">
        <v>0</v>
      </c>
      <c r="F25" s="805">
        <f>'3_Levels 1&amp;2'!C25</f>
        <v>1861</v>
      </c>
      <c r="G25" s="803">
        <f t="shared" si="1"/>
        <v>129153</v>
      </c>
      <c r="H25" s="806">
        <f>'3_Levels 1&amp;2'!C25</f>
        <v>1861</v>
      </c>
      <c r="I25" s="803">
        <f t="shared" si="2"/>
        <v>186100</v>
      </c>
      <c r="J25" s="803">
        <f t="shared" si="3"/>
        <v>315253</v>
      </c>
      <c r="K25" s="803">
        <f t="shared" si="4"/>
        <v>2000258</v>
      </c>
      <c r="L25" s="803">
        <v>301521.67752638651</v>
      </c>
      <c r="M25" s="1155">
        <f t="shared" si="5"/>
        <v>2301779.6775263865</v>
      </c>
    </row>
    <row r="26" spans="1:13" ht="15.6" customHeight="1" x14ac:dyDescent="0.2">
      <c r="A26" s="358">
        <v>20</v>
      </c>
      <c r="B26" s="359" t="s">
        <v>24</v>
      </c>
      <c r="C26" s="807">
        <v>586.16999999999996</v>
      </c>
      <c r="D26" s="807">
        <f>ROUND(C26*'3_Levels 1&amp;2'!C26,0)</f>
        <v>3287828</v>
      </c>
      <c r="E26" s="808">
        <v>0</v>
      </c>
      <c r="F26" s="809"/>
      <c r="G26" s="807">
        <f t="shared" si="1"/>
        <v>0</v>
      </c>
      <c r="H26" s="810">
        <f>'3_Levels 1&amp;2'!C26</f>
        <v>5609</v>
      </c>
      <c r="I26" s="807">
        <f t="shared" si="2"/>
        <v>560900</v>
      </c>
      <c r="J26" s="807">
        <f t="shared" si="3"/>
        <v>560900</v>
      </c>
      <c r="K26" s="807">
        <f t="shared" si="4"/>
        <v>3848728</v>
      </c>
      <c r="L26" s="807">
        <v>759777.13866270857</v>
      </c>
      <c r="M26" s="1156">
        <f t="shared" si="5"/>
        <v>4608505.1386627089</v>
      </c>
    </row>
    <row r="27" spans="1:13" ht="15.6" customHeight="1" x14ac:dyDescent="0.2">
      <c r="A27" s="368">
        <v>21</v>
      </c>
      <c r="B27" s="369" t="s">
        <v>25</v>
      </c>
      <c r="C27" s="803">
        <v>610.35</v>
      </c>
      <c r="D27" s="811">
        <f>ROUND(C27*'3_Levels 1&amp;2'!C27,0)</f>
        <v>1804195</v>
      </c>
      <c r="E27" s="804">
        <v>0</v>
      </c>
      <c r="F27" s="805">
        <f>'3_Levels 1&amp;2'!C27</f>
        <v>2956</v>
      </c>
      <c r="G27" s="803">
        <f t="shared" si="1"/>
        <v>205146</v>
      </c>
      <c r="H27" s="806">
        <f>'3_Levels 1&amp;2'!C27</f>
        <v>2956</v>
      </c>
      <c r="I27" s="803">
        <f t="shared" si="2"/>
        <v>295600</v>
      </c>
      <c r="J27" s="803">
        <f t="shared" si="3"/>
        <v>500746</v>
      </c>
      <c r="K27" s="803">
        <f t="shared" si="4"/>
        <v>2304941</v>
      </c>
      <c r="L27" s="803">
        <v>455949.44849266618</v>
      </c>
      <c r="M27" s="1155">
        <f t="shared" si="5"/>
        <v>2760890.4484926662</v>
      </c>
    </row>
    <row r="28" spans="1:13" ht="15.6" customHeight="1" x14ac:dyDescent="0.2">
      <c r="A28" s="368">
        <v>22</v>
      </c>
      <c r="B28" s="369" t="s">
        <v>26</v>
      </c>
      <c r="C28" s="803">
        <v>496.36</v>
      </c>
      <c r="D28" s="803">
        <f>ROUND(C28*'3_Levels 1&amp;2'!C28,0)</f>
        <v>1446889</v>
      </c>
      <c r="E28" s="804">
        <v>0</v>
      </c>
      <c r="F28" s="805">
        <f>'3_Levels 1&amp;2'!C28</f>
        <v>2915</v>
      </c>
      <c r="G28" s="803">
        <f t="shared" si="1"/>
        <v>202301</v>
      </c>
      <c r="H28" s="806">
        <f>'3_Levels 1&amp;2'!C28</f>
        <v>2915</v>
      </c>
      <c r="I28" s="803">
        <f t="shared" si="2"/>
        <v>291500</v>
      </c>
      <c r="J28" s="803">
        <f t="shared" si="3"/>
        <v>493801</v>
      </c>
      <c r="K28" s="803">
        <f t="shared" si="4"/>
        <v>1940690</v>
      </c>
      <c r="L28" s="803">
        <v>426087.63496210042</v>
      </c>
      <c r="M28" s="1155">
        <f t="shared" si="5"/>
        <v>2366777.6349621005</v>
      </c>
    </row>
    <row r="29" spans="1:13" ht="15.6" customHeight="1" x14ac:dyDescent="0.2">
      <c r="A29" s="368">
        <v>23</v>
      </c>
      <c r="B29" s="369" t="s">
        <v>27</v>
      </c>
      <c r="C29" s="803">
        <v>688.58</v>
      </c>
      <c r="D29" s="803">
        <f>ROUND(C29*'3_Levels 1&amp;2'!C29,0)</f>
        <v>8428908</v>
      </c>
      <c r="E29" s="804">
        <v>0</v>
      </c>
      <c r="F29" s="805">
        <f>'3_Levels 1&amp;2'!C29</f>
        <v>12241</v>
      </c>
      <c r="G29" s="803">
        <f t="shared" si="1"/>
        <v>849524</v>
      </c>
      <c r="H29" s="806">
        <f>'3_Levels 1&amp;2'!C29</f>
        <v>12241</v>
      </c>
      <c r="I29" s="803">
        <f t="shared" si="2"/>
        <v>1224100</v>
      </c>
      <c r="J29" s="803">
        <f t="shared" si="3"/>
        <v>2073624</v>
      </c>
      <c r="K29" s="803">
        <f t="shared" si="4"/>
        <v>10502532</v>
      </c>
      <c r="L29" s="803">
        <v>1720408.7900708839</v>
      </c>
      <c r="M29" s="1155">
        <f t="shared" si="5"/>
        <v>12222940.790070884</v>
      </c>
    </row>
    <row r="30" spans="1:13" ht="15.6" customHeight="1" x14ac:dyDescent="0.2">
      <c r="A30" s="368">
        <v>24</v>
      </c>
      <c r="B30" s="369" t="s">
        <v>28</v>
      </c>
      <c r="C30" s="803">
        <v>854.24999999999989</v>
      </c>
      <c r="D30" s="803">
        <f>ROUND(C30*'3_Levels 1&amp;2'!C30,0)</f>
        <v>3891109</v>
      </c>
      <c r="E30" s="804">
        <v>1654734</v>
      </c>
      <c r="F30" s="805"/>
      <c r="G30" s="803">
        <f t="shared" si="1"/>
        <v>0</v>
      </c>
      <c r="H30" s="806">
        <f>'3_Levels 1&amp;2'!C30</f>
        <v>4555</v>
      </c>
      <c r="I30" s="803">
        <f t="shared" si="2"/>
        <v>455500</v>
      </c>
      <c r="J30" s="803">
        <f t="shared" si="3"/>
        <v>2110234</v>
      </c>
      <c r="K30" s="803">
        <f t="shared" si="4"/>
        <v>6001343</v>
      </c>
      <c r="L30" s="803">
        <v>794604.38171001454</v>
      </c>
      <c r="M30" s="1155">
        <f t="shared" si="5"/>
        <v>6795947.3817100143</v>
      </c>
    </row>
    <row r="31" spans="1:13" ht="15.6" customHeight="1" x14ac:dyDescent="0.2">
      <c r="A31" s="358">
        <v>25</v>
      </c>
      <c r="B31" s="359" t="s">
        <v>29</v>
      </c>
      <c r="C31" s="807">
        <v>653.73</v>
      </c>
      <c r="D31" s="807">
        <f>ROUND(C31*'3_Levels 1&amp;2'!C31,0)</f>
        <v>1466316</v>
      </c>
      <c r="E31" s="808">
        <v>0</v>
      </c>
      <c r="F31" s="809">
        <f>'3_Levels 1&amp;2'!C31</f>
        <v>2243</v>
      </c>
      <c r="G31" s="807">
        <f t="shared" si="1"/>
        <v>155664</v>
      </c>
      <c r="H31" s="810">
        <f>'3_Levels 1&amp;2'!C31</f>
        <v>2243</v>
      </c>
      <c r="I31" s="807">
        <f t="shared" si="2"/>
        <v>224300</v>
      </c>
      <c r="J31" s="807">
        <f t="shared" si="3"/>
        <v>379964</v>
      </c>
      <c r="K31" s="807">
        <f t="shared" si="4"/>
        <v>1846280</v>
      </c>
      <c r="L31" s="807">
        <v>336432.72831564653</v>
      </c>
      <c r="M31" s="1156">
        <f t="shared" si="5"/>
        <v>2182712.7283156468</v>
      </c>
    </row>
    <row r="32" spans="1:13" ht="15.6" customHeight="1" x14ac:dyDescent="0.2">
      <c r="A32" s="368">
        <v>26</v>
      </c>
      <c r="B32" s="369" t="s">
        <v>30</v>
      </c>
      <c r="C32" s="803">
        <v>836.83</v>
      </c>
      <c r="D32" s="811">
        <f>ROUND(C32*'3_Levels 1&amp;2'!C32,0)</f>
        <v>41474132</v>
      </c>
      <c r="E32" s="804">
        <v>14897747</v>
      </c>
      <c r="F32" s="805"/>
      <c r="G32" s="803">
        <f t="shared" si="1"/>
        <v>0</v>
      </c>
      <c r="H32" s="806">
        <f>'3_Levels 1&amp;2'!C32</f>
        <v>49561</v>
      </c>
      <c r="I32" s="803">
        <f t="shared" si="2"/>
        <v>4956100</v>
      </c>
      <c r="J32" s="803">
        <f t="shared" si="3"/>
        <v>19853847</v>
      </c>
      <c r="K32" s="803">
        <f t="shared" si="4"/>
        <v>61327979</v>
      </c>
      <c r="L32" s="803">
        <v>7279637.062123375</v>
      </c>
      <c r="M32" s="1155">
        <f t="shared" si="5"/>
        <v>68607616.062123373</v>
      </c>
    </row>
    <row r="33" spans="1:13" ht="15.6" customHeight="1" x14ac:dyDescent="0.2">
      <c r="A33" s="368">
        <v>27</v>
      </c>
      <c r="B33" s="369" t="s">
        <v>31</v>
      </c>
      <c r="C33" s="803">
        <v>693.06</v>
      </c>
      <c r="D33" s="803">
        <f>ROUND(C33*'3_Levels 1&amp;2'!C33,0)</f>
        <v>3832622</v>
      </c>
      <c r="E33" s="804">
        <v>0</v>
      </c>
      <c r="F33" s="805">
        <f>'3_Levels 1&amp;2'!C33</f>
        <v>5530</v>
      </c>
      <c r="G33" s="803">
        <f t="shared" si="1"/>
        <v>383781</v>
      </c>
      <c r="H33" s="806">
        <f>'3_Levels 1&amp;2'!C33</f>
        <v>5530</v>
      </c>
      <c r="I33" s="803">
        <f t="shared" si="2"/>
        <v>553000</v>
      </c>
      <c r="J33" s="803">
        <f t="shared" si="3"/>
        <v>936781</v>
      </c>
      <c r="K33" s="803">
        <f t="shared" si="4"/>
        <v>4769403</v>
      </c>
      <c r="L33" s="803">
        <v>763434.33357007429</v>
      </c>
      <c r="M33" s="1155">
        <f t="shared" si="5"/>
        <v>5532837.3335700743</v>
      </c>
    </row>
    <row r="34" spans="1:13" ht="15.6" customHeight="1" x14ac:dyDescent="0.2">
      <c r="A34" s="368">
        <v>28</v>
      </c>
      <c r="B34" s="369" t="s">
        <v>32</v>
      </c>
      <c r="C34" s="803">
        <v>694.4</v>
      </c>
      <c r="D34" s="803">
        <f>ROUND(C34*'3_Levels 1&amp;2'!C34,0)</f>
        <v>22628413</v>
      </c>
      <c r="E34" s="804">
        <v>1996377</v>
      </c>
      <c r="F34" s="805">
        <f>'3_Levels 1&amp;2'!C34</f>
        <v>32587</v>
      </c>
      <c r="G34" s="803">
        <f t="shared" si="1"/>
        <v>2261535</v>
      </c>
      <c r="H34" s="806">
        <f>'3_Levels 1&amp;2'!C34</f>
        <v>32587</v>
      </c>
      <c r="I34" s="803">
        <f t="shared" si="2"/>
        <v>3258700</v>
      </c>
      <c r="J34" s="803">
        <f t="shared" si="3"/>
        <v>7516612</v>
      </c>
      <c r="K34" s="803">
        <f t="shared" si="4"/>
        <v>30145025</v>
      </c>
      <c r="L34" s="803">
        <v>4490620.3310494749</v>
      </c>
      <c r="M34" s="1155">
        <f t="shared" si="5"/>
        <v>34635645.331049472</v>
      </c>
    </row>
    <row r="35" spans="1:13" ht="15.6" customHeight="1" x14ac:dyDescent="0.2">
      <c r="A35" s="368">
        <v>29</v>
      </c>
      <c r="B35" s="369" t="s">
        <v>33</v>
      </c>
      <c r="C35" s="803">
        <v>754.94999999999993</v>
      </c>
      <c r="D35" s="803">
        <f>ROUND(C35*'3_Levels 1&amp;2'!C35,0)</f>
        <v>10527023</v>
      </c>
      <c r="E35" s="804">
        <v>0</v>
      </c>
      <c r="F35" s="805">
        <f>'3_Levels 1&amp;2'!C35</f>
        <v>13944</v>
      </c>
      <c r="G35" s="803">
        <f t="shared" si="1"/>
        <v>967712</v>
      </c>
      <c r="H35" s="806">
        <f>'3_Levels 1&amp;2'!C35</f>
        <v>13944</v>
      </c>
      <c r="I35" s="803">
        <f t="shared" si="2"/>
        <v>1394400</v>
      </c>
      <c r="J35" s="803">
        <f t="shared" si="3"/>
        <v>2362112</v>
      </c>
      <c r="K35" s="803">
        <f t="shared" si="4"/>
        <v>12889135</v>
      </c>
      <c r="L35" s="803">
        <v>1869023.5887997432</v>
      </c>
      <c r="M35" s="1155">
        <f t="shared" si="5"/>
        <v>14758158.588799743</v>
      </c>
    </row>
    <row r="36" spans="1:13" ht="15.6" customHeight="1" x14ac:dyDescent="0.2">
      <c r="A36" s="358">
        <v>30</v>
      </c>
      <c r="B36" s="359" t="s">
        <v>34</v>
      </c>
      <c r="C36" s="807">
        <v>727.17</v>
      </c>
      <c r="D36" s="807">
        <f>ROUND(C36*'3_Levels 1&amp;2'!C36,0)</f>
        <v>1801200</v>
      </c>
      <c r="E36" s="808">
        <v>0</v>
      </c>
      <c r="F36" s="809">
        <f>'3_Levels 1&amp;2'!C36</f>
        <v>2477</v>
      </c>
      <c r="G36" s="807">
        <f t="shared" si="1"/>
        <v>171904</v>
      </c>
      <c r="H36" s="810">
        <f>'3_Levels 1&amp;2'!C36</f>
        <v>2477</v>
      </c>
      <c r="I36" s="807">
        <f t="shared" si="2"/>
        <v>247700</v>
      </c>
      <c r="J36" s="807">
        <f t="shared" si="3"/>
        <v>419604</v>
      </c>
      <c r="K36" s="807">
        <f t="shared" si="4"/>
        <v>2220804</v>
      </c>
      <c r="L36" s="807">
        <v>374881.49326230021</v>
      </c>
      <c r="M36" s="1156">
        <f t="shared" si="5"/>
        <v>2595685.4932623003</v>
      </c>
    </row>
    <row r="37" spans="1:13" ht="15.6" customHeight="1" x14ac:dyDescent="0.2">
      <c r="A37" s="368">
        <v>31</v>
      </c>
      <c r="B37" s="369" t="s">
        <v>35</v>
      </c>
      <c r="C37" s="803">
        <v>620.83000000000004</v>
      </c>
      <c r="D37" s="811">
        <f>ROUND(C37*'3_Levels 1&amp;2'!C37,0)</f>
        <v>3846042</v>
      </c>
      <c r="E37" s="804">
        <v>0</v>
      </c>
      <c r="F37" s="805">
        <f>'3_Levels 1&amp;2'!C37</f>
        <v>6195</v>
      </c>
      <c r="G37" s="803">
        <f t="shared" si="1"/>
        <v>429932</v>
      </c>
      <c r="H37" s="806">
        <f>'3_Levels 1&amp;2'!C37</f>
        <v>6195</v>
      </c>
      <c r="I37" s="803">
        <f t="shared" si="2"/>
        <v>619500</v>
      </c>
      <c r="J37" s="803">
        <f t="shared" si="3"/>
        <v>1049432</v>
      </c>
      <c r="K37" s="803">
        <f t="shared" si="4"/>
        <v>4895474</v>
      </c>
      <c r="L37" s="803">
        <v>917390.2495643663</v>
      </c>
      <c r="M37" s="1155">
        <f t="shared" si="5"/>
        <v>5812864.2495643664</v>
      </c>
    </row>
    <row r="38" spans="1:13" ht="15.6" customHeight="1" x14ac:dyDescent="0.2">
      <c r="A38" s="368">
        <v>32</v>
      </c>
      <c r="B38" s="369" t="s">
        <v>36</v>
      </c>
      <c r="C38" s="803">
        <v>559.77</v>
      </c>
      <c r="D38" s="803">
        <f>ROUND(C38*'3_Levels 1&amp;2'!C38,0)</f>
        <v>14257902</v>
      </c>
      <c r="E38" s="804">
        <v>0</v>
      </c>
      <c r="F38" s="805">
        <f>'3_Levels 1&amp;2'!C38</f>
        <v>25471</v>
      </c>
      <c r="G38" s="803">
        <f t="shared" si="1"/>
        <v>1767685</v>
      </c>
      <c r="H38" s="806">
        <f>'3_Levels 1&amp;2'!C38</f>
        <v>25471</v>
      </c>
      <c r="I38" s="803">
        <f t="shared" si="2"/>
        <v>2547100</v>
      </c>
      <c r="J38" s="803">
        <f t="shared" si="3"/>
        <v>4314785</v>
      </c>
      <c r="K38" s="803">
        <f t="shared" si="4"/>
        <v>18572687</v>
      </c>
      <c r="L38" s="803">
        <v>3546050.6340592513</v>
      </c>
      <c r="M38" s="1155">
        <f t="shared" si="5"/>
        <v>22118737.63405925</v>
      </c>
    </row>
    <row r="39" spans="1:13" ht="15.6" customHeight="1" x14ac:dyDescent="0.2">
      <c r="A39" s="368">
        <v>33</v>
      </c>
      <c r="B39" s="369" t="s">
        <v>37</v>
      </c>
      <c r="C39" s="803">
        <v>655.31000000000006</v>
      </c>
      <c r="D39" s="803">
        <f>ROUND(C39*'3_Levels 1&amp;2'!C39,0)</f>
        <v>1001314</v>
      </c>
      <c r="E39" s="804">
        <v>0</v>
      </c>
      <c r="F39" s="805">
        <f>'3_Levels 1&amp;2'!C39</f>
        <v>1528</v>
      </c>
      <c r="G39" s="803">
        <f t="shared" ref="G39:G70" si="6">ROUND($G$3*F39,0)</f>
        <v>106043</v>
      </c>
      <c r="H39" s="806">
        <f>'3_Levels 1&amp;2'!C39</f>
        <v>1528</v>
      </c>
      <c r="I39" s="803">
        <f t="shared" ref="I39:I70" si="7">ROUND(H39*$I$3,0)</f>
        <v>152800</v>
      </c>
      <c r="J39" s="803">
        <f t="shared" ref="J39:J70" si="8">E39+G39+I39</f>
        <v>258843</v>
      </c>
      <c r="K39" s="803">
        <f t="shared" ref="K39:K75" si="9">D39+E39+G39+I39</f>
        <v>1260157</v>
      </c>
      <c r="L39" s="803">
        <v>213414.09967241852</v>
      </c>
      <c r="M39" s="1155">
        <f t="shared" si="5"/>
        <v>1473571.0996724186</v>
      </c>
    </row>
    <row r="40" spans="1:13" ht="15.6" customHeight="1" x14ac:dyDescent="0.2">
      <c r="A40" s="368">
        <v>34</v>
      </c>
      <c r="B40" s="369" t="s">
        <v>38</v>
      </c>
      <c r="C40" s="803">
        <v>644.11000000000013</v>
      </c>
      <c r="D40" s="803">
        <f>ROUND(C40*'3_Levels 1&amp;2'!C40,0)</f>
        <v>2383851</v>
      </c>
      <c r="E40" s="804">
        <v>0</v>
      </c>
      <c r="F40" s="805">
        <f>'3_Levels 1&amp;2'!C40</f>
        <v>3701</v>
      </c>
      <c r="G40" s="803">
        <f t="shared" si="6"/>
        <v>256849</v>
      </c>
      <c r="H40" s="806">
        <f>'3_Levels 1&amp;2'!C40</f>
        <v>3701</v>
      </c>
      <c r="I40" s="803">
        <f t="shared" si="7"/>
        <v>370100</v>
      </c>
      <c r="J40" s="803">
        <f t="shared" si="8"/>
        <v>626949</v>
      </c>
      <c r="K40" s="803">
        <f t="shared" si="9"/>
        <v>3010800</v>
      </c>
      <c r="L40" s="803">
        <v>502720.23171027843</v>
      </c>
      <c r="M40" s="1155">
        <f t="shared" si="5"/>
        <v>3513520.2317102784</v>
      </c>
    </row>
    <row r="41" spans="1:13" ht="15.6" customHeight="1" x14ac:dyDescent="0.2">
      <c r="A41" s="358">
        <v>35</v>
      </c>
      <c r="B41" s="359" t="s">
        <v>39</v>
      </c>
      <c r="C41" s="807">
        <v>537.96</v>
      </c>
      <c r="D41" s="807">
        <f>ROUND(C41*'3_Levels 1&amp;2'!C41,0)</f>
        <v>3120706</v>
      </c>
      <c r="E41" s="808">
        <v>0</v>
      </c>
      <c r="F41" s="809">
        <f>'3_Levels 1&amp;2'!C41</f>
        <v>5801</v>
      </c>
      <c r="G41" s="807">
        <f t="shared" si="6"/>
        <v>402589</v>
      </c>
      <c r="H41" s="810">
        <f>'3_Levels 1&amp;2'!C41</f>
        <v>5801</v>
      </c>
      <c r="I41" s="807">
        <f t="shared" si="7"/>
        <v>580100</v>
      </c>
      <c r="J41" s="807">
        <f t="shared" si="8"/>
        <v>982689</v>
      </c>
      <c r="K41" s="807">
        <f t="shared" si="9"/>
        <v>4103395</v>
      </c>
      <c r="L41" s="807">
        <v>833392.79013730027</v>
      </c>
      <c r="M41" s="1156">
        <f t="shared" si="5"/>
        <v>4936787.7901373003</v>
      </c>
    </row>
    <row r="42" spans="1:13" ht="15.6" customHeight="1" x14ac:dyDescent="0.2">
      <c r="A42" s="368">
        <v>36</v>
      </c>
      <c r="B42" s="369" t="s">
        <v>40</v>
      </c>
      <c r="C42" s="803">
        <v>732.46</v>
      </c>
      <c r="D42" s="1094">
        <f>ROUND(('8_2.1.19 SIS'!C42*C42)+(SUM('8_2.1.19 SIS'!D42:AU42)*'Source Data'!G42),0)</f>
        <v>34001074</v>
      </c>
      <c r="E42" s="804">
        <v>0</v>
      </c>
      <c r="F42" s="805">
        <f>'3_Levels 1&amp;2'!C42</f>
        <v>46390</v>
      </c>
      <c r="G42" s="803">
        <f t="shared" si="6"/>
        <v>3219461</v>
      </c>
      <c r="H42" s="806">
        <f>'3_Levels 1&amp;2'!C42</f>
        <v>46390</v>
      </c>
      <c r="I42" s="803">
        <f t="shared" si="7"/>
        <v>4639000</v>
      </c>
      <c r="J42" s="803">
        <f t="shared" si="8"/>
        <v>7858461</v>
      </c>
      <c r="K42" s="803">
        <f t="shared" si="9"/>
        <v>41859535</v>
      </c>
      <c r="L42" s="803">
        <v>6686994.4964526081</v>
      </c>
      <c r="M42" s="1155">
        <f t="shared" si="5"/>
        <v>48546529.496452607</v>
      </c>
    </row>
    <row r="43" spans="1:13" ht="15.6" customHeight="1" x14ac:dyDescent="0.2">
      <c r="A43" s="368">
        <v>37</v>
      </c>
      <c r="B43" s="369" t="s">
        <v>41</v>
      </c>
      <c r="C43" s="803">
        <v>653.61</v>
      </c>
      <c r="D43" s="803">
        <f>ROUND(C43*'3_Levels 1&amp;2'!C43,0)</f>
        <v>12294404</v>
      </c>
      <c r="E43" s="804">
        <v>0</v>
      </c>
      <c r="F43" s="805">
        <f>'3_Levels 1&amp;2'!C43</f>
        <v>18810</v>
      </c>
      <c r="G43" s="803">
        <f t="shared" si="6"/>
        <v>1305412</v>
      </c>
      <c r="H43" s="806">
        <f>'3_Levels 1&amp;2'!C43</f>
        <v>18810</v>
      </c>
      <c r="I43" s="803">
        <f t="shared" si="7"/>
        <v>1881000</v>
      </c>
      <c r="J43" s="803">
        <f t="shared" si="8"/>
        <v>3186412</v>
      </c>
      <c r="K43" s="803">
        <f t="shared" si="9"/>
        <v>15480816</v>
      </c>
      <c r="L43" s="803">
        <v>2862702.00183615</v>
      </c>
      <c r="M43" s="1155">
        <f t="shared" si="5"/>
        <v>18343518.001836151</v>
      </c>
    </row>
    <row r="44" spans="1:13" ht="15.6" customHeight="1" x14ac:dyDescent="0.2">
      <c r="A44" s="368">
        <v>38</v>
      </c>
      <c r="B44" s="369" t="s">
        <v>42</v>
      </c>
      <c r="C44" s="803">
        <v>829.92000000000007</v>
      </c>
      <c r="D44" s="803">
        <f>ROUND(C44*'3_Levels 1&amp;2'!C44,0)</f>
        <v>3227559</v>
      </c>
      <c r="E44" s="804">
        <v>1258024</v>
      </c>
      <c r="F44" s="805"/>
      <c r="G44" s="803">
        <f t="shared" si="6"/>
        <v>0</v>
      </c>
      <c r="H44" s="806">
        <f>'3_Levels 1&amp;2'!C44</f>
        <v>3889</v>
      </c>
      <c r="I44" s="803">
        <f t="shared" si="7"/>
        <v>388900</v>
      </c>
      <c r="J44" s="803">
        <f t="shared" si="8"/>
        <v>1646924</v>
      </c>
      <c r="K44" s="803">
        <f t="shared" si="9"/>
        <v>4874483</v>
      </c>
      <c r="L44" s="803">
        <v>610629.13581269386</v>
      </c>
      <c r="M44" s="1155">
        <f t="shared" si="5"/>
        <v>5485112.1358126942</v>
      </c>
    </row>
    <row r="45" spans="1:13" ht="15.6" customHeight="1" x14ac:dyDescent="0.2">
      <c r="A45" s="368">
        <v>39</v>
      </c>
      <c r="B45" s="369" t="s">
        <v>43</v>
      </c>
      <c r="C45" s="803">
        <v>779.66</v>
      </c>
      <c r="D45" s="803">
        <f>ROUND(C45*'3_Levels 1&amp;2'!C45,0)</f>
        <v>2041150</v>
      </c>
      <c r="E45" s="804">
        <v>324688</v>
      </c>
      <c r="F45" s="805">
        <f>'3_Levels 1&amp;2'!C45</f>
        <v>2618</v>
      </c>
      <c r="G45" s="803">
        <f t="shared" si="6"/>
        <v>181689</v>
      </c>
      <c r="H45" s="806">
        <f>'3_Levels 1&amp;2'!C45</f>
        <v>2618</v>
      </c>
      <c r="I45" s="803">
        <f t="shared" si="7"/>
        <v>261800</v>
      </c>
      <c r="J45" s="803">
        <f t="shared" si="8"/>
        <v>768177</v>
      </c>
      <c r="K45" s="803">
        <f t="shared" si="9"/>
        <v>2809327</v>
      </c>
      <c r="L45" s="803">
        <v>321949.4332028827</v>
      </c>
      <c r="M45" s="1155">
        <f t="shared" si="5"/>
        <v>3131276.4332028828</v>
      </c>
    </row>
    <row r="46" spans="1:13" ht="15.6" customHeight="1" x14ac:dyDescent="0.2">
      <c r="A46" s="358">
        <v>40</v>
      </c>
      <c r="B46" s="359" t="s">
        <v>44</v>
      </c>
      <c r="C46" s="807">
        <v>700.2700000000001</v>
      </c>
      <c r="D46" s="807">
        <f>ROUND(C46*'3_Levels 1&amp;2'!C46,0)</f>
        <v>15423447</v>
      </c>
      <c r="E46" s="808">
        <v>0</v>
      </c>
      <c r="F46" s="809">
        <f>'3_Levels 1&amp;2'!C46</f>
        <v>22025</v>
      </c>
      <c r="G46" s="807">
        <f t="shared" si="6"/>
        <v>1528533</v>
      </c>
      <c r="H46" s="810">
        <f>'3_Levels 1&amp;2'!C46</f>
        <v>22025</v>
      </c>
      <c r="I46" s="807">
        <f t="shared" si="7"/>
        <v>2202500</v>
      </c>
      <c r="J46" s="807">
        <f t="shared" si="8"/>
        <v>3731033</v>
      </c>
      <c r="K46" s="807">
        <f t="shared" si="9"/>
        <v>19154480</v>
      </c>
      <c r="L46" s="807">
        <v>3182299.4998155115</v>
      </c>
      <c r="M46" s="1156">
        <f t="shared" si="5"/>
        <v>22336779.499815512</v>
      </c>
    </row>
    <row r="47" spans="1:13" ht="15.6" customHeight="1" x14ac:dyDescent="0.2">
      <c r="A47" s="368">
        <v>41</v>
      </c>
      <c r="B47" s="369" t="s">
        <v>45</v>
      </c>
      <c r="C47" s="803">
        <v>886.22</v>
      </c>
      <c r="D47" s="811">
        <f>ROUND(C47*'3_Levels 1&amp;2'!C47,0)</f>
        <v>1225642</v>
      </c>
      <c r="E47" s="804">
        <v>0</v>
      </c>
      <c r="F47" s="805">
        <f>'3_Levels 1&amp;2'!C47</f>
        <v>1383</v>
      </c>
      <c r="G47" s="803">
        <f t="shared" si="6"/>
        <v>95980</v>
      </c>
      <c r="H47" s="806">
        <f>'3_Levels 1&amp;2'!C47</f>
        <v>1383</v>
      </c>
      <c r="I47" s="803">
        <f t="shared" si="7"/>
        <v>138300</v>
      </c>
      <c r="J47" s="803">
        <f t="shared" si="8"/>
        <v>234280</v>
      </c>
      <c r="K47" s="803">
        <f t="shared" si="9"/>
        <v>1459922</v>
      </c>
      <c r="L47" s="803">
        <v>232921.45869160007</v>
      </c>
      <c r="M47" s="1155">
        <f t="shared" si="5"/>
        <v>1692843.4586916</v>
      </c>
    </row>
    <row r="48" spans="1:13" ht="15.6" customHeight="1" x14ac:dyDescent="0.2">
      <c r="A48" s="368">
        <v>42</v>
      </c>
      <c r="B48" s="369" t="s">
        <v>46</v>
      </c>
      <c r="C48" s="803">
        <v>534.28</v>
      </c>
      <c r="D48" s="803">
        <f>ROUND(C48*'3_Levels 1&amp;2'!C48,0)</f>
        <v>1468736</v>
      </c>
      <c r="E48" s="804">
        <v>0</v>
      </c>
      <c r="F48" s="805">
        <f>'3_Levels 1&amp;2'!C48</f>
        <v>2749</v>
      </c>
      <c r="G48" s="803">
        <f t="shared" si="6"/>
        <v>190780</v>
      </c>
      <c r="H48" s="806">
        <f>'3_Levels 1&amp;2'!C48</f>
        <v>2749</v>
      </c>
      <c r="I48" s="803">
        <f t="shared" si="7"/>
        <v>274900</v>
      </c>
      <c r="J48" s="803">
        <f t="shared" si="8"/>
        <v>465680</v>
      </c>
      <c r="K48" s="803">
        <f t="shared" si="9"/>
        <v>1934416</v>
      </c>
      <c r="L48" s="803">
        <v>397763.86933710042</v>
      </c>
      <c r="M48" s="1155">
        <f t="shared" si="5"/>
        <v>2332179.8693371005</v>
      </c>
    </row>
    <row r="49" spans="1:13" ht="15.6" customHeight="1" x14ac:dyDescent="0.2">
      <c r="A49" s="368">
        <v>43</v>
      </c>
      <c r="B49" s="369" t="s">
        <v>47</v>
      </c>
      <c r="C49" s="803">
        <v>574.6099999999999</v>
      </c>
      <c r="D49" s="803">
        <f>ROUND(C49*'3_Levels 1&amp;2'!C49,0)</f>
        <v>2333491</v>
      </c>
      <c r="E49" s="804">
        <v>0</v>
      </c>
      <c r="F49" s="805">
        <f>'3_Levels 1&amp;2'!C49</f>
        <v>4061</v>
      </c>
      <c r="G49" s="803">
        <f t="shared" si="6"/>
        <v>281833</v>
      </c>
      <c r="H49" s="806">
        <f>'3_Levels 1&amp;2'!C49</f>
        <v>4061</v>
      </c>
      <c r="I49" s="803">
        <f t="shared" si="7"/>
        <v>406100</v>
      </c>
      <c r="J49" s="803">
        <f t="shared" si="8"/>
        <v>687933</v>
      </c>
      <c r="K49" s="803">
        <f t="shared" si="9"/>
        <v>3021424</v>
      </c>
      <c r="L49" s="803">
        <v>636216.0554040334</v>
      </c>
      <c r="M49" s="1155">
        <f t="shared" si="5"/>
        <v>3657640.0554040335</v>
      </c>
    </row>
    <row r="50" spans="1:13" ht="15.6" customHeight="1" x14ac:dyDescent="0.2">
      <c r="A50" s="368">
        <v>44</v>
      </c>
      <c r="B50" s="369" t="s">
        <v>48</v>
      </c>
      <c r="C50" s="803">
        <v>663.16000000000008</v>
      </c>
      <c r="D50" s="803">
        <f>ROUND(C50*'3_Levels 1&amp;2'!C50,0)</f>
        <v>4925952</v>
      </c>
      <c r="E50" s="804">
        <v>0</v>
      </c>
      <c r="F50" s="805">
        <f>'3_Levels 1&amp;2'!C50</f>
        <v>7428</v>
      </c>
      <c r="G50" s="803">
        <f t="shared" si="6"/>
        <v>515502</v>
      </c>
      <c r="H50" s="806">
        <f>'3_Levels 1&amp;2'!C50</f>
        <v>7428</v>
      </c>
      <c r="I50" s="803">
        <f t="shared" si="7"/>
        <v>742800</v>
      </c>
      <c r="J50" s="803">
        <f t="shared" si="8"/>
        <v>1258302</v>
      </c>
      <c r="K50" s="803">
        <f t="shared" si="9"/>
        <v>6184254</v>
      </c>
      <c r="L50" s="803">
        <v>944394.02087283996</v>
      </c>
      <c r="M50" s="1155">
        <f t="shared" si="5"/>
        <v>7128648.0208728397</v>
      </c>
    </row>
    <row r="51" spans="1:13" ht="15.6" customHeight="1" x14ac:dyDescent="0.2">
      <c r="A51" s="358">
        <v>45</v>
      </c>
      <c r="B51" s="359" t="s">
        <v>49</v>
      </c>
      <c r="C51" s="807">
        <v>753.96000000000015</v>
      </c>
      <c r="D51" s="807">
        <f>ROUND(C51*'3_Levels 1&amp;2'!C51,0)</f>
        <v>7057820</v>
      </c>
      <c r="E51" s="808">
        <v>2883682</v>
      </c>
      <c r="F51" s="809"/>
      <c r="G51" s="807">
        <f t="shared" si="6"/>
        <v>0</v>
      </c>
      <c r="H51" s="810">
        <f>'3_Levels 1&amp;2'!C51</f>
        <v>9361</v>
      </c>
      <c r="I51" s="807">
        <f t="shared" si="7"/>
        <v>936100</v>
      </c>
      <c r="J51" s="807">
        <f t="shared" si="8"/>
        <v>3819782</v>
      </c>
      <c r="K51" s="807">
        <f t="shared" si="9"/>
        <v>10877602</v>
      </c>
      <c r="L51" s="807">
        <v>1667881.4313918876</v>
      </c>
      <c r="M51" s="1156">
        <f t="shared" si="5"/>
        <v>12545483.431391887</v>
      </c>
    </row>
    <row r="52" spans="1:13" ht="15.6" customHeight="1" x14ac:dyDescent="0.2">
      <c r="A52" s="368">
        <v>46</v>
      </c>
      <c r="B52" s="369" t="s">
        <v>50</v>
      </c>
      <c r="C52" s="803">
        <v>728.06</v>
      </c>
      <c r="D52" s="811">
        <f>ROUND(C52*'3_Levels 1&amp;2'!C52,0)</f>
        <v>870032</v>
      </c>
      <c r="E52" s="804">
        <v>0</v>
      </c>
      <c r="F52" s="805">
        <f>'3_Levels 1&amp;2'!C52</f>
        <v>1195</v>
      </c>
      <c r="G52" s="803">
        <f t="shared" si="6"/>
        <v>82933</v>
      </c>
      <c r="H52" s="806">
        <f>'3_Levels 1&amp;2'!C52</f>
        <v>1195</v>
      </c>
      <c r="I52" s="803">
        <f t="shared" si="7"/>
        <v>119500</v>
      </c>
      <c r="J52" s="803">
        <f t="shared" si="8"/>
        <v>202433</v>
      </c>
      <c r="K52" s="803">
        <f t="shared" si="9"/>
        <v>1072465</v>
      </c>
      <c r="L52" s="803">
        <v>156562.9637163115</v>
      </c>
      <c r="M52" s="1155">
        <f t="shared" si="5"/>
        <v>1229027.9637163114</v>
      </c>
    </row>
    <row r="53" spans="1:13" ht="15.6" customHeight="1" x14ac:dyDescent="0.2">
      <c r="A53" s="368">
        <v>47</v>
      </c>
      <c r="B53" s="369" t="s">
        <v>51</v>
      </c>
      <c r="C53" s="803">
        <v>910.76</v>
      </c>
      <c r="D53" s="803">
        <f>ROUND(C53*'3_Levels 1&amp;2'!C53,0)</f>
        <v>3241395</v>
      </c>
      <c r="E53" s="804">
        <v>1060614</v>
      </c>
      <c r="F53" s="805"/>
      <c r="G53" s="803">
        <f t="shared" si="6"/>
        <v>0</v>
      </c>
      <c r="H53" s="806">
        <f>'3_Levels 1&amp;2'!C53</f>
        <v>3559</v>
      </c>
      <c r="I53" s="803">
        <f t="shared" si="7"/>
        <v>355900</v>
      </c>
      <c r="J53" s="803">
        <f t="shared" si="8"/>
        <v>1416514</v>
      </c>
      <c r="K53" s="803">
        <f t="shared" si="9"/>
        <v>4657909</v>
      </c>
      <c r="L53" s="803">
        <v>587264.47742153669</v>
      </c>
      <c r="M53" s="1155">
        <f t="shared" si="5"/>
        <v>5245173.477421537</v>
      </c>
    </row>
    <row r="54" spans="1:13" ht="15.6" customHeight="1" x14ac:dyDescent="0.2">
      <c r="A54" s="368">
        <v>48</v>
      </c>
      <c r="B54" s="369" t="s">
        <v>73</v>
      </c>
      <c r="C54" s="803">
        <v>871.07</v>
      </c>
      <c r="D54" s="803">
        <f>ROUND(C54*'3_Levels 1&amp;2'!C54,0)</f>
        <v>5082693</v>
      </c>
      <c r="E54" s="804">
        <v>0</v>
      </c>
      <c r="F54" s="805">
        <f>'3_Levels 1&amp;2'!C54</f>
        <v>5835</v>
      </c>
      <c r="G54" s="803">
        <f t="shared" si="6"/>
        <v>404948</v>
      </c>
      <c r="H54" s="806">
        <f>'3_Levels 1&amp;2'!C54</f>
        <v>5835</v>
      </c>
      <c r="I54" s="803">
        <f t="shared" si="7"/>
        <v>583500</v>
      </c>
      <c r="J54" s="803">
        <f t="shared" si="8"/>
        <v>988448</v>
      </c>
      <c r="K54" s="803">
        <f t="shared" si="9"/>
        <v>6071141</v>
      </c>
      <c r="L54" s="803">
        <v>956989.04113164637</v>
      </c>
      <c r="M54" s="1155">
        <f t="shared" si="5"/>
        <v>7028130.0411316464</v>
      </c>
    </row>
    <row r="55" spans="1:13" ht="15.6" customHeight="1" x14ac:dyDescent="0.2">
      <c r="A55" s="368">
        <v>49</v>
      </c>
      <c r="B55" s="369" t="s">
        <v>52</v>
      </c>
      <c r="C55" s="803">
        <v>574.43999999999994</v>
      </c>
      <c r="D55" s="803">
        <f>ROUND(C55*'3_Levels 1&amp;2'!C55,0)</f>
        <v>7648094</v>
      </c>
      <c r="E55" s="804">
        <v>0</v>
      </c>
      <c r="F55" s="805">
        <f>'3_Levels 1&amp;2'!C55</f>
        <v>13314</v>
      </c>
      <c r="G55" s="803">
        <f t="shared" si="6"/>
        <v>923990</v>
      </c>
      <c r="H55" s="806">
        <f>'3_Levels 1&amp;2'!C55</f>
        <v>13314</v>
      </c>
      <c r="I55" s="803">
        <f t="shared" si="7"/>
        <v>1331400</v>
      </c>
      <c r="J55" s="803">
        <f t="shared" si="8"/>
        <v>2255390</v>
      </c>
      <c r="K55" s="803">
        <f t="shared" si="9"/>
        <v>9903484</v>
      </c>
      <c r="L55" s="803">
        <v>1923809.8731993465</v>
      </c>
      <c r="M55" s="1155">
        <f t="shared" si="5"/>
        <v>11827293.873199347</v>
      </c>
    </row>
    <row r="56" spans="1:13" ht="15.6" customHeight="1" x14ac:dyDescent="0.2">
      <c r="A56" s="358">
        <v>50</v>
      </c>
      <c r="B56" s="359" t="s">
        <v>53</v>
      </c>
      <c r="C56" s="807">
        <v>634.46</v>
      </c>
      <c r="D56" s="807">
        <f>ROUND(C56*'3_Levels 1&amp;2'!C56,0)</f>
        <v>4794614</v>
      </c>
      <c r="E56" s="808">
        <v>0</v>
      </c>
      <c r="F56" s="809">
        <f>'3_Levels 1&amp;2'!C56</f>
        <v>7557</v>
      </c>
      <c r="G56" s="807">
        <f t="shared" si="6"/>
        <v>524455</v>
      </c>
      <c r="H56" s="810">
        <f>'3_Levels 1&amp;2'!C56</f>
        <v>7557</v>
      </c>
      <c r="I56" s="807">
        <f t="shared" si="7"/>
        <v>755700</v>
      </c>
      <c r="J56" s="807">
        <f t="shared" si="8"/>
        <v>1280155</v>
      </c>
      <c r="K56" s="807">
        <f t="shared" si="9"/>
        <v>6074769</v>
      </c>
      <c r="L56" s="807">
        <v>998060.85795698303</v>
      </c>
      <c r="M56" s="1156">
        <f t="shared" si="5"/>
        <v>7072829.8579569831</v>
      </c>
    </row>
    <row r="57" spans="1:13" ht="15.6" customHeight="1" x14ac:dyDescent="0.2">
      <c r="A57" s="368">
        <v>51</v>
      </c>
      <c r="B57" s="369" t="s">
        <v>54</v>
      </c>
      <c r="C57" s="803">
        <v>706.66</v>
      </c>
      <c r="D57" s="811">
        <f>ROUND(C57*'3_Levels 1&amp;2'!C57,0)</f>
        <v>5842665</v>
      </c>
      <c r="E57" s="804">
        <v>0</v>
      </c>
      <c r="F57" s="805">
        <f>'3_Levels 1&amp;2'!C57</f>
        <v>8268</v>
      </c>
      <c r="G57" s="803">
        <f t="shared" si="6"/>
        <v>573798</v>
      </c>
      <c r="H57" s="806">
        <f>'3_Levels 1&amp;2'!C57</f>
        <v>8268</v>
      </c>
      <c r="I57" s="803">
        <f t="shared" si="7"/>
        <v>826800</v>
      </c>
      <c r="J57" s="803">
        <f t="shared" si="8"/>
        <v>1400598</v>
      </c>
      <c r="K57" s="803">
        <f t="shared" si="9"/>
        <v>7243263</v>
      </c>
      <c r="L57" s="803">
        <v>1247987.1890203895</v>
      </c>
      <c r="M57" s="1155">
        <f t="shared" si="5"/>
        <v>8491250.1890203897</v>
      </c>
    </row>
    <row r="58" spans="1:13" ht="15.6" customHeight="1" x14ac:dyDescent="0.2">
      <c r="A58" s="368">
        <v>52</v>
      </c>
      <c r="B58" s="369" t="s">
        <v>55</v>
      </c>
      <c r="C58" s="803">
        <v>658.37</v>
      </c>
      <c r="D58" s="803">
        <f>ROUND(C58*'3_Levels 1&amp;2'!C58,0)</f>
        <v>24832400</v>
      </c>
      <c r="E58" s="804">
        <v>0</v>
      </c>
      <c r="F58" s="805">
        <f>'3_Levels 1&amp;2'!C58</f>
        <v>37718</v>
      </c>
      <c r="G58" s="803">
        <f t="shared" si="6"/>
        <v>2617625</v>
      </c>
      <c r="H58" s="806">
        <f>'3_Levels 1&amp;2'!C58</f>
        <v>37718</v>
      </c>
      <c r="I58" s="803">
        <f t="shared" si="7"/>
        <v>3771800</v>
      </c>
      <c r="J58" s="803">
        <f t="shared" si="8"/>
        <v>6389425</v>
      </c>
      <c r="K58" s="803">
        <f t="shared" si="9"/>
        <v>31221825</v>
      </c>
      <c r="L58" s="803">
        <v>5787362.8672296135</v>
      </c>
      <c r="M58" s="1155">
        <f t="shared" si="5"/>
        <v>37009187.867229611</v>
      </c>
    </row>
    <row r="59" spans="1:13" ht="15.6" customHeight="1" x14ac:dyDescent="0.2">
      <c r="A59" s="368">
        <v>53</v>
      </c>
      <c r="B59" s="369" t="s">
        <v>56</v>
      </c>
      <c r="C59" s="803">
        <v>689.74</v>
      </c>
      <c r="D59" s="803">
        <f>ROUND(C59*'3_Levels 1&amp;2'!C59,0)</f>
        <v>13435445</v>
      </c>
      <c r="E59" s="804">
        <v>0</v>
      </c>
      <c r="F59" s="805">
        <f>'3_Levels 1&amp;2'!C59</f>
        <v>19479</v>
      </c>
      <c r="G59" s="803">
        <f t="shared" si="6"/>
        <v>1351841</v>
      </c>
      <c r="H59" s="806">
        <f>'3_Levels 1&amp;2'!C59</f>
        <v>19479</v>
      </c>
      <c r="I59" s="803">
        <f t="shared" si="7"/>
        <v>1947900</v>
      </c>
      <c r="J59" s="803">
        <f t="shared" si="8"/>
        <v>3299741</v>
      </c>
      <c r="K59" s="803">
        <f t="shared" si="9"/>
        <v>16735186</v>
      </c>
      <c r="L59" s="803">
        <v>2696818.5034688949</v>
      </c>
      <c r="M59" s="1155">
        <f t="shared" si="5"/>
        <v>19432004.503468893</v>
      </c>
    </row>
    <row r="60" spans="1:13" ht="15.6" customHeight="1" x14ac:dyDescent="0.2">
      <c r="A60" s="368">
        <v>54</v>
      </c>
      <c r="B60" s="369" t="s">
        <v>57</v>
      </c>
      <c r="C60" s="803">
        <v>951.45</v>
      </c>
      <c r="D60" s="803">
        <f>ROUND(C60*'3_Levels 1&amp;2'!C60,0)</f>
        <v>462405</v>
      </c>
      <c r="E60" s="804">
        <v>0</v>
      </c>
      <c r="F60" s="805">
        <f>'3_Levels 1&amp;2'!C60</f>
        <v>486</v>
      </c>
      <c r="G60" s="803">
        <f t="shared" si="6"/>
        <v>33728</v>
      </c>
      <c r="H60" s="806">
        <f>'3_Levels 1&amp;2'!C60</f>
        <v>486</v>
      </c>
      <c r="I60" s="803">
        <f t="shared" si="7"/>
        <v>48600</v>
      </c>
      <c r="J60" s="803">
        <f t="shared" si="8"/>
        <v>82328</v>
      </c>
      <c r="K60" s="803">
        <f t="shared" si="9"/>
        <v>544733</v>
      </c>
      <c r="L60" s="803">
        <v>90139.436532470092</v>
      </c>
      <c r="M60" s="1155">
        <f t="shared" si="5"/>
        <v>634872.43653247005</v>
      </c>
    </row>
    <row r="61" spans="1:13" ht="15.6" customHeight="1" x14ac:dyDescent="0.2">
      <c r="A61" s="358">
        <v>55</v>
      </c>
      <c r="B61" s="359" t="s">
        <v>58</v>
      </c>
      <c r="C61" s="807">
        <v>795.14</v>
      </c>
      <c r="D61" s="807">
        <f>ROUND(C61*'3_Levels 1&amp;2'!C61,0)</f>
        <v>13322571</v>
      </c>
      <c r="E61" s="808">
        <v>0</v>
      </c>
      <c r="F61" s="809">
        <f>'3_Levels 1&amp;2'!C61</f>
        <v>16755</v>
      </c>
      <c r="G61" s="807">
        <f t="shared" si="6"/>
        <v>1162795</v>
      </c>
      <c r="H61" s="810">
        <f>'3_Levels 1&amp;2'!C61</f>
        <v>16755</v>
      </c>
      <c r="I61" s="807">
        <f t="shared" si="7"/>
        <v>1675500</v>
      </c>
      <c r="J61" s="807">
        <f t="shared" si="8"/>
        <v>2838295</v>
      </c>
      <c r="K61" s="807">
        <f t="shared" si="9"/>
        <v>16160866</v>
      </c>
      <c r="L61" s="807">
        <v>2215645.3503094409</v>
      </c>
      <c r="M61" s="1156">
        <f t="shared" si="5"/>
        <v>18376511.350309439</v>
      </c>
    </row>
    <row r="62" spans="1:13" ht="15.6" customHeight="1" x14ac:dyDescent="0.2">
      <c r="A62" s="368">
        <v>56</v>
      </c>
      <c r="B62" s="369" t="s">
        <v>59</v>
      </c>
      <c r="C62" s="803">
        <v>614.66000000000008</v>
      </c>
      <c r="D62" s="811">
        <f>ROUND(C62*'3_Levels 1&amp;2'!C62,0)</f>
        <v>1831687</v>
      </c>
      <c r="E62" s="804">
        <v>0</v>
      </c>
      <c r="F62" s="805">
        <f>'3_Levels 1&amp;2'!C62</f>
        <v>2980</v>
      </c>
      <c r="G62" s="803">
        <f t="shared" si="6"/>
        <v>206812</v>
      </c>
      <c r="H62" s="806">
        <f>'3_Levels 1&amp;2'!C62</f>
        <v>2980</v>
      </c>
      <c r="I62" s="803">
        <f t="shared" si="7"/>
        <v>298000</v>
      </c>
      <c r="J62" s="803">
        <f t="shared" si="8"/>
        <v>504812</v>
      </c>
      <c r="K62" s="803">
        <f t="shared" si="9"/>
        <v>2336499</v>
      </c>
      <c r="L62" s="803">
        <v>387995.12254514021</v>
      </c>
      <c r="M62" s="1155">
        <f t="shared" si="5"/>
        <v>2724494.1225451403</v>
      </c>
    </row>
    <row r="63" spans="1:13" ht="15.6" customHeight="1" x14ac:dyDescent="0.2">
      <c r="A63" s="368">
        <v>57</v>
      </c>
      <c r="B63" s="369" t="s">
        <v>60</v>
      </c>
      <c r="C63" s="803">
        <v>764.51</v>
      </c>
      <c r="D63" s="803">
        <f>ROUND(C63*'3_Levels 1&amp;2'!C63,0)</f>
        <v>7082421</v>
      </c>
      <c r="E63" s="804">
        <v>0</v>
      </c>
      <c r="F63" s="805">
        <f>'3_Levels 1&amp;2'!C63</f>
        <v>9264</v>
      </c>
      <c r="G63" s="803">
        <f t="shared" si="6"/>
        <v>642921</v>
      </c>
      <c r="H63" s="806">
        <f>'3_Levels 1&amp;2'!C63</f>
        <v>9264</v>
      </c>
      <c r="I63" s="803">
        <f t="shared" si="7"/>
        <v>926400</v>
      </c>
      <c r="J63" s="803">
        <f t="shared" si="8"/>
        <v>1569321</v>
      </c>
      <c r="K63" s="803">
        <f t="shared" si="9"/>
        <v>8651742</v>
      </c>
      <c r="L63" s="803">
        <v>1277139.9066516946</v>
      </c>
      <c r="M63" s="1155">
        <f t="shared" si="5"/>
        <v>9928881.9066516943</v>
      </c>
    </row>
    <row r="64" spans="1:13" ht="15.6" customHeight="1" x14ac:dyDescent="0.2">
      <c r="A64" s="368">
        <v>58</v>
      </c>
      <c r="B64" s="369" t="s">
        <v>61</v>
      </c>
      <c r="C64" s="803">
        <v>697.04</v>
      </c>
      <c r="D64" s="803">
        <f>ROUND(C64*'3_Levels 1&amp;2'!C64,0)</f>
        <v>5631386</v>
      </c>
      <c r="E64" s="804">
        <v>0</v>
      </c>
      <c r="F64" s="805">
        <f>'3_Levels 1&amp;2'!C64</f>
        <v>8079</v>
      </c>
      <c r="G64" s="803">
        <f t="shared" si="6"/>
        <v>560682</v>
      </c>
      <c r="H64" s="806">
        <f>'3_Levels 1&amp;2'!C64</f>
        <v>8079</v>
      </c>
      <c r="I64" s="803">
        <f t="shared" si="7"/>
        <v>807900</v>
      </c>
      <c r="J64" s="803">
        <f t="shared" si="8"/>
        <v>1368582</v>
      </c>
      <c r="K64" s="803">
        <f t="shared" si="9"/>
        <v>6999968</v>
      </c>
      <c r="L64" s="803">
        <v>1153931.9754787227</v>
      </c>
      <c r="M64" s="1155">
        <f t="shared" si="5"/>
        <v>8153899.9754787227</v>
      </c>
    </row>
    <row r="65" spans="1:13" ht="15.6" customHeight="1" x14ac:dyDescent="0.2">
      <c r="A65" s="368">
        <v>59</v>
      </c>
      <c r="B65" s="369" t="s">
        <v>62</v>
      </c>
      <c r="C65" s="803">
        <v>689.52</v>
      </c>
      <c r="D65" s="803">
        <f>ROUND(C65*'3_Levels 1&amp;2'!C65,0)</f>
        <v>3470354</v>
      </c>
      <c r="E65" s="804">
        <v>0</v>
      </c>
      <c r="F65" s="805">
        <f>'3_Levels 1&amp;2'!C65</f>
        <v>5033</v>
      </c>
      <c r="G65" s="803">
        <f t="shared" si="6"/>
        <v>349290</v>
      </c>
      <c r="H65" s="806">
        <f>'3_Levels 1&amp;2'!C65</f>
        <v>5033</v>
      </c>
      <c r="I65" s="803">
        <f t="shared" si="7"/>
        <v>503300</v>
      </c>
      <c r="J65" s="803">
        <f t="shared" si="8"/>
        <v>852590</v>
      </c>
      <c r="K65" s="803">
        <f t="shared" si="9"/>
        <v>4322944</v>
      </c>
      <c r="L65" s="803">
        <v>746326.20912821218</v>
      </c>
      <c r="M65" s="1155">
        <f t="shared" si="5"/>
        <v>5069270.2091282122</v>
      </c>
    </row>
    <row r="66" spans="1:13" ht="15.6" customHeight="1" x14ac:dyDescent="0.2">
      <c r="A66" s="358">
        <v>60</v>
      </c>
      <c r="B66" s="359" t="s">
        <v>63</v>
      </c>
      <c r="C66" s="807">
        <v>594.04</v>
      </c>
      <c r="D66" s="807">
        <f>ROUND(C66*'3_Levels 1&amp;2'!C66,0)</f>
        <v>3547607</v>
      </c>
      <c r="E66" s="808">
        <v>0</v>
      </c>
      <c r="F66" s="809">
        <f>'3_Levels 1&amp;2'!C66</f>
        <v>5972</v>
      </c>
      <c r="G66" s="807">
        <f t="shared" si="6"/>
        <v>414456</v>
      </c>
      <c r="H66" s="810">
        <f>'3_Levels 1&amp;2'!C66</f>
        <v>5972</v>
      </c>
      <c r="I66" s="807">
        <f t="shared" si="7"/>
        <v>597200</v>
      </c>
      <c r="J66" s="807">
        <f t="shared" si="8"/>
        <v>1011656</v>
      </c>
      <c r="K66" s="807">
        <f t="shared" si="9"/>
        <v>4559263</v>
      </c>
      <c r="L66" s="807">
        <v>779641.87532270746</v>
      </c>
      <c r="M66" s="1156">
        <f t="shared" si="5"/>
        <v>5338904.875322707</v>
      </c>
    </row>
    <row r="67" spans="1:13" ht="15.6" customHeight="1" x14ac:dyDescent="0.2">
      <c r="A67" s="368">
        <v>61</v>
      </c>
      <c r="B67" s="369" t="s">
        <v>64</v>
      </c>
      <c r="C67" s="803">
        <v>833.70999999999992</v>
      </c>
      <c r="D67" s="811">
        <f>ROUND(C67*'3_Levels 1&amp;2'!C67,0)</f>
        <v>3031370</v>
      </c>
      <c r="E67" s="804">
        <v>0</v>
      </c>
      <c r="F67" s="805">
        <f>'3_Levels 1&amp;2'!C67</f>
        <v>3636</v>
      </c>
      <c r="G67" s="803">
        <f t="shared" si="6"/>
        <v>252338</v>
      </c>
      <c r="H67" s="806">
        <f>'3_Levels 1&amp;2'!C67</f>
        <v>3636</v>
      </c>
      <c r="I67" s="803">
        <f t="shared" si="7"/>
        <v>363600</v>
      </c>
      <c r="J67" s="803">
        <f t="shared" si="8"/>
        <v>615938</v>
      </c>
      <c r="K67" s="803">
        <f t="shared" si="9"/>
        <v>3647308</v>
      </c>
      <c r="L67" s="803">
        <v>634026.82256491901</v>
      </c>
      <c r="M67" s="1155">
        <f t="shared" si="5"/>
        <v>4281334.8225649185</v>
      </c>
    </row>
    <row r="68" spans="1:13" ht="15.6" customHeight="1" x14ac:dyDescent="0.2">
      <c r="A68" s="368">
        <v>62</v>
      </c>
      <c r="B68" s="369" t="s">
        <v>65</v>
      </c>
      <c r="C68" s="803">
        <v>516.08000000000004</v>
      </c>
      <c r="D68" s="803">
        <f>ROUND(C68*'3_Levels 1&amp;2'!C68,0)</f>
        <v>1017194</v>
      </c>
      <c r="E68" s="804">
        <v>0</v>
      </c>
      <c r="F68" s="805">
        <f>'3_Levels 1&amp;2'!C68</f>
        <v>1971</v>
      </c>
      <c r="G68" s="803">
        <f t="shared" si="6"/>
        <v>136787</v>
      </c>
      <c r="H68" s="806">
        <f>'3_Levels 1&amp;2'!C68</f>
        <v>1971</v>
      </c>
      <c r="I68" s="803">
        <f t="shared" si="7"/>
        <v>197100</v>
      </c>
      <c r="J68" s="803">
        <f t="shared" si="8"/>
        <v>333887</v>
      </c>
      <c r="K68" s="803">
        <f t="shared" si="9"/>
        <v>1351081</v>
      </c>
      <c r="L68" s="803">
        <v>271548.55773725582</v>
      </c>
      <c r="M68" s="1155">
        <f t="shared" si="5"/>
        <v>1622629.5577372559</v>
      </c>
    </row>
    <row r="69" spans="1:13" ht="15.6" customHeight="1" x14ac:dyDescent="0.2">
      <c r="A69" s="368">
        <v>63</v>
      </c>
      <c r="B69" s="369" t="s">
        <v>66</v>
      </c>
      <c r="C69" s="803">
        <v>756.79</v>
      </c>
      <c r="D69" s="803">
        <f>ROUND(C69*'3_Levels 1&amp;2'!C69,0)</f>
        <v>1601368</v>
      </c>
      <c r="E69" s="804">
        <v>680156</v>
      </c>
      <c r="F69" s="805"/>
      <c r="G69" s="803">
        <f t="shared" si="6"/>
        <v>0</v>
      </c>
      <c r="H69" s="806">
        <f>'3_Levels 1&amp;2'!C69</f>
        <v>2116</v>
      </c>
      <c r="I69" s="803">
        <f t="shared" si="7"/>
        <v>211600</v>
      </c>
      <c r="J69" s="803">
        <f t="shared" si="8"/>
        <v>891756</v>
      </c>
      <c r="K69" s="803">
        <f t="shared" si="9"/>
        <v>2493124</v>
      </c>
      <c r="L69" s="803">
        <v>355648.58772940846</v>
      </c>
      <c r="M69" s="1155">
        <f t="shared" si="5"/>
        <v>2848772.5877294084</v>
      </c>
    </row>
    <row r="70" spans="1:13" ht="15.6" customHeight="1" x14ac:dyDescent="0.2">
      <c r="A70" s="368">
        <v>64</v>
      </c>
      <c r="B70" s="369" t="s">
        <v>67</v>
      </c>
      <c r="C70" s="803">
        <v>592.66</v>
      </c>
      <c r="D70" s="803">
        <f>ROUND(C70*'3_Levels 1&amp;2'!C70,0)</f>
        <v>1240437</v>
      </c>
      <c r="E70" s="804">
        <v>0</v>
      </c>
      <c r="F70" s="805">
        <f>'3_Levels 1&amp;2'!C70</f>
        <v>2093</v>
      </c>
      <c r="G70" s="803">
        <f t="shared" si="6"/>
        <v>145254</v>
      </c>
      <c r="H70" s="806">
        <f>'3_Levels 1&amp;2'!C70</f>
        <v>2093</v>
      </c>
      <c r="I70" s="803">
        <f t="shared" si="7"/>
        <v>209300</v>
      </c>
      <c r="J70" s="803">
        <f t="shared" si="8"/>
        <v>354554</v>
      </c>
      <c r="K70" s="803">
        <f t="shared" si="9"/>
        <v>1594991</v>
      </c>
      <c r="L70" s="803">
        <v>324849.10926989792</v>
      </c>
      <c r="M70" s="1155">
        <f t="shared" si="5"/>
        <v>1919840.1092698979</v>
      </c>
    </row>
    <row r="71" spans="1:13" ht="15.6" customHeight="1" x14ac:dyDescent="0.2">
      <c r="A71" s="358">
        <v>65</v>
      </c>
      <c r="B71" s="359" t="s">
        <v>68</v>
      </c>
      <c r="C71" s="807">
        <v>829.12</v>
      </c>
      <c r="D71" s="807">
        <f>ROUND(C71*'3_Levels 1&amp;2'!C71,0)</f>
        <v>6587358</v>
      </c>
      <c r="E71" s="808">
        <v>0</v>
      </c>
      <c r="F71" s="809">
        <f>'3_Levels 1&amp;2'!C71</f>
        <v>7945</v>
      </c>
      <c r="G71" s="807">
        <f>ROUND($G$3*F71,0)</f>
        <v>551382</v>
      </c>
      <c r="H71" s="810">
        <f>'3_Levels 1&amp;2'!C71</f>
        <v>7945</v>
      </c>
      <c r="I71" s="807">
        <f>ROUND(H71*$I$3,0)</f>
        <v>794500</v>
      </c>
      <c r="J71" s="807">
        <f>E71+G71+I71</f>
        <v>1345882</v>
      </c>
      <c r="K71" s="807">
        <f t="shared" si="9"/>
        <v>7933240</v>
      </c>
      <c r="L71" s="807">
        <v>1275783.1416998003</v>
      </c>
      <c r="M71" s="1156">
        <f t="shared" si="5"/>
        <v>9209023.1416998003</v>
      </c>
    </row>
    <row r="72" spans="1:13" ht="15.6" customHeight="1" x14ac:dyDescent="0.2">
      <c r="A72" s="368">
        <v>66</v>
      </c>
      <c r="B72" s="369" t="s">
        <v>69</v>
      </c>
      <c r="C72" s="803">
        <v>730.06</v>
      </c>
      <c r="D72" s="811">
        <f>ROUND(C72*'3_Levels 1&amp;2'!C72,0)</f>
        <v>1390034</v>
      </c>
      <c r="E72" s="804">
        <v>0</v>
      </c>
      <c r="F72" s="805">
        <f>'3_Levels 1&amp;2'!C72</f>
        <v>1904</v>
      </c>
      <c r="G72" s="803">
        <f>ROUND($G$3*F72,0)</f>
        <v>132137</v>
      </c>
      <c r="H72" s="806">
        <f>'3_Levels 1&amp;2'!C72</f>
        <v>1904</v>
      </c>
      <c r="I72" s="803">
        <f>ROUND(H72*$I$3,0)</f>
        <v>190400</v>
      </c>
      <c r="J72" s="803">
        <f>E72+G72+I72</f>
        <v>322537</v>
      </c>
      <c r="K72" s="803">
        <f t="shared" si="9"/>
        <v>1712571</v>
      </c>
      <c r="L72" s="803">
        <v>297577.60774933407</v>
      </c>
      <c r="M72" s="1155">
        <f>K72+L72</f>
        <v>2010148.6077493341</v>
      </c>
    </row>
    <row r="73" spans="1:13" ht="15.6" customHeight="1" x14ac:dyDescent="0.2">
      <c r="A73" s="368">
        <v>67</v>
      </c>
      <c r="B73" s="369" t="s">
        <v>2</v>
      </c>
      <c r="C73" s="803">
        <v>715.61</v>
      </c>
      <c r="D73" s="803">
        <f>ROUND(C73*'3_Levels 1&amp;2'!C73,0)</f>
        <v>3887194</v>
      </c>
      <c r="E73" s="804">
        <v>0</v>
      </c>
      <c r="F73" s="805">
        <f>'3_Levels 1&amp;2'!C73</f>
        <v>5432</v>
      </c>
      <c r="G73" s="803">
        <f>ROUND($G$3*F73,0)</f>
        <v>376980</v>
      </c>
      <c r="H73" s="806">
        <f>'3_Levels 1&amp;2'!C73</f>
        <v>5432</v>
      </c>
      <c r="I73" s="803">
        <f>ROUND(H73*$I$3,0)</f>
        <v>543200</v>
      </c>
      <c r="J73" s="803">
        <f>E73+G73+I73</f>
        <v>920180</v>
      </c>
      <c r="K73" s="803">
        <f t="shared" si="9"/>
        <v>4807374</v>
      </c>
      <c r="L73" s="803">
        <v>652570.95169355662</v>
      </c>
      <c r="M73" s="1155">
        <f>K73+L73</f>
        <v>5459944.9516935563</v>
      </c>
    </row>
    <row r="74" spans="1:13" ht="15.6" customHeight="1" x14ac:dyDescent="0.2">
      <c r="A74" s="368">
        <v>68</v>
      </c>
      <c r="B74" s="369" t="s">
        <v>1</v>
      </c>
      <c r="C74" s="803">
        <v>798.7</v>
      </c>
      <c r="D74" s="803">
        <f>ROUND(C74*'3_Levels 1&amp;2'!C74,0)</f>
        <v>1449641</v>
      </c>
      <c r="E74" s="804">
        <v>0</v>
      </c>
      <c r="F74" s="805">
        <f>'3_Levels 1&amp;2'!C74</f>
        <v>1815</v>
      </c>
      <c r="G74" s="803">
        <f>ROUND($G$3*F74,0)</f>
        <v>125961</v>
      </c>
      <c r="H74" s="806">
        <f>'3_Levels 1&amp;2'!C74</f>
        <v>1815</v>
      </c>
      <c r="I74" s="803">
        <f>ROUND(H74*$I$3,0)</f>
        <v>181500</v>
      </c>
      <c r="J74" s="803">
        <f>E74+G74+I74</f>
        <v>307461</v>
      </c>
      <c r="K74" s="803">
        <f t="shared" si="9"/>
        <v>1757102</v>
      </c>
      <c r="L74" s="803">
        <v>264482.80233350373</v>
      </c>
      <c r="M74" s="1155">
        <f>K74+L74</f>
        <v>2021584.8023335037</v>
      </c>
    </row>
    <row r="75" spans="1:13" ht="15.6" customHeight="1" x14ac:dyDescent="0.2">
      <c r="A75" s="372">
        <v>69</v>
      </c>
      <c r="B75" s="373" t="s">
        <v>74</v>
      </c>
      <c r="C75" s="813">
        <v>705.67</v>
      </c>
      <c r="D75" s="813">
        <f>ROUND(C75*'3_Levels 1&amp;2'!C75,0)</f>
        <v>3326528</v>
      </c>
      <c r="E75" s="814">
        <v>0</v>
      </c>
      <c r="F75" s="815">
        <f>'3_Levels 1&amp;2'!C75</f>
        <v>4714</v>
      </c>
      <c r="G75" s="813">
        <f>ROUND($G$3*F75,0)</f>
        <v>327151</v>
      </c>
      <c r="H75" s="816">
        <f>'3_Levels 1&amp;2'!C75</f>
        <v>4714</v>
      </c>
      <c r="I75" s="813">
        <f>ROUND(H75*$I$3,0)</f>
        <v>471400</v>
      </c>
      <c r="J75" s="813">
        <f>E75+G75+I75</f>
        <v>798551</v>
      </c>
      <c r="K75" s="813">
        <f t="shared" si="9"/>
        <v>4125079</v>
      </c>
      <c r="L75" s="813">
        <v>518387.32920879655</v>
      </c>
      <c r="M75" s="1157">
        <f>K75+L75</f>
        <v>4643466.3292087968</v>
      </c>
    </row>
    <row r="76" spans="1:13" s="35" customFormat="1" ht="15.6" customHeight="1" thickBot="1" x14ac:dyDescent="0.25">
      <c r="A76" s="817"/>
      <c r="B76" s="818" t="s">
        <v>70</v>
      </c>
      <c r="C76" s="37">
        <f>ROUND(D76/'3_Levels 1&amp;2'!C76,2)</f>
        <v>706.16</v>
      </c>
      <c r="D76" s="513">
        <f t="shared" ref="D76:I76" si="10">SUM(D7:D75)</f>
        <v>480960095</v>
      </c>
      <c r="E76" s="819">
        <f t="shared" si="10"/>
        <v>38336714</v>
      </c>
      <c r="F76" s="820">
        <f t="shared" si="10"/>
        <v>554125</v>
      </c>
      <c r="G76" s="819">
        <f t="shared" si="10"/>
        <v>38456217</v>
      </c>
      <c r="H76" s="821">
        <f t="shared" si="10"/>
        <v>681088</v>
      </c>
      <c r="I76" s="822">
        <f t="shared" si="10"/>
        <v>68108800</v>
      </c>
      <c r="J76" s="822">
        <f>SUM(J7:J75)</f>
        <v>144901731</v>
      </c>
      <c r="K76" s="822">
        <f>SUM(K7:K75)</f>
        <v>625861826</v>
      </c>
      <c r="L76" s="822">
        <f>SUM(L7:L75)</f>
        <v>99128929</v>
      </c>
      <c r="M76" s="1158">
        <f>SUM(M7:M75)</f>
        <v>724990755</v>
      </c>
    </row>
    <row r="77" spans="1:13" ht="13.5" thickTop="1" x14ac:dyDescent="0.2">
      <c r="A77" s="296"/>
      <c r="B77" s="824"/>
      <c r="C77" s="812"/>
      <c r="F77" s="823"/>
      <c r="G77" s="823"/>
    </row>
    <row r="78" spans="1:13" x14ac:dyDescent="0.2">
      <c r="A78" s="823"/>
      <c r="B78" s="823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M1:M3"/>
    <mergeCell ref="L1:L3"/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FY2019-20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8.140625" style="5" customWidth="1"/>
    <col min="3" max="3" width="12.140625" style="5" bestFit="1" customWidth="1"/>
    <col min="4" max="4" width="13.85546875" style="5" customWidth="1"/>
    <col min="5" max="5" width="12.28515625" style="5" customWidth="1"/>
    <col min="6" max="6" width="11.28515625" style="5" customWidth="1"/>
    <col min="7" max="7" width="10.85546875" style="5" customWidth="1"/>
    <col min="8" max="9" width="11.28515625" style="5" customWidth="1"/>
    <col min="10" max="10" width="10.85546875" style="5" customWidth="1"/>
    <col min="11" max="12" width="11.28515625" style="5" customWidth="1"/>
    <col min="13" max="13" width="8.5703125" style="5" customWidth="1"/>
    <col min="14" max="15" width="11.28515625" style="5" customWidth="1"/>
    <col min="16" max="16" width="8.5703125" style="5" customWidth="1"/>
    <col min="17" max="17" width="11.28515625" style="5" customWidth="1"/>
    <col min="18" max="18" width="10.140625" style="5" bestFit="1" customWidth="1"/>
    <col min="19" max="21" width="13.85546875" style="5" customWidth="1"/>
    <col min="22" max="22" width="11.85546875" style="5" bestFit="1" customWidth="1"/>
    <col min="23" max="23" width="10.85546875" style="5" bestFit="1" customWidth="1"/>
    <col min="24" max="24" width="12.7109375" style="5" customWidth="1"/>
    <col min="25" max="25" width="14.7109375" style="5" customWidth="1"/>
    <col min="26" max="26" width="17.5703125" style="5" customWidth="1"/>
    <col min="27" max="28" width="11.28515625" style="5" customWidth="1"/>
    <col min="29" max="29" width="10.7109375" style="5" customWidth="1"/>
    <col min="30" max="30" width="16.42578125" style="5" customWidth="1"/>
    <col min="31" max="32" width="15.85546875" style="5" customWidth="1"/>
    <col min="33" max="37" width="15.7109375" style="5" customWidth="1"/>
    <col min="38" max="38" width="15.140625" style="5" customWidth="1"/>
    <col min="39" max="39" width="10.85546875" style="5" customWidth="1"/>
    <col min="40" max="40" width="15" style="5" customWidth="1"/>
    <col min="41" max="41" width="13.7109375" style="5" customWidth="1"/>
    <col min="42" max="42" width="16.28515625" style="5" customWidth="1"/>
    <col min="43" max="44" width="13.85546875" style="5" customWidth="1"/>
    <col min="45" max="45" width="15.5703125" style="5" customWidth="1"/>
    <col min="46" max="47" width="14.42578125" style="5" bestFit="1" customWidth="1"/>
    <col min="48" max="48" width="3" style="5" bestFit="1" customWidth="1"/>
    <col min="49" max="50" width="12.28515625" style="5" customWidth="1"/>
    <col min="51" max="51" width="10" style="5" bestFit="1" customWidth="1"/>
    <col min="52" max="16384" width="8.85546875" style="5"/>
  </cols>
  <sheetData>
    <row r="1" spans="1:52" ht="19.899999999999999" customHeight="1" x14ac:dyDescent="0.2">
      <c r="A1" s="1505" t="s">
        <v>912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2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391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2" ht="95.25" customHeight="1" x14ac:dyDescent="0.2">
      <c r="A3" s="1507"/>
      <c r="B3" s="1508"/>
      <c r="C3" s="1412"/>
      <c r="D3" s="855" t="s">
        <v>533</v>
      </c>
      <c r="E3" s="855" t="s">
        <v>320</v>
      </c>
      <c r="F3" s="886" t="s">
        <v>1197</v>
      </c>
      <c r="G3" s="855" t="s">
        <v>392</v>
      </c>
      <c r="H3" s="855" t="s">
        <v>320</v>
      </c>
      <c r="I3" s="886" t="s">
        <v>1198</v>
      </c>
      <c r="J3" s="855" t="s">
        <v>392</v>
      </c>
      <c r="K3" s="855" t="s">
        <v>320</v>
      </c>
      <c r="L3" s="886" t="s">
        <v>1199</v>
      </c>
      <c r="M3" s="855" t="s">
        <v>407</v>
      </c>
      <c r="N3" s="855" t="s">
        <v>320</v>
      </c>
      <c r="O3" s="886" t="s">
        <v>1199</v>
      </c>
      <c r="P3" s="855" t="s">
        <v>407</v>
      </c>
      <c r="Q3" s="855" t="s">
        <v>320</v>
      </c>
      <c r="R3" s="1412"/>
      <c r="S3" s="1214" t="s">
        <v>1186</v>
      </c>
      <c r="T3" s="1214" t="s">
        <v>1187</v>
      </c>
      <c r="U3" s="1214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652" t="s">
        <v>440</v>
      </c>
      <c r="AX3" s="652" t="s">
        <v>441</v>
      </c>
      <c r="AY3" s="652" t="s">
        <v>375</v>
      </c>
    </row>
    <row r="4" spans="1:52" ht="14.25" customHeight="1" x14ac:dyDescent="0.2">
      <c r="A4" s="203"/>
      <c r="B4" s="204"/>
      <c r="C4" s="202">
        <v>1</v>
      </c>
      <c r="D4" s="202">
        <v>2</v>
      </c>
      <c r="E4" s="202">
        <v>3</v>
      </c>
      <c r="F4" s="202">
        <v>4</v>
      </c>
      <c r="G4" s="202">
        <v>5</v>
      </c>
      <c r="H4" s="202">
        <v>6</v>
      </c>
      <c r="I4" s="202">
        <v>7</v>
      </c>
      <c r="J4" s="202">
        <v>8</v>
      </c>
      <c r="K4" s="202">
        <v>9</v>
      </c>
      <c r="L4" s="202">
        <v>10</v>
      </c>
      <c r="M4" s="202">
        <v>11</v>
      </c>
      <c r="N4" s="202">
        <v>12</v>
      </c>
      <c r="O4" s="202">
        <v>13</v>
      </c>
      <c r="P4" s="202">
        <v>14</v>
      </c>
      <c r="Q4" s="202">
        <v>15</v>
      </c>
      <c r="R4" s="202">
        <v>16</v>
      </c>
      <c r="S4" s="202">
        <v>17</v>
      </c>
      <c r="T4" s="202">
        <v>18</v>
      </c>
      <c r="U4" s="202">
        <v>19</v>
      </c>
      <c r="V4" s="202">
        <v>20</v>
      </c>
      <c r="W4" s="202">
        <v>21</v>
      </c>
      <c r="X4" s="202">
        <v>22</v>
      </c>
      <c r="Y4" s="202">
        <v>23</v>
      </c>
      <c r="Z4" s="202">
        <v>24</v>
      </c>
      <c r="AA4" s="202">
        <v>25</v>
      </c>
      <c r="AB4" s="202">
        <v>26</v>
      </c>
      <c r="AC4" s="202">
        <v>27</v>
      </c>
      <c r="AD4" s="202">
        <v>28</v>
      </c>
      <c r="AE4" s="202">
        <v>29</v>
      </c>
      <c r="AF4" s="202">
        <v>30</v>
      </c>
      <c r="AG4" s="202">
        <v>31</v>
      </c>
      <c r="AH4" s="202">
        <v>32</v>
      </c>
      <c r="AI4" s="202">
        <v>33</v>
      </c>
      <c r="AJ4" s="202">
        <v>34</v>
      </c>
      <c r="AK4" s="202">
        <v>35</v>
      </c>
      <c r="AL4" s="202">
        <v>36</v>
      </c>
      <c r="AM4" s="202">
        <v>37</v>
      </c>
      <c r="AN4" s="202">
        <v>38</v>
      </c>
      <c r="AO4" s="202">
        <v>39</v>
      </c>
      <c r="AP4" s="202">
        <v>40</v>
      </c>
      <c r="AQ4" s="202">
        <v>41</v>
      </c>
      <c r="AR4" s="202">
        <v>42</v>
      </c>
      <c r="AS4" s="202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</row>
    <row r="5" spans="1:52" s="736" customFormat="1" ht="31.5" customHeight="1" x14ac:dyDescent="0.2">
      <c r="A5" s="737"/>
      <c r="B5" s="737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2" s="736" customFormat="1" ht="31.5" hidden="1" customHeight="1" x14ac:dyDescent="0.2">
      <c r="A6" s="737"/>
      <c r="B6" s="737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2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  <c r="AZ7" s="7"/>
    </row>
    <row r="8" spans="1:52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  <c r="AZ8" s="7"/>
    </row>
    <row r="9" spans="1:52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  <c r="AZ9" s="7"/>
    </row>
    <row r="10" spans="1:52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  <c r="AZ10" s="7"/>
    </row>
    <row r="11" spans="1:52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  <c r="AZ11" s="7"/>
    </row>
    <row r="12" spans="1:52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  <c r="AZ12" s="7"/>
    </row>
    <row r="13" spans="1:52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  <c r="AZ13" s="7"/>
    </row>
    <row r="14" spans="1:52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  <c r="AZ14" s="7"/>
    </row>
    <row r="15" spans="1:52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  <c r="AZ15" s="7"/>
    </row>
    <row r="16" spans="1:52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  <c r="AZ16" s="7"/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  <c r="AZ17" s="7"/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  <c r="AZ18" s="7"/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  <c r="AZ19" s="7"/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  <c r="AZ20" s="7"/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  <c r="AZ21" s="7"/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  <c r="AZ22" s="7"/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  <c r="AZ23" s="7"/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  <c r="AZ24" s="7"/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  <c r="AZ25" s="7"/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  <c r="AZ26" s="7"/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  <c r="AZ27" s="7"/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  <c r="AZ28" s="7"/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  <c r="AZ29" s="7"/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  <c r="AZ30" s="7"/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  <c r="AZ31" s="7"/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35539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34535</v>
      </c>
      <c r="AM32" s="128"/>
      <c r="AN32" s="125"/>
      <c r="AO32" s="118">
        <v>0</v>
      </c>
      <c r="AP32" s="125"/>
      <c r="AQ32" s="126"/>
      <c r="AR32" s="126"/>
      <c r="AS32" s="125">
        <v>3103</v>
      </c>
      <c r="AT32" s="779">
        <v>69177</v>
      </c>
      <c r="AU32" s="780">
        <v>6636</v>
      </c>
      <c r="AV32" s="344"/>
      <c r="AW32" s="119">
        <v>95</v>
      </c>
      <c r="AX32" s="119">
        <v>86</v>
      </c>
      <c r="AY32" s="119">
        <v>-9</v>
      </c>
      <c r="AZ32" s="7"/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  <c r="AZ33" s="7"/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  <c r="AZ34" s="7"/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  <c r="AZ35" s="7"/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  <c r="AZ36" s="7"/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  <c r="AZ37" s="7"/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  <c r="AZ38" s="7"/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  <c r="AZ39" s="7"/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  <c r="AZ40" s="7"/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  <c r="AZ41" s="7"/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176281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625860</v>
      </c>
      <c r="AM42" s="128"/>
      <c r="AN42" s="125"/>
      <c r="AO42" s="118">
        <v>0</v>
      </c>
      <c r="AP42" s="125"/>
      <c r="AQ42" s="126"/>
      <c r="AR42" s="126"/>
      <c r="AS42" s="125">
        <v>62050</v>
      </c>
      <c r="AT42" s="779">
        <v>1056152</v>
      </c>
      <c r="AU42" s="780">
        <v>102213</v>
      </c>
      <c r="AV42" s="344"/>
      <c r="AW42" s="119">
        <v>611</v>
      </c>
      <c r="AX42" s="119">
        <v>1565</v>
      </c>
      <c r="AY42" s="119">
        <v>954</v>
      </c>
      <c r="AZ42" s="7"/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  <c r="AZ43" s="7"/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2317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10963</v>
      </c>
      <c r="AM44" s="147"/>
      <c r="AN44" s="144"/>
      <c r="AO44" s="136">
        <v>0</v>
      </c>
      <c r="AP44" s="144"/>
      <c r="AQ44" s="145"/>
      <c r="AR44" s="145"/>
      <c r="AS44" s="144">
        <v>930</v>
      </c>
      <c r="AT44" s="781">
        <v>13247</v>
      </c>
      <c r="AU44" s="782">
        <v>1122</v>
      </c>
      <c r="AV44" s="344"/>
      <c r="AW44" s="137">
        <v>27</v>
      </c>
      <c r="AX44" s="137">
        <v>27</v>
      </c>
      <c r="AY44" s="137">
        <v>0</v>
      </c>
      <c r="AZ44" s="7"/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  <c r="AZ45" s="7"/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  <c r="AZ46" s="7"/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  <c r="AZ47" s="7"/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  <c r="AZ48" s="7"/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  <c r="AZ49" s="7"/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>
        <v>0</v>
      </c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  <c r="AZ50" s="7"/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>
        <v>0</v>
      </c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  <c r="AZ51" s="7"/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  <c r="AZ52" s="7"/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  <c r="AZ53" s="7"/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  <c r="AZ54" s="7"/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  <c r="AZ55" s="7"/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  <c r="AZ56" s="7"/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  <c r="AZ57" s="7"/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  <c r="AZ58" s="7"/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  <c r="AZ59" s="7"/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  <c r="AZ60" s="7"/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  <c r="AZ61" s="7"/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  <c r="AZ62" s="7"/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  <c r="AZ63" s="7"/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  <c r="AZ64" s="7"/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  <c r="AZ65" s="7"/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  <c r="AZ66" s="7"/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  <c r="AZ67" s="7"/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  <c r="AZ68" s="7"/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  <c r="AZ69" s="7"/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  <c r="AZ70" s="7"/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  <c r="AZ71" s="7"/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  <c r="AZ72" s="7"/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  <c r="AZ73" s="7"/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  <c r="AZ74" s="7"/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  <c r="AZ75" s="7"/>
    </row>
    <row r="76" spans="1:52" s="16" customFormat="1" ht="15" customHeight="1" thickBot="1" x14ac:dyDescent="0.25">
      <c r="A76" s="1493" t="s">
        <v>397</v>
      </c>
      <c r="B76" s="1494"/>
      <c r="C76" s="1021">
        <v>45</v>
      </c>
      <c r="D76" s="1022">
        <v>4255.7718143692655</v>
      </c>
      <c r="E76" s="1023">
        <v>154769.00575300303</v>
      </c>
      <c r="F76" s="1024">
        <v>27</v>
      </c>
      <c r="G76" s="1025">
        <v>569.60967937788098</v>
      </c>
      <c r="H76" s="1026">
        <v>12566.687542090933</v>
      </c>
      <c r="I76" s="1024">
        <v>43</v>
      </c>
      <c r="J76" s="1025">
        <v>158.62710748085348</v>
      </c>
      <c r="K76" s="1026">
        <v>5411.9068169817019</v>
      </c>
      <c r="L76" s="1024">
        <v>13</v>
      </c>
      <c r="M76" s="1025">
        <v>3935.2023104669443</v>
      </c>
      <c r="N76" s="1026">
        <v>41390.009478621054</v>
      </c>
      <c r="O76" s="1024">
        <v>0</v>
      </c>
      <c r="P76" s="1025">
        <v>1525.492171506211</v>
      </c>
      <c r="Q76" s="1026">
        <v>0</v>
      </c>
      <c r="R76" s="1027">
        <v>214137</v>
      </c>
      <c r="S76" s="1025">
        <v>250363</v>
      </c>
      <c r="T76" s="1025">
        <v>5571</v>
      </c>
      <c r="U76" s="1028">
        <v>255934</v>
      </c>
      <c r="V76" s="1027">
        <v>470071</v>
      </c>
      <c r="W76" s="1026">
        <v>-1175</v>
      </c>
      <c r="X76" s="1027">
        <v>468896</v>
      </c>
      <c r="Y76" s="1026">
        <v>0</v>
      </c>
      <c r="Z76" s="1027">
        <v>468896</v>
      </c>
      <c r="AA76" s="1025">
        <v>293344</v>
      </c>
      <c r="AB76" s="1025">
        <v>175552</v>
      </c>
      <c r="AC76" s="1027">
        <v>43888</v>
      </c>
      <c r="AD76" s="1029">
        <v>468896</v>
      </c>
      <c r="AE76" s="1025">
        <v>5423</v>
      </c>
      <c r="AF76" s="1030">
        <v>291910</v>
      </c>
      <c r="AG76" s="1024">
        <v>57</v>
      </c>
      <c r="AH76" s="1025">
        <v>376791</v>
      </c>
      <c r="AI76" s="1024">
        <v>1</v>
      </c>
      <c r="AJ76" s="1025">
        <v>2657</v>
      </c>
      <c r="AK76" s="1028">
        <v>379448</v>
      </c>
      <c r="AL76" s="1030">
        <v>671358</v>
      </c>
      <c r="AM76" s="1025">
        <v>-1678</v>
      </c>
      <c r="AN76" s="1030">
        <v>669680</v>
      </c>
      <c r="AO76" s="1025">
        <v>0</v>
      </c>
      <c r="AP76" s="1030">
        <v>669680</v>
      </c>
      <c r="AQ76" s="1025">
        <v>405348</v>
      </c>
      <c r="AR76" s="1025">
        <v>264332</v>
      </c>
      <c r="AS76" s="1030">
        <v>66083</v>
      </c>
      <c r="AT76" s="787">
        <v>1138576</v>
      </c>
      <c r="AU76" s="787">
        <v>109971</v>
      </c>
      <c r="AV76" s="516"/>
      <c r="AW76" s="165">
        <v>733</v>
      </c>
      <c r="AX76" s="165">
        <v>1678</v>
      </c>
      <c r="AY76" s="165">
        <v>945</v>
      </c>
      <c r="AZ76" s="30"/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21220</v>
      </c>
      <c r="S77" s="975"/>
      <c r="T77" s="975"/>
      <c r="U77" s="975"/>
      <c r="V77" s="976">
        <v>21220</v>
      </c>
      <c r="W77" s="1018">
        <v>-53</v>
      </c>
      <c r="X77" s="976">
        <v>21167</v>
      </c>
      <c r="Y77" s="975"/>
      <c r="Z77" s="976">
        <v>21167</v>
      </c>
      <c r="AA77" s="975">
        <v>11268</v>
      </c>
      <c r="AB77" s="975">
        <v>9899</v>
      </c>
      <c r="AC77" s="976">
        <v>2475</v>
      </c>
      <c r="AD77" s="1020">
        <v>21167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21167</v>
      </c>
      <c r="AU77" s="1179">
        <v>2475</v>
      </c>
      <c r="AV77" s="1033"/>
      <c r="AW77" s="1034"/>
      <c r="AX77" s="1034">
        <v>0</v>
      </c>
      <c r="AY77" s="1034">
        <v>0</v>
      </c>
      <c r="AZ77" s="30"/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  <c r="AZ78" s="30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  <c r="AZ79" s="30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  <c r="AZ80" s="30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  <c r="AZ81" s="7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  <c r="AZ82" s="30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2655</v>
      </c>
      <c r="AA83" s="156">
        <v>1770</v>
      </c>
      <c r="AB83" s="795">
        <v>885</v>
      </c>
      <c r="AC83" s="157">
        <v>221</v>
      </c>
      <c r="AD83" s="157">
        <v>2655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2655</v>
      </c>
      <c r="AU83" s="796">
        <v>221</v>
      </c>
      <c r="AV83" s="516"/>
      <c r="AW83" s="516"/>
      <c r="AX83" s="516"/>
      <c r="AY83" s="516"/>
      <c r="AZ83" s="30"/>
    </row>
    <row r="84" spans="1:52" s="16" customFormat="1" ht="15" customHeight="1" thickBot="1" x14ac:dyDescent="0.25">
      <c r="A84" s="1493" t="s">
        <v>398</v>
      </c>
      <c r="B84" s="1494"/>
      <c r="C84" s="1021">
        <v>45</v>
      </c>
      <c r="D84" s="1022">
        <v>4255.7718143692655</v>
      </c>
      <c r="E84" s="1023">
        <v>154769.00575300303</v>
      </c>
      <c r="F84" s="1024">
        <v>27</v>
      </c>
      <c r="G84" s="1025">
        <v>569.60967937788098</v>
      </c>
      <c r="H84" s="1026">
        <v>12566.687542090933</v>
      </c>
      <c r="I84" s="1024">
        <v>43</v>
      </c>
      <c r="J84" s="1025">
        <v>158.62710748085348</v>
      </c>
      <c r="K84" s="1026">
        <v>5411.9068169817019</v>
      </c>
      <c r="L84" s="1024">
        <v>13</v>
      </c>
      <c r="M84" s="1025">
        <v>3935.2023104669443</v>
      </c>
      <c r="N84" s="1026">
        <v>41390.009478621054</v>
      </c>
      <c r="O84" s="1024">
        <v>0</v>
      </c>
      <c r="P84" s="1025">
        <v>1525.492171506211</v>
      </c>
      <c r="Q84" s="1026">
        <v>0</v>
      </c>
      <c r="R84" s="1027">
        <v>235357</v>
      </c>
      <c r="S84" s="1025">
        <v>250363</v>
      </c>
      <c r="T84" s="1025">
        <v>5571</v>
      </c>
      <c r="U84" s="1028">
        <v>255934</v>
      </c>
      <c r="V84" s="1027">
        <v>491291</v>
      </c>
      <c r="W84" s="1026">
        <v>-1228</v>
      </c>
      <c r="X84" s="1027">
        <v>490063</v>
      </c>
      <c r="Y84" s="1026">
        <v>0</v>
      </c>
      <c r="Z84" s="1027">
        <v>492718</v>
      </c>
      <c r="AA84" s="1025">
        <v>306382</v>
      </c>
      <c r="AB84" s="1025">
        <v>186336</v>
      </c>
      <c r="AC84" s="1027">
        <v>46584</v>
      </c>
      <c r="AD84" s="1029">
        <v>502718</v>
      </c>
      <c r="AE84" s="1025">
        <v>5423</v>
      </c>
      <c r="AF84" s="1030">
        <v>291910</v>
      </c>
      <c r="AG84" s="1024">
        <v>57</v>
      </c>
      <c r="AH84" s="1025">
        <v>376791</v>
      </c>
      <c r="AI84" s="1024">
        <v>1</v>
      </c>
      <c r="AJ84" s="1025">
        <v>2657</v>
      </c>
      <c r="AK84" s="1028">
        <v>379448</v>
      </c>
      <c r="AL84" s="1030">
        <v>671358</v>
      </c>
      <c r="AM84" s="1025">
        <v>-1678</v>
      </c>
      <c r="AN84" s="1030">
        <v>669680</v>
      </c>
      <c r="AO84" s="1025">
        <v>0</v>
      </c>
      <c r="AP84" s="1030">
        <v>669680</v>
      </c>
      <c r="AQ84" s="1025">
        <v>405348</v>
      </c>
      <c r="AR84" s="1025">
        <v>264332</v>
      </c>
      <c r="AS84" s="1030">
        <v>66083</v>
      </c>
      <c r="AT84" s="787">
        <v>1162398</v>
      </c>
      <c r="AU84" s="787">
        <v>112667</v>
      </c>
      <c r="AV84" s="516"/>
      <c r="AW84" s="165">
        <v>733</v>
      </c>
      <c r="AX84" s="165">
        <v>1678</v>
      </c>
      <c r="AY84" s="165">
        <v>945</v>
      </c>
      <c r="AZ84" s="30"/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05"/>
      <c r="Y85" s="12"/>
      <c r="Z85" s="12"/>
      <c r="AB85" s="12"/>
      <c r="AC85" s="12"/>
      <c r="AD85" s="12"/>
      <c r="AE85" s="12"/>
      <c r="AF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05"/>
      <c r="Y86" s="12"/>
      <c r="Z86" s="12"/>
      <c r="AB86" s="12"/>
      <c r="AC86" s="12"/>
      <c r="AD86" s="12"/>
      <c r="AE86" s="12"/>
      <c r="AF86" s="12"/>
    </row>
    <row r="87" spans="1:52" ht="16.149999999999999" customHeight="1" x14ac:dyDescent="0.2">
      <c r="C87" s="8"/>
      <c r="D87" s="12"/>
      <c r="E87" s="12"/>
      <c r="F87" s="8"/>
      <c r="G87" s="12"/>
      <c r="H87" s="517"/>
      <c r="I87" s="517"/>
      <c r="J87" s="517"/>
      <c r="K87" s="517"/>
      <c r="L87" s="519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05"/>
      <c r="Y87" s="12"/>
      <c r="Z87" s="12"/>
      <c r="AA87" s="105"/>
      <c r="AB87" s="12"/>
      <c r="AC87" s="12"/>
      <c r="AD87" s="12"/>
      <c r="AE87" s="12"/>
      <c r="AF87" s="12"/>
      <c r="AQ87" s="105"/>
      <c r="AS87" s="105"/>
    </row>
    <row r="88" spans="1:52" ht="16.149999999999999" customHeight="1" x14ac:dyDescent="0.2">
      <c r="H88" s="9"/>
      <c r="I88" s="9"/>
      <c r="J88" s="1441"/>
      <c r="K88" s="653"/>
      <c r="L88" s="653"/>
      <c r="M88" s="1441"/>
      <c r="N88" s="653"/>
      <c r="O88" s="653"/>
      <c r="P88" s="1441"/>
      <c r="Q88" s="653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653"/>
      <c r="L89" s="653"/>
      <c r="M89" s="1441"/>
      <c r="N89" s="653"/>
      <c r="O89" s="653"/>
      <c r="P89" s="1441"/>
      <c r="Q89" s="653"/>
      <c r="AC89" s="5">
        <v>4</v>
      </c>
      <c r="AS89" s="5">
        <v>4</v>
      </c>
    </row>
    <row r="90" spans="1:52" x14ac:dyDescent="0.2">
      <c r="C90" s="664"/>
      <c r="D90" s="665"/>
      <c r="E90" s="664"/>
      <c r="F90" s="665"/>
      <c r="G90" s="11"/>
      <c r="H90" s="666"/>
      <c r="I90" s="666"/>
      <c r="J90" s="666"/>
      <c r="K90" s="664"/>
      <c r="L90" s="665"/>
      <c r="M90" s="666"/>
      <c r="N90" s="9"/>
      <c r="O90" s="9"/>
      <c r="P90" s="9"/>
      <c r="Q90" s="9"/>
    </row>
    <row r="91" spans="1:52" x14ac:dyDescent="0.2">
      <c r="B91" s="858" t="s">
        <v>913</v>
      </c>
      <c r="C91"/>
      <c r="D91"/>
      <c r="E91"/>
      <c r="F91"/>
      <c r="G91"/>
      <c r="H91"/>
      <c r="I91"/>
      <c r="J91"/>
      <c r="K91"/>
      <c r="L91"/>
      <c r="M91"/>
    </row>
    <row r="92" spans="1:52" x14ac:dyDescent="0.2">
      <c r="B92" s="857" t="s">
        <v>1462</v>
      </c>
      <c r="C92"/>
      <c r="D92"/>
      <c r="E92"/>
      <c r="F92"/>
      <c r="G92"/>
      <c r="H92"/>
      <c r="I92"/>
      <c r="J92"/>
      <c r="K92"/>
      <c r="L92"/>
      <c r="M92"/>
    </row>
    <row r="93" spans="1:52" x14ac:dyDescent="0.2">
      <c r="B93" s="857" t="s">
        <v>1164</v>
      </c>
      <c r="C93"/>
      <c r="D93"/>
      <c r="E93"/>
      <c r="F93"/>
      <c r="G93"/>
      <c r="H93"/>
      <c r="I93"/>
      <c r="J93"/>
      <c r="K93"/>
      <c r="L93"/>
      <c r="M93"/>
    </row>
    <row r="94" spans="1:52" x14ac:dyDescent="0.2">
      <c r="B94" s="861" t="s">
        <v>1474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Y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8.140625" style="7" customWidth="1"/>
    <col min="3" max="3" width="13.140625" style="7" customWidth="1"/>
    <col min="4" max="4" width="13.85546875" style="7" customWidth="1"/>
    <col min="5" max="5" width="12.42578125" style="7" customWidth="1"/>
    <col min="6" max="6" width="11.28515625" style="7" customWidth="1"/>
    <col min="7" max="7" width="9.28515625" style="7" customWidth="1"/>
    <col min="8" max="8" width="12.42578125" style="7" customWidth="1"/>
    <col min="9" max="9" width="11.28515625" style="7" customWidth="1"/>
    <col min="10" max="10" width="9.28515625" style="7" customWidth="1"/>
    <col min="11" max="11" width="12.42578125" style="7" customWidth="1"/>
    <col min="12" max="12" width="11.28515625" style="7" customWidth="1"/>
    <col min="13" max="13" width="9.28515625" style="7" customWidth="1"/>
    <col min="14" max="14" width="12.42578125" style="7" customWidth="1"/>
    <col min="15" max="15" width="11.28515625" style="7" customWidth="1"/>
    <col min="16" max="16" width="9.28515625" style="7" customWidth="1"/>
    <col min="17" max="17" width="12.42578125" style="7" customWidth="1"/>
    <col min="18" max="18" width="13.42578125" style="7" customWidth="1"/>
    <col min="19" max="21" width="13.85546875" style="7" customWidth="1"/>
    <col min="22" max="22" width="13.28515625" style="7" customWidth="1"/>
    <col min="23" max="23" width="11.140625" style="7" customWidth="1"/>
    <col min="24" max="24" width="13.28515625" style="7" customWidth="1"/>
    <col min="25" max="25" width="14.7109375" style="7" customWidth="1"/>
    <col min="26" max="26" width="17.5703125" style="7" customWidth="1"/>
    <col min="27" max="29" width="11.5703125" style="7" customWidth="1"/>
    <col min="30" max="30" width="16.42578125" style="7" customWidth="1"/>
    <col min="31" max="32" width="15.85546875" style="7" customWidth="1"/>
    <col min="33" max="37" width="15.7109375" style="7" customWidth="1"/>
    <col min="38" max="38" width="15.140625" style="7" customWidth="1"/>
    <col min="39" max="39" width="10.85546875" style="7" customWidth="1"/>
    <col min="40" max="40" width="15" style="7" customWidth="1"/>
    <col min="41" max="41" width="14.85546875" style="7" customWidth="1"/>
    <col min="42" max="42" width="15.7109375" style="7" customWidth="1"/>
    <col min="43" max="44" width="13.85546875" style="7" customWidth="1"/>
    <col min="45" max="45" width="15.7109375" style="7" customWidth="1"/>
    <col min="46" max="47" width="14.42578125" style="7" bestFit="1" customWidth="1"/>
    <col min="48" max="48" width="3" style="7" bestFit="1" customWidth="1"/>
    <col min="49" max="50" width="12.28515625" style="7" customWidth="1"/>
    <col min="51" max="51" width="10" style="7" bestFit="1" customWidth="1"/>
    <col min="52" max="16384" width="8.85546875" style="7"/>
  </cols>
  <sheetData>
    <row r="1" spans="1:51" ht="19.899999999999999" customHeight="1" x14ac:dyDescent="0.2">
      <c r="A1" s="1505" t="s">
        <v>914</v>
      </c>
      <c r="B1" s="1506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1" ht="30" customHeight="1" x14ac:dyDescent="0.2">
      <c r="A2" s="1507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298" t="s">
        <v>228</v>
      </c>
      <c r="T2" s="1298"/>
      <c r="U2" s="1298"/>
      <c r="V2" s="1412" t="s">
        <v>433</v>
      </c>
      <c r="W2" s="1412" t="s">
        <v>1017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497" t="s">
        <v>228</v>
      </c>
      <c r="AH2" s="1497"/>
      <c r="AI2" s="1497"/>
      <c r="AJ2" s="1497"/>
      <c r="AK2" s="1497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1" ht="95.25" customHeight="1" x14ac:dyDescent="0.2">
      <c r="A3" s="1507"/>
      <c r="B3" s="1508"/>
      <c r="C3" s="1412"/>
      <c r="D3" s="855" t="s">
        <v>533</v>
      </c>
      <c r="E3" s="855" t="s">
        <v>320</v>
      </c>
      <c r="F3" s="886" t="s">
        <v>1197</v>
      </c>
      <c r="G3" s="855" t="s">
        <v>392</v>
      </c>
      <c r="H3" s="855" t="s">
        <v>320</v>
      </c>
      <c r="I3" s="886" t="s">
        <v>1198</v>
      </c>
      <c r="J3" s="855" t="s">
        <v>392</v>
      </c>
      <c r="K3" s="855" t="s">
        <v>320</v>
      </c>
      <c r="L3" s="886" t="s">
        <v>1199</v>
      </c>
      <c r="M3" s="855" t="s">
        <v>407</v>
      </c>
      <c r="N3" s="855" t="s">
        <v>320</v>
      </c>
      <c r="O3" s="886" t="s">
        <v>1199</v>
      </c>
      <c r="P3" s="855" t="s">
        <v>407</v>
      </c>
      <c r="Q3" s="855" t="s">
        <v>320</v>
      </c>
      <c r="R3" s="1412"/>
      <c r="S3" s="1212" t="s">
        <v>1186</v>
      </c>
      <c r="T3" s="1212" t="s">
        <v>1187</v>
      </c>
      <c r="U3" s="1212" t="s">
        <v>230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1214" t="s">
        <v>1202</v>
      </c>
      <c r="AH3" s="1214" t="s">
        <v>1203</v>
      </c>
      <c r="AI3" s="1214" t="s">
        <v>1204</v>
      </c>
      <c r="AJ3" s="1214" t="s">
        <v>1206</v>
      </c>
      <c r="AK3" s="1214" t="s">
        <v>230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671" t="s">
        <v>440</v>
      </c>
      <c r="AX3" s="671" t="s">
        <v>441</v>
      </c>
      <c r="AY3" s="671" t="s">
        <v>375</v>
      </c>
    </row>
    <row r="4" spans="1:51" ht="14.25" customHeight="1" x14ac:dyDescent="0.2">
      <c r="A4" s="551"/>
      <c r="B4" s="552"/>
      <c r="C4" s="479">
        <v>1</v>
      </c>
      <c r="D4" s="479">
        <v>2</v>
      </c>
      <c r="E4" s="479">
        <v>3</v>
      </c>
      <c r="F4" s="479">
        <v>4</v>
      </c>
      <c r="G4" s="479">
        <v>5</v>
      </c>
      <c r="H4" s="479">
        <v>6</v>
      </c>
      <c r="I4" s="479">
        <v>7</v>
      </c>
      <c r="J4" s="479">
        <v>8</v>
      </c>
      <c r="K4" s="479">
        <v>9</v>
      </c>
      <c r="L4" s="479">
        <v>10</v>
      </c>
      <c r="M4" s="479">
        <v>11</v>
      </c>
      <c r="N4" s="479">
        <v>12</v>
      </c>
      <c r="O4" s="479">
        <v>13</v>
      </c>
      <c r="P4" s="479">
        <v>14</v>
      </c>
      <c r="Q4" s="479">
        <v>15</v>
      </c>
      <c r="R4" s="479">
        <v>16</v>
      </c>
      <c r="S4" s="479">
        <v>17</v>
      </c>
      <c r="T4" s="479">
        <v>18</v>
      </c>
      <c r="U4" s="479">
        <v>19</v>
      </c>
      <c r="V4" s="479">
        <v>20</v>
      </c>
      <c r="W4" s="479">
        <v>21</v>
      </c>
      <c r="X4" s="479">
        <v>22</v>
      </c>
      <c r="Y4" s="479">
        <v>23</v>
      </c>
      <c r="Z4" s="479">
        <v>24</v>
      </c>
      <c r="AA4" s="479">
        <v>25</v>
      </c>
      <c r="AB4" s="479">
        <v>26</v>
      </c>
      <c r="AC4" s="479">
        <v>27</v>
      </c>
      <c r="AD4" s="479">
        <v>28</v>
      </c>
      <c r="AE4" s="479">
        <v>29</v>
      </c>
      <c r="AF4" s="479">
        <v>30</v>
      </c>
      <c r="AG4" s="479">
        <v>31</v>
      </c>
      <c r="AH4" s="479">
        <v>32</v>
      </c>
      <c r="AI4" s="479">
        <v>33</v>
      </c>
      <c r="AJ4" s="479">
        <v>34</v>
      </c>
      <c r="AK4" s="479">
        <v>35</v>
      </c>
      <c r="AL4" s="479">
        <v>36</v>
      </c>
      <c r="AM4" s="479">
        <v>37</v>
      </c>
      <c r="AN4" s="479">
        <v>38</v>
      </c>
      <c r="AO4" s="479">
        <v>39</v>
      </c>
      <c r="AP4" s="479">
        <v>40</v>
      </c>
      <c r="AQ4" s="479">
        <v>41</v>
      </c>
      <c r="AR4" s="479">
        <v>42</v>
      </c>
      <c r="AS4" s="479">
        <v>43</v>
      </c>
      <c r="AT4" s="132">
        <v>44</v>
      </c>
      <c r="AU4" s="132">
        <v>45</v>
      </c>
      <c r="AV4" s="132">
        <v>46</v>
      </c>
      <c r="AW4" s="132">
        <v>47</v>
      </c>
      <c r="AX4" s="132">
        <v>48</v>
      </c>
      <c r="AY4" s="132">
        <v>49</v>
      </c>
    </row>
    <row r="5" spans="1:51" s="495" customFormat="1" ht="31.5" customHeight="1" x14ac:dyDescent="0.2">
      <c r="A5" s="739"/>
      <c r="B5" s="739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1" s="495" customFormat="1" ht="31.5" hidden="1" customHeight="1" x14ac:dyDescent="0.2">
      <c r="A6" s="739"/>
      <c r="B6" s="739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1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>
        <v>0</v>
      </c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</row>
    <row r="8" spans="1:51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>
        <v>0</v>
      </c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</row>
    <row r="9" spans="1:51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>
        <v>0</v>
      </c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</row>
    <row r="10" spans="1:51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>
        <v>0</v>
      </c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</row>
    <row r="11" spans="1:51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>
        <v>0</v>
      </c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</row>
    <row r="12" spans="1:51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>
        <v>0</v>
      </c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</row>
    <row r="13" spans="1:51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>
        <v>0</v>
      </c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</row>
    <row r="14" spans="1:51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>
        <v>0</v>
      </c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</row>
    <row r="15" spans="1:51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>
        <v>0</v>
      </c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</row>
    <row r="16" spans="1:51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>
        <v>0</v>
      </c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</row>
    <row r="17" spans="1:51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>
        <v>0</v>
      </c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</row>
    <row r="18" spans="1:51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>
        <v>0</v>
      </c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</row>
    <row r="19" spans="1:51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>
        <v>0</v>
      </c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</row>
    <row r="20" spans="1:51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>
        <v>0</v>
      </c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</row>
    <row r="21" spans="1:51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>
        <v>0</v>
      </c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</row>
    <row r="22" spans="1:51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>
        <v>0</v>
      </c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</row>
    <row r="23" spans="1:51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>
        <v>0</v>
      </c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</row>
    <row r="24" spans="1:51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>
        <v>0</v>
      </c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</row>
    <row r="25" spans="1:51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>
        <v>0</v>
      </c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</row>
    <row r="26" spans="1:51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>
        <v>0</v>
      </c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</row>
    <row r="27" spans="1:51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>
        <v>0</v>
      </c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</row>
    <row r="28" spans="1:51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>
        <v>0</v>
      </c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</row>
    <row r="29" spans="1:51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>
        <v>0</v>
      </c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</row>
    <row r="30" spans="1:51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>
        <v>0</v>
      </c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</row>
    <row r="31" spans="1:51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>
        <v>0</v>
      </c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</row>
    <row r="32" spans="1:51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4246442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5485672</v>
      </c>
      <c r="AM32" s="128"/>
      <c r="AN32" s="125"/>
      <c r="AO32" s="118">
        <v>0</v>
      </c>
      <c r="AP32" s="125"/>
      <c r="AQ32" s="126"/>
      <c r="AR32" s="126"/>
      <c r="AS32" s="125">
        <v>445504</v>
      </c>
      <c r="AT32" s="779">
        <v>10261467</v>
      </c>
      <c r="AU32" s="780">
        <v>852943</v>
      </c>
      <c r="AV32" s="344"/>
      <c r="AW32" s="119">
        <v>12385</v>
      </c>
      <c r="AX32" s="119">
        <v>13714</v>
      </c>
      <c r="AY32" s="119">
        <v>1329</v>
      </c>
    </row>
    <row r="33" spans="1:51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>
        <v>0</v>
      </c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</row>
    <row r="34" spans="1:51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>
        <v>0</v>
      </c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</row>
    <row r="35" spans="1:51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>
        <v>0</v>
      </c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</row>
    <row r="36" spans="1:51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>
        <v>0</v>
      </c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</row>
    <row r="37" spans="1:51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>
        <v>0</v>
      </c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</row>
    <row r="38" spans="1:51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>
        <v>0</v>
      </c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</row>
    <row r="39" spans="1:51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>
        <v>0</v>
      </c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</row>
    <row r="40" spans="1:51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>
        <v>0</v>
      </c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</row>
    <row r="41" spans="1:51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>
        <v>0</v>
      </c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</row>
    <row r="42" spans="1:51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218661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533628</v>
      </c>
      <c r="AM42" s="128"/>
      <c r="AN42" s="125"/>
      <c r="AO42" s="118">
        <v>0</v>
      </c>
      <c r="AP42" s="125"/>
      <c r="AQ42" s="126"/>
      <c r="AR42" s="126"/>
      <c r="AS42" s="125">
        <v>51974</v>
      </c>
      <c r="AT42" s="779">
        <v>860123</v>
      </c>
      <c r="AU42" s="780">
        <v>83081</v>
      </c>
      <c r="AV42" s="344"/>
      <c r="AW42" s="119">
        <v>859</v>
      </c>
      <c r="AX42" s="119">
        <v>1334</v>
      </c>
      <c r="AY42" s="119">
        <v>475</v>
      </c>
    </row>
    <row r="43" spans="1:51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>
        <v>0</v>
      </c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</row>
    <row r="44" spans="1:51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23366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71259</v>
      </c>
      <c r="AM44" s="147"/>
      <c r="AN44" s="144"/>
      <c r="AO44" s="136">
        <v>0</v>
      </c>
      <c r="AP44" s="144"/>
      <c r="AQ44" s="145"/>
      <c r="AR44" s="145"/>
      <c r="AS44" s="144">
        <v>3940</v>
      </c>
      <c r="AT44" s="781">
        <v>88319</v>
      </c>
      <c r="AU44" s="782">
        <v>4921</v>
      </c>
      <c r="AV44" s="344"/>
      <c r="AW44" s="137">
        <v>244</v>
      </c>
      <c r="AX44" s="137">
        <v>178</v>
      </c>
      <c r="AY44" s="137">
        <v>-66</v>
      </c>
    </row>
    <row r="45" spans="1:51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>
        <v>0</v>
      </c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</row>
    <row r="46" spans="1:51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>
        <v>0</v>
      </c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</row>
    <row r="47" spans="1:51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>
        <v>0</v>
      </c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</row>
    <row r="48" spans="1:51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>
        <v>0</v>
      </c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</row>
    <row r="49" spans="1:51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>
        <v>0</v>
      </c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</row>
    <row r="50" spans="1:51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5443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18955</v>
      </c>
      <c r="AM50" s="147"/>
      <c r="AN50" s="144"/>
      <c r="AO50" s="136">
        <v>0</v>
      </c>
      <c r="AP50" s="144"/>
      <c r="AQ50" s="145"/>
      <c r="AR50" s="145"/>
      <c r="AS50" s="144">
        <v>1841</v>
      </c>
      <c r="AT50" s="781">
        <v>45410</v>
      </c>
      <c r="AU50" s="782">
        <v>4599</v>
      </c>
      <c r="AV50" s="344"/>
      <c r="AW50" s="137">
        <v>10</v>
      </c>
      <c r="AX50" s="137">
        <v>47</v>
      </c>
      <c r="AY50" s="137">
        <v>37</v>
      </c>
    </row>
    <row r="51" spans="1:51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14336</v>
      </c>
      <c r="AM51" s="162"/>
      <c r="AN51" s="159"/>
      <c r="AO51" s="150">
        <v>0</v>
      </c>
      <c r="AP51" s="159"/>
      <c r="AQ51" s="160"/>
      <c r="AR51" s="160"/>
      <c r="AS51" s="159">
        <v>2388</v>
      </c>
      <c r="AT51" s="783">
        <v>17243</v>
      </c>
      <c r="AU51" s="784">
        <v>2878</v>
      </c>
      <c r="AV51" s="344"/>
      <c r="AW51" s="151">
        <v>0</v>
      </c>
      <c r="AX51" s="151">
        <v>36</v>
      </c>
      <c r="AY51" s="151">
        <v>36</v>
      </c>
    </row>
    <row r="52" spans="1:51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>
        <v>0</v>
      </c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</row>
    <row r="53" spans="1:51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>
        <v>0</v>
      </c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</row>
    <row r="54" spans="1:51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>
        <v>0</v>
      </c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</row>
    <row r="55" spans="1:51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>
        <v>0</v>
      </c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</row>
    <row r="56" spans="1:51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>
        <v>0</v>
      </c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</row>
    <row r="57" spans="1:51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>
        <v>0</v>
      </c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</row>
    <row r="58" spans="1:51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>
        <v>0</v>
      </c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</row>
    <row r="59" spans="1:51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>
        <v>0</v>
      </c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</row>
    <row r="60" spans="1:51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>
        <v>0</v>
      </c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</row>
    <row r="61" spans="1:51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>
        <v>0</v>
      </c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</row>
    <row r="62" spans="1:51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>
        <v>0</v>
      </c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</row>
    <row r="63" spans="1:51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>
        <v>0</v>
      </c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</row>
    <row r="64" spans="1:51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>
        <v>0</v>
      </c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</row>
    <row r="65" spans="1:51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>
        <v>0</v>
      </c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</row>
    <row r="66" spans="1:51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>
        <v>0</v>
      </c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</row>
    <row r="67" spans="1:51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>
        <v>0</v>
      </c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</row>
    <row r="68" spans="1:51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>
        <v>0</v>
      </c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</row>
    <row r="69" spans="1:51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>
        <v>0</v>
      </c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</row>
    <row r="70" spans="1:51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>
        <v>0</v>
      </c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</row>
    <row r="71" spans="1:51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>
        <v>0</v>
      </c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</row>
    <row r="72" spans="1:51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>
        <v>0</v>
      </c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</row>
    <row r="73" spans="1:51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>
        <v>0</v>
      </c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</row>
    <row r="74" spans="1:51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>
        <v>0</v>
      </c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</row>
    <row r="75" spans="1:51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>
        <v>0</v>
      </c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</row>
    <row r="76" spans="1:51" s="30" customFormat="1" ht="15" customHeight="1" thickBot="1" x14ac:dyDescent="0.25">
      <c r="A76" s="1493" t="s">
        <v>397</v>
      </c>
      <c r="B76" s="1494"/>
      <c r="C76" s="1021">
        <v>974</v>
      </c>
      <c r="D76" s="1022">
        <v>4255.7718143692655</v>
      </c>
      <c r="E76" s="1023">
        <v>3727048.0519880531</v>
      </c>
      <c r="F76" s="1024">
        <v>871</v>
      </c>
      <c r="G76" s="1025">
        <v>569.60967937788098</v>
      </c>
      <c r="H76" s="1026">
        <v>418261.10958492337</v>
      </c>
      <c r="I76" s="1024">
        <v>0</v>
      </c>
      <c r="J76" s="1025">
        <v>158.62710748085348</v>
      </c>
      <c r="K76" s="1026">
        <v>0</v>
      </c>
      <c r="L76" s="1024">
        <v>101</v>
      </c>
      <c r="M76" s="1025">
        <v>3935.2023104669443</v>
      </c>
      <c r="N76" s="1026">
        <v>330310.74231840111</v>
      </c>
      <c r="O76" s="1024">
        <v>14</v>
      </c>
      <c r="P76" s="1025">
        <v>1525.492171506211</v>
      </c>
      <c r="Q76" s="1026">
        <v>18292.672722994026</v>
      </c>
      <c r="R76" s="1027">
        <v>4493912</v>
      </c>
      <c r="S76" s="1025">
        <v>705204</v>
      </c>
      <c r="T76" s="1025">
        <v>-22153</v>
      </c>
      <c r="U76" s="1028">
        <v>683051</v>
      </c>
      <c r="V76" s="1027">
        <v>5176963</v>
      </c>
      <c r="W76" s="1026">
        <v>-12942</v>
      </c>
      <c r="X76" s="1027">
        <v>5164021</v>
      </c>
      <c r="Y76" s="1026">
        <v>0</v>
      </c>
      <c r="Z76" s="1027">
        <v>5164021</v>
      </c>
      <c r="AA76" s="1025">
        <v>3392921</v>
      </c>
      <c r="AB76" s="1025">
        <v>1771100</v>
      </c>
      <c r="AC76" s="1027">
        <v>442775</v>
      </c>
      <c r="AD76" s="1029">
        <v>5164021</v>
      </c>
      <c r="AE76" s="1025">
        <v>5423</v>
      </c>
      <c r="AF76" s="1030">
        <v>5290490</v>
      </c>
      <c r="AG76" s="1024">
        <v>157</v>
      </c>
      <c r="AH76" s="1025">
        <v>860201</v>
      </c>
      <c r="AI76" s="1024">
        <v>-10</v>
      </c>
      <c r="AJ76" s="1025">
        <v>-26841</v>
      </c>
      <c r="AK76" s="1028">
        <v>833360</v>
      </c>
      <c r="AL76" s="1030">
        <v>6123850</v>
      </c>
      <c r="AM76" s="1025">
        <v>-15309</v>
      </c>
      <c r="AN76" s="1030">
        <v>6108541</v>
      </c>
      <c r="AO76" s="1025">
        <v>0</v>
      </c>
      <c r="AP76" s="1030">
        <v>6108541</v>
      </c>
      <c r="AQ76" s="1025">
        <v>4085958</v>
      </c>
      <c r="AR76" s="1025">
        <v>2022583</v>
      </c>
      <c r="AS76" s="1030">
        <v>505647</v>
      </c>
      <c r="AT76" s="787">
        <v>11272562</v>
      </c>
      <c r="AU76" s="787">
        <v>948422</v>
      </c>
      <c r="AV76" s="516"/>
      <c r="AW76" s="165">
        <v>13498</v>
      </c>
      <c r="AX76" s="165">
        <v>15309</v>
      </c>
      <c r="AY76" s="165">
        <v>1811</v>
      </c>
    </row>
    <row r="77" spans="1:51" s="30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113076</v>
      </c>
      <c r="S77" s="975"/>
      <c r="T77" s="975"/>
      <c r="U77" s="975"/>
      <c r="V77" s="976">
        <v>113076</v>
      </c>
      <c r="W77" s="1018">
        <v>-283</v>
      </c>
      <c r="X77" s="976">
        <v>112793</v>
      </c>
      <c r="Y77" s="975"/>
      <c r="Z77" s="976">
        <v>112793</v>
      </c>
      <c r="AA77" s="975">
        <v>64518</v>
      </c>
      <c r="AB77" s="975">
        <v>48275</v>
      </c>
      <c r="AC77" s="976">
        <v>12069</v>
      </c>
      <c r="AD77" s="1020">
        <v>112793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112793</v>
      </c>
      <c r="AU77" s="1179">
        <v>12069</v>
      </c>
      <c r="AV77" s="1033"/>
      <c r="AW77" s="1034"/>
      <c r="AX77" s="1034">
        <v>0</v>
      </c>
      <c r="AY77" s="1034">
        <v>0</v>
      </c>
    </row>
    <row r="78" spans="1:51" s="30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</row>
    <row r="79" spans="1:51" s="30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</row>
    <row r="80" spans="1:51" s="30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</row>
    <row r="81" spans="1:51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</row>
    <row r="82" spans="1:51" s="30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51145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</row>
    <row r="83" spans="1:51" s="30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</row>
    <row r="84" spans="1:51" s="30" customFormat="1" ht="15" customHeight="1" thickBot="1" x14ac:dyDescent="0.25">
      <c r="A84" s="1493" t="s">
        <v>398</v>
      </c>
      <c r="B84" s="1494"/>
      <c r="C84" s="1021">
        <v>974</v>
      </c>
      <c r="D84" s="1022">
        <v>4255.7718143692655</v>
      </c>
      <c r="E84" s="1023">
        <v>3727048.0519880531</v>
      </c>
      <c r="F84" s="1024">
        <v>871</v>
      </c>
      <c r="G84" s="1025">
        <v>569.60967937788098</v>
      </c>
      <c r="H84" s="1026">
        <v>418261.10958492337</v>
      </c>
      <c r="I84" s="1024">
        <v>0</v>
      </c>
      <c r="J84" s="1025">
        <v>158.62710748085348</v>
      </c>
      <c r="K84" s="1026">
        <v>0</v>
      </c>
      <c r="L84" s="1024">
        <v>101</v>
      </c>
      <c r="M84" s="1025">
        <v>3935.2023104669443</v>
      </c>
      <c r="N84" s="1026">
        <v>330310.74231840111</v>
      </c>
      <c r="O84" s="1024">
        <v>14</v>
      </c>
      <c r="P84" s="1025">
        <v>1525.492171506211</v>
      </c>
      <c r="Q84" s="1026">
        <v>18292.672722994026</v>
      </c>
      <c r="R84" s="1027">
        <v>4606988</v>
      </c>
      <c r="S84" s="1025">
        <v>705204</v>
      </c>
      <c r="T84" s="1025">
        <v>-22153</v>
      </c>
      <c r="U84" s="1028">
        <v>683051</v>
      </c>
      <c r="V84" s="1027">
        <v>5290039</v>
      </c>
      <c r="W84" s="1026">
        <v>-13225</v>
      </c>
      <c r="X84" s="1027">
        <v>5276814</v>
      </c>
      <c r="Y84" s="1026">
        <v>0</v>
      </c>
      <c r="Z84" s="1027">
        <v>5276814</v>
      </c>
      <c r="AA84" s="1025">
        <v>3457439</v>
      </c>
      <c r="AB84" s="1025">
        <v>1819375</v>
      </c>
      <c r="AC84" s="1027">
        <v>454844</v>
      </c>
      <c r="AD84" s="1029">
        <v>5327959</v>
      </c>
      <c r="AE84" s="1025">
        <v>5423</v>
      </c>
      <c r="AF84" s="1030">
        <v>5290490</v>
      </c>
      <c r="AG84" s="1024">
        <v>157</v>
      </c>
      <c r="AH84" s="1025">
        <v>860201</v>
      </c>
      <c r="AI84" s="1024">
        <v>-10</v>
      </c>
      <c r="AJ84" s="1025">
        <v>-26841</v>
      </c>
      <c r="AK84" s="1028">
        <v>833360</v>
      </c>
      <c r="AL84" s="1030">
        <v>6123850</v>
      </c>
      <c r="AM84" s="1025">
        <v>-15309</v>
      </c>
      <c r="AN84" s="1030">
        <v>6108541</v>
      </c>
      <c r="AO84" s="1025">
        <v>0</v>
      </c>
      <c r="AP84" s="1030">
        <v>6108541</v>
      </c>
      <c r="AQ84" s="1025">
        <v>4085958</v>
      </c>
      <c r="AR84" s="1025">
        <v>2022583</v>
      </c>
      <c r="AS84" s="1030">
        <v>505647</v>
      </c>
      <c r="AT84" s="787">
        <v>11385355</v>
      </c>
      <c r="AU84" s="787">
        <v>960491</v>
      </c>
      <c r="AV84" s="516"/>
      <c r="AW84" s="165">
        <v>13498</v>
      </c>
      <c r="AX84" s="165">
        <v>15309</v>
      </c>
      <c r="AY84" s="165">
        <v>1811</v>
      </c>
    </row>
    <row r="85" spans="1:51" ht="16.149999999999999" customHeight="1" thickTop="1" x14ac:dyDescent="0.2"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516"/>
      <c r="Y85" s="344"/>
      <c r="Z85" s="344"/>
      <c r="AB85" s="344"/>
      <c r="AC85" s="344"/>
      <c r="AD85" s="344"/>
      <c r="AE85" s="344"/>
      <c r="AF85" s="344"/>
    </row>
    <row r="86" spans="1:51" ht="16.149999999999999" customHeight="1" x14ac:dyDescent="0.2"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516"/>
      <c r="Y86" s="344"/>
      <c r="Z86" s="344"/>
      <c r="AB86" s="344"/>
      <c r="AC86" s="344"/>
      <c r="AD86" s="344"/>
      <c r="AE86" s="344"/>
      <c r="AF86" s="344"/>
    </row>
    <row r="87" spans="1:51" ht="16.149999999999999" customHeight="1" x14ac:dyDescent="0.2">
      <c r="C87" s="494"/>
      <c r="D87" s="344"/>
      <c r="E87" s="344"/>
      <c r="F87" s="293"/>
      <c r="G87" s="344"/>
      <c r="H87" s="674"/>
      <c r="I87" s="674"/>
      <c r="J87" s="674"/>
      <c r="K87" s="674"/>
      <c r="L87" s="848"/>
      <c r="M87" s="674"/>
      <c r="N87" s="674"/>
      <c r="O87" s="849"/>
      <c r="P87" s="674"/>
      <c r="Q87" s="674"/>
      <c r="R87" s="344"/>
      <c r="S87" s="344"/>
      <c r="T87" s="344"/>
      <c r="U87" s="344"/>
      <c r="V87" s="344"/>
      <c r="W87" s="344"/>
      <c r="X87" s="516"/>
      <c r="Y87" s="344"/>
      <c r="Z87" s="344"/>
      <c r="AA87" s="516"/>
      <c r="AB87" s="344"/>
      <c r="AC87" s="344"/>
      <c r="AD87" s="344"/>
      <c r="AE87" s="344"/>
      <c r="AF87" s="344"/>
      <c r="AQ87" s="516"/>
      <c r="AS87" s="516"/>
    </row>
    <row r="88" spans="1:51" ht="16.149999999999999" customHeight="1" x14ac:dyDescent="0.2">
      <c r="H88" s="10"/>
      <c r="I88" s="10"/>
      <c r="J88" s="1441"/>
      <c r="K88" s="673"/>
      <c r="L88" s="673"/>
      <c r="M88" s="1441"/>
      <c r="N88" s="673"/>
      <c r="O88" s="673"/>
      <c r="P88" s="1441"/>
      <c r="Q88" s="673"/>
    </row>
    <row r="89" spans="1:51" x14ac:dyDescent="0.2">
      <c r="A89" s="7" t="s">
        <v>1171</v>
      </c>
      <c r="B89" s="7" t="s">
        <v>1171</v>
      </c>
      <c r="C89" s="7" t="s">
        <v>1171</v>
      </c>
      <c r="D89" s="7" t="s">
        <v>1171</v>
      </c>
      <c r="E89" s="7" t="s">
        <v>1171</v>
      </c>
      <c r="H89" s="10"/>
      <c r="I89" s="10"/>
      <c r="J89" s="1441"/>
      <c r="K89" s="673"/>
      <c r="L89" s="673"/>
      <c r="M89" s="1441"/>
      <c r="N89" s="673"/>
      <c r="O89" s="673"/>
      <c r="P89" s="1441"/>
      <c r="Q89" s="673"/>
      <c r="AC89" s="7">
        <v>4</v>
      </c>
      <c r="AS89" s="7">
        <v>4</v>
      </c>
    </row>
    <row r="90" spans="1:51" x14ac:dyDescent="0.2">
      <c r="C90"/>
      <c r="D90"/>
      <c r="E90"/>
      <c r="F90"/>
      <c r="G9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858" t="s">
        <v>915</v>
      </c>
      <c r="C91"/>
      <c r="D91"/>
      <c r="E91"/>
      <c r="F91"/>
      <c r="G91"/>
    </row>
    <row r="92" spans="1:51" x14ac:dyDescent="0.2">
      <c r="B92" s="859" t="s">
        <v>1462</v>
      </c>
      <c r="C92"/>
      <c r="D92"/>
      <c r="E92"/>
      <c r="F92"/>
      <c r="G92"/>
    </row>
    <row r="93" spans="1:51" x14ac:dyDescent="0.2">
      <c r="B93" s="859" t="s">
        <v>1165</v>
      </c>
      <c r="C93"/>
      <c r="D93"/>
      <c r="E93"/>
      <c r="F93"/>
      <c r="G93"/>
    </row>
    <row r="94" spans="1:51" x14ac:dyDescent="0.2">
      <c r="B94" s="860" t="s">
        <v>1473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Y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8.140625" style="7" customWidth="1"/>
    <col min="3" max="3" width="13.140625" style="7" customWidth="1"/>
    <col min="4" max="4" width="13.85546875" style="7" customWidth="1"/>
    <col min="5" max="5" width="12.42578125" style="7" customWidth="1"/>
    <col min="6" max="6" width="11.28515625" style="7" customWidth="1"/>
    <col min="7" max="7" width="9.28515625" style="7" customWidth="1"/>
    <col min="8" max="8" width="12.42578125" style="7" customWidth="1"/>
    <col min="9" max="9" width="11.28515625" style="7" customWidth="1"/>
    <col min="10" max="10" width="9.28515625" style="7" customWidth="1"/>
    <col min="11" max="11" width="12.42578125" style="7" customWidth="1"/>
    <col min="12" max="12" width="11.28515625" style="7" customWidth="1"/>
    <col min="13" max="13" width="9.28515625" style="7" customWidth="1"/>
    <col min="14" max="14" width="12.42578125" style="7" customWidth="1"/>
    <col min="15" max="15" width="11.28515625" style="7" customWidth="1"/>
    <col min="16" max="16" width="9.28515625" style="7" customWidth="1"/>
    <col min="17" max="17" width="12.42578125" style="7" customWidth="1"/>
    <col min="18" max="18" width="13.42578125" style="7" customWidth="1"/>
    <col min="19" max="21" width="13.85546875" style="7" customWidth="1"/>
    <col min="22" max="22" width="13.28515625" style="7" customWidth="1"/>
    <col min="23" max="23" width="11.140625" style="7" customWidth="1"/>
    <col min="24" max="24" width="13.28515625" style="7" customWidth="1"/>
    <col min="25" max="25" width="14.7109375" style="7" customWidth="1"/>
    <col min="26" max="26" width="17.5703125" style="7" customWidth="1"/>
    <col min="27" max="29" width="11.5703125" style="7" customWidth="1"/>
    <col min="30" max="30" width="16.42578125" style="7" customWidth="1"/>
    <col min="31" max="32" width="15.85546875" style="7" customWidth="1"/>
    <col min="33" max="37" width="15.7109375" style="7" customWidth="1"/>
    <col min="38" max="38" width="15.140625" style="7" customWidth="1"/>
    <col min="39" max="39" width="10.85546875" style="7" customWidth="1"/>
    <col min="40" max="40" width="15" style="7" customWidth="1"/>
    <col min="41" max="41" width="14.85546875" style="7" customWidth="1"/>
    <col min="42" max="42" width="15.7109375" style="7" customWidth="1"/>
    <col min="43" max="44" width="13.85546875" style="7" customWidth="1"/>
    <col min="45" max="45" width="15.7109375" style="7" customWidth="1"/>
    <col min="46" max="47" width="14.42578125" style="7" bestFit="1" customWidth="1"/>
    <col min="48" max="48" width="3" style="7" bestFit="1" customWidth="1"/>
    <col min="49" max="50" width="12.28515625" style="7" customWidth="1"/>
    <col min="51" max="51" width="10" style="7" bestFit="1" customWidth="1"/>
    <col min="52" max="16384" width="8.85546875" style="7"/>
  </cols>
  <sheetData>
    <row r="1" spans="1:51" ht="19.899999999999999" customHeight="1" x14ac:dyDescent="0.2">
      <c r="A1" s="1512" t="s">
        <v>1388</v>
      </c>
      <c r="B1" s="1513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1" ht="30" customHeight="1" x14ac:dyDescent="0.2">
      <c r="A2" s="1514"/>
      <c r="B2" s="1508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515" t="s">
        <v>432</v>
      </c>
      <c r="S2" s="1516" t="s">
        <v>916</v>
      </c>
      <c r="T2" s="1517"/>
      <c r="U2" s="1518"/>
      <c r="V2" s="1412" t="s">
        <v>433</v>
      </c>
      <c r="W2" s="1412" t="s">
        <v>1017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511" t="s">
        <v>917</v>
      </c>
      <c r="AH2" s="1511"/>
      <c r="AI2" s="1511"/>
      <c r="AJ2" s="1511"/>
      <c r="AK2" s="1511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1" ht="95.25" customHeight="1" x14ac:dyDescent="0.2">
      <c r="A3" s="1514"/>
      <c r="B3" s="1508"/>
      <c r="C3" s="1412"/>
      <c r="D3" s="1211" t="s">
        <v>533</v>
      </c>
      <c r="E3" s="1211" t="s">
        <v>320</v>
      </c>
      <c r="F3" s="1211" t="s">
        <v>1197</v>
      </c>
      <c r="G3" s="1211" t="s">
        <v>392</v>
      </c>
      <c r="H3" s="1211" t="s">
        <v>320</v>
      </c>
      <c r="I3" s="1211" t="s">
        <v>1198</v>
      </c>
      <c r="J3" s="1211" t="s">
        <v>392</v>
      </c>
      <c r="K3" s="1211" t="s">
        <v>320</v>
      </c>
      <c r="L3" s="1211" t="s">
        <v>1199</v>
      </c>
      <c r="M3" s="1211" t="s">
        <v>407</v>
      </c>
      <c r="N3" s="1211" t="s">
        <v>320</v>
      </c>
      <c r="O3" s="1211" t="s">
        <v>1199</v>
      </c>
      <c r="P3" s="1211" t="s">
        <v>407</v>
      </c>
      <c r="Q3" s="1211" t="s">
        <v>320</v>
      </c>
      <c r="R3" s="1515"/>
      <c r="S3" s="891" t="s">
        <v>1212</v>
      </c>
      <c r="T3" s="891" t="s">
        <v>1187</v>
      </c>
      <c r="U3" s="891" t="s">
        <v>1211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891" t="s">
        <v>1213</v>
      </c>
      <c r="AH3" s="891" t="s">
        <v>918</v>
      </c>
      <c r="AI3" s="891" t="s">
        <v>1204</v>
      </c>
      <c r="AJ3" s="891" t="s">
        <v>1206</v>
      </c>
      <c r="AK3" s="891" t="s">
        <v>919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889" t="s">
        <v>440</v>
      </c>
      <c r="AX3" s="889" t="s">
        <v>441</v>
      </c>
      <c r="AY3" s="889" t="s">
        <v>375</v>
      </c>
    </row>
    <row r="4" spans="1:51" ht="14.25" customHeight="1" x14ac:dyDescent="0.2">
      <c r="A4" s="551"/>
      <c r="B4" s="552"/>
      <c r="C4" s="479">
        <v>1</v>
      </c>
      <c r="D4" s="479">
        <v>2</v>
      </c>
      <c r="E4" s="479">
        <v>3</v>
      </c>
      <c r="F4" s="479">
        <v>4</v>
      </c>
      <c r="G4" s="479">
        <v>5</v>
      </c>
      <c r="H4" s="479">
        <v>6</v>
      </c>
      <c r="I4" s="479">
        <v>7</v>
      </c>
      <c r="J4" s="479">
        <v>8</v>
      </c>
      <c r="K4" s="479">
        <v>9</v>
      </c>
      <c r="L4" s="479">
        <v>10</v>
      </c>
      <c r="M4" s="479">
        <v>11</v>
      </c>
      <c r="N4" s="479">
        <v>12</v>
      </c>
      <c r="O4" s="479">
        <v>13</v>
      </c>
      <c r="P4" s="479">
        <v>14</v>
      </c>
      <c r="Q4" s="479">
        <v>15</v>
      </c>
      <c r="R4" s="479">
        <v>16</v>
      </c>
      <c r="S4" s="479">
        <v>17</v>
      </c>
      <c r="T4" s="479">
        <v>18</v>
      </c>
      <c r="U4" s="479">
        <v>19</v>
      </c>
      <c r="V4" s="479">
        <v>20</v>
      </c>
      <c r="W4" s="479">
        <v>21</v>
      </c>
      <c r="X4" s="479">
        <v>22</v>
      </c>
      <c r="Y4" s="479">
        <v>23</v>
      </c>
      <c r="Z4" s="479">
        <v>24</v>
      </c>
      <c r="AA4" s="479">
        <v>25</v>
      </c>
      <c r="AB4" s="479">
        <v>26</v>
      </c>
      <c r="AC4" s="479">
        <v>27</v>
      </c>
      <c r="AD4" s="479">
        <v>28</v>
      </c>
      <c r="AE4" s="479">
        <v>29</v>
      </c>
      <c r="AF4" s="479">
        <v>30</v>
      </c>
      <c r="AG4" s="479">
        <v>31</v>
      </c>
      <c r="AH4" s="479">
        <v>32</v>
      </c>
      <c r="AI4" s="479">
        <v>33</v>
      </c>
      <c r="AJ4" s="479">
        <v>34</v>
      </c>
      <c r="AK4" s="479">
        <v>35</v>
      </c>
      <c r="AL4" s="479">
        <v>36</v>
      </c>
      <c r="AM4" s="479">
        <v>37</v>
      </c>
      <c r="AN4" s="479">
        <v>38</v>
      </c>
      <c r="AO4" s="479">
        <v>39</v>
      </c>
      <c r="AP4" s="479">
        <v>40</v>
      </c>
      <c r="AQ4" s="479">
        <v>41</v>
      </c>
      <c r="AR4" s="479">
        <v>42</v>
      </c>
      <c r="AS4" s="479">
        <v>43</v>
      </c>
      <c r="AT4" s="132">
        <v>44</v>
      </c>
      <c r="AU4" s="132">
        <v>45</v>
      </c>
      <c r="AV4" s="132">
        <v>46</v>
      </c>
      <c r="AW4" s="132">
        <v>47</v>
      </c>
      <c r="AX4" s="132">
        <v>48</v>
      </c>
      <c r="AY4" s="132">
        <v>49</v>
      </c>
    </row>
    <row r="5" spans="1:51" s="495" customFormat="1" ht="31.5" customHeight="1" x14ac:dyDescent="0.2">
      <c r="A5" s="739"/>
      <c r="B5" s="739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1" s="495" customFormat="1" ht="31.5" hidden="1" customHeight="1" x14ac:dyDescent="0.2">
      <c r="A6" s="739"/>
      <c r="B6" s="739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1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/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</row>
    <row r="8" spans="1:51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/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</row>
    <row r="9" spans="1:51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/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</row>
    <row r="10" spans="1:51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/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</row>
    <row r="11" spans="1:51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58"/>
      <c r="AF11" s="159"/>
      <c r="AG11" s="149"/>
      <c r="AH11" s="158"/>
      <c r="AI11" s="149"/>
      <c r="AJ11" s="160"/>
      <c r="AK11" s="161"/>
      <c r="AL11" s="159">
        <v>0</v>
      </c>
      <c r="AM11" s="162"/>
      <c r="AN11" s="159"/>
      <c r="AO11" s="150"/>
      <c r="AP11" s="159"/>
      <c r="AQ11" s="160"/>
      <c r="AR11" s="160"/>
      <c r="AS11" s="159">
        <v>0</v>
      </c>
      <c r="AT11" s="783">
        <v>0</v>
      </c>
      <c r="AU11" s="784">
        <v>0</v>
      </c>
      <c r="AV11" s="344"/>
      <c r="AW11" s="151">
        <v>0</v>
      </c>
      <c r="AX11" s="151">
        <v>0</v>
      </c>
      <c r="AY11" s="151">
        <v>0</v>
      </c>
    </row>
    <row r="12" spans="1:51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/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</row>
    <row r="13" spans="1:51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/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</row>
    <row r="14" spans="1:51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/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</row>
    <row r="15" spans="1:51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/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</row>
    <row r="16" spans="1:51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/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</row>
    <row r="17" spans="1:51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/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</row>
    <row r="18" spans="1:51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/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</row>
    <row r="19" spans="1:51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/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</row>
    <row r="20" spans="1:51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/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</row>
    <row r="21" spans="1:51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/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</row>
    <row r="22" spans="1:51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/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</row>
    <row r="23" spans="1:51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684089</v>
      </c>
      <c r="AM23" s="147"/>
      <c r="AN23" s="144"/>
      <c r="AO23" s="136"/>
      <c r="AP23" s="144"/>
      <c r="AQ23" s="145"/>
      <c r="AR23" s="145"/>
      <c r="AS23" s="144">
        <v>49309</v>
      </c>
      <c r="AT23" s="781">
        <v>1045040</v>
      </c>
      <c r="AU23" s="782">
        <v>75341</v>
      </c>
      <c r="AV23" s="344"/>
      <c r="AW23" s="137">
        <v>1737</v>
      </c>
      <c r="AX23" s="137">
        <v>1710</v>
      </c>
      <c r="AY23" s="137">
        <v>-27</v>
      </c>
    </row>
    <row r="24" spans="1:51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/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</row>
    <row r="25" spans="1:51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/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</row>
    <row r="26" spans="1:51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/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</row>
    <row r="27" spans="1:51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/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</row>
    <row r="28" spans="1:51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/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</row>
    <row r="29" spans="1:51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/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</row>
    <row r="30" spans="1:51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/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</row>
    <row r="31" spans="1:51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/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</row>
    <row r="32" spans="1:51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/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</row>
    <row r="33" spans="1:51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/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</row>
    <row r="34" spans="1:51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/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</row>
    <row r="35" spans="1:51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/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</row>
    <row r="36" spans="1:51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/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</row>
    <row r="37" spans="1:51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/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</row>
    <row r="38" spans="1:51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/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</row>
    <row r="39" spans="1:51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/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</row>
    <row r="40" spans="1:51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/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</row>
    <row r="41" spans="1:51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/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</row>
    <row r="42" spans="1:51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/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</row>
    <row r="43" spans="1:51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/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</row>
    <row r="44" spans="1:51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/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</row>
    <row r="45" spans="1:51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/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</row>
    <row r="46" spans="1:51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0</v>
      </c>
      <c r="AM46" s="162"/>
      <c r="AN46" s="159"/>
      <c r="AO46" s="150"/>
      <c r="AP46" s="159"/>
      <c r="AQ46" s="160"/>
      <c r="AR46" s="160"/>
      <c r="AS46" s="159">
        <v>0</v>
      </c>
      <c r="AT46" s="783">
        <v>0</v>
      </c>
      <c r="AU46" s="784">
        <v>0</v>
      </c>
      <c r="AV46" s="344"/>
      <c r="AW46" s="151">
        <v>0</v>
      </c>
      <c r="AX46" s="151">
        <v>0</v>
      </c>
      <c r="AY46" s="151">
        <v>0</v>
      </c>
    </row>
    <row r="47" spans="1:51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/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</row>
    <row r="48" spans="1:51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/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</row>
    <row r="49" spans="1:51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/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</row>
    <row r="50" spans="1:51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/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</row>
    <row r="51" spans="1:51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/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</row>
    <row r="52" spans="1:51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/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</row>
    <row r="53" spans="1:51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/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</row>
    <row r="54" spans="1:51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/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</row>
    <row r="55" spans="1:51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0</v>
      </c>
      <c r="AM55" s="147"/>
      <c r="AN55" s="144"/>
      <c r="AO55" s="136"/>
      <c r="AP55" s="144"/>
      <c r="AQ55" s="145"/>
      <c r="AR55" s="145"/>
      <c r="AS55" s="144">
        <v>0</v>
      </c>
      <c r="AT55" s="781">
        <v>0</v>
      </c>
      <c r="AU55" s="782">
        <v>0</v>
      </c>
      <c r="AV55" s="344"/>
      <c r="AW55" s="137">
        <v>0</v>
      </c>
      <c r="AX55" s="137">
        <v>0</v>
      </c>
      <c r="AY55" s="137">
        <v>0</v>
      </c>
    </row>
    <row r="56" spans="1:51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/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</row>
    <row r="57" spans="1:51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/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</row>
    <row r="58" spans="1:51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/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</row>
    <row r="59" spans="1:51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/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</row>
    <row r="60" spans="1:51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/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</row>
    <row r="61" spans="1:51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/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</row>
    <row r="62" spans="1:51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/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</row>
    <row r="63" spans="1:51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/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</row>
    <row r="64" spans="1:51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/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</row>
    <row r="65" spans="1:51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/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</row>
    <row r="66" spans="1:51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/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</row>
    <row r="67" spans="1:51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/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</row>
    <row r="68" spans="1:51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/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</row>
    <row r="69" spans="1:51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/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</row>
    <row r="70" spans="1:51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/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</row>
    <row r="71" spans="1:51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/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</row>
    <row r="72" spans="1:51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/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</row>
    <row r="73" spans="1:51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/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</row>
    <row r="74" spans="1:51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7665</v>
      </c>
      <c r="AM74" s="147"/>
      <c r="AN74" s="144"/>
      <c r="AO74" s="136"/>
      <c r="AP74" s="144"/>
      <c r="AQ74" s="145"/>
      <c r="AR74" s="145"/>
      <c r="AS74" s="144">
        <v>1912</v>
      </c>
      <c r="AT74" s="781">
        <v>22653</v>
      </c>
      <c r="AU74" s="782">
        <v>5664</v>
      </c>
      <c r="AV74" s="344"/>
      <c r="AW74" s="785">
        <v>0</v>
      </c>
      <c r="AX74" s="785">
        <v>19</v>
      </c>
      <c r="AY74" s="785">
        <v>19</v>
      </c>
    </row>
    <row r="75" spans="1:51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/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</row>
    <row r="76" spans="1:51" s="30" customFormat="1" ht="15" customHeight="1" thickBot="1" x14ac:dyDescent="0.25">
      <c r="A76" s="1493" t="s">
        <v>397</v>
      </c>
      <c r="B76" s="1494"/>
      <c r="C76" s="1021">
        <v>0</v>
      </c>
      <c r="D76" s="1022">
        <v>4255.7718143692655</v>
      </c>
      <c r="E76" s="1023">
        <v>0</v>
      </c>
      <c r="F76" s="1024">
        <v>0</v>
      </c>
      <c r="G76" s="1025">
        <v>569.60967937788098</v>
      </c>
      <c r="H76" s="1026">
        <v>0</v>
      </c>
      <c r="I76" s="1024">
        <v>0</v>
      </c>
      <c r="J76" s="1025">
        <v>158.62710748085348</v>
      </c>
      <c r="K76" s="1026">
        <v>0</v>
      </c>
      <c r="L76" s="1024">
        <v>0</v>
      </c>
      <c r="M76" s="1025">
        <v>3935.2023104669443</v>
      </c>
      <c r="N76" s="1026">
        <v>0</v>
      </c>
      <c r="O76" s="1024">
        <v>0</v>
      </c>
      <c r="P76" s="1025">
        <v>1525.492171506211</v>
      </c>
      <c r="Q76" s="1026">
        <v>0</v>
      </c>
      <c r="R76" s="1027">
        <v>0</v>
      </c>
      <c r="S76" s="1025">
        <v>392069</v>
      </c>
      <c r="T76" s="1025">
        <v>-13454</v>
      </c>
      <c r="U76" s="1028">
        <v>378615</v>
      </c>
      <c r="V76" s="1027">
        <v>378615</v>
      </c>
      <c r="W76" s="1026">
        <v>-947</v>
      </c>
      <c r="X76" s="1027">
        <v>377668</v>
      </c>
      <c r="Y76" s="1026">
        <v>0</v>
      </c>
      <c r="Z76" s="1027">
        <v>377668</v>
      </c>
      <c r="AA76" s="1025">
        <v>258534</v>
      </c>
      <c r="AB76" s="1025">
        <v>119134</v>
      </c>
      <c r="AC76" s="1027">
        <v>29784</v>
      </c>
      <c r="AD76" s="1029">
        <v>377668</v>
      </c>
      <c r="AE76" s="1025">
        <v>5423</v>
      </c>
      <c r="AF76" s="1030">
        <v>0</v>
      </c>
      <c r="AG76" s="1024">
        <v>96</v>
      </c>
      <c r="AH76" s="1025">
        <v>707692</v>
      </c>
      <c r="AI76" s="1024">
        <v>-6</v>
      </c>
      <c r="AJ76" s="1025">
        <v>-15938</v>
      </c>
      <c r="AK76" s="1028">
        <v>691754</v>
      </c>
      <c r="AL76" s="1030">
        <v>691754</v>
      </c>
      <c r="AM76" s="1025">
        <v>-1729</v>
      </c>
      <c r="AN76" s="1030">
        <v>690025</v>
      </c>
      <c r="AO76" s="1025">
        <v>0</v>
      </c>
      <c r="AP76" s="1030">
        <v>690025</v>
      </c>
      <c r="AQ76" s="1025">
        <v>485144</v>
      </c>
      <c r="AR76" s="1025">
        <v>204881</v>
      </c>
      <c r="AS76" s="1030">
        <v>51221</v>
      </c>
      <c r="AT76" s="787">
        <v>1067693</v>
      </c>
      <c r="AU76" s="787">
        <v>81005</v>
      </c>
      <c r="AV76" s="516"/>
      <c r="AW76" s="165">
        <v>1737</v>
      </c>
      <c r="AX76" s="165">
        <v>1729</v>
      </c>
      <c r="AY76" s="165">
        <v>-8</v>
      </c>
    </row>
    <row r="77" spans="1:51" s="30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14015</v>
      </c>
      <c r="S77" s="975"/>
      <c r="T77" s="975"/>
      <c r="U77" s="975"/>
      <c r="V77" s="976">
        <v>14015</v>
      </c>
      <c r="W77" s="1018">
        <v>-35</v>
      </c>
      <c r="X77" s="976">
        <v>13980</v>
      </c>
      <c r="Y77" s="975"/>
      <c r="Z77" s="976">
        <v>13980</v>
      </c>
      <c r="AA77" s="975">
        <v>8763</v>
      </c>
      <c r="AB77" s="975">
        <v>5217</v>
      </c>
      <c r="AC77" s="976">
        <v>1304</v>
      </c>
      <c r="AD77" s="1020">
        <v>13980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13980</v>
      </c>
      <c r="AU77" s="1179">
        <v>1304</v>
      </c>
      <c r="AV77" s="1033"/>
      <c r="AW77" s="1034"/>
      <c r="AX77" s="1034">
        <v>0</v>
      </c>
      <c r="AY77" s="1034">
        <v>0</v>
      </c>
    </row>
    <row r="78" spans="1:51" s="30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</row>
    <row r="79" spans="1:51" s="30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</row>
    <row r="80" spans="1:51" s="30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</row>
    <row r="81" spans="1:51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10000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</row>
    <row r="82" spans="1:51" s="30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</row>
    <row r="83" spans="1:51" s="30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</row>
    <row r="84" spans="1:51" s="30" customFormat="1" ht="15" customHeight="1" thickBot="1" x14ac:dyDescent="0.25">
      <c r="A84" s="1493" t="s">
        <v>398</v>
      </c>
      <c r="B84" s="1494"/>
      <c r="C84" s="1021">
        <v>0</v>
      </c>
      <c r="D84" s="1022">
        <v>4255.7718143692655</v>
      </c>
      <c r="E84" s="1023">
        <v>0</v>
      </c>
      <c r="F84" s="1024">
        <v>0</v>
      </c>
      <c r="G84" s="1025">
        <v>569.60967937788098</v>
      </c>
      <c r="H84" s="1026">
        <v>0</v>
      </c>
      <c r="I84" s="1024">
        <v>0</v>
      </c>
      <c r="J84" s="1025">
        <v>158.62710748085348</v>
      </c>
      <c r="K84" s="1026">
        <v>0</v>
      </c>
      <c r="L84" s="1024">
        <v>0</v>
      </c>
      <c r="M84" s="1025">
        <v>3935.2023104669443</v>
      </c>
      <c r="N84" s="1026">
        <v>0</v>
      </c>
      <c r="O84" s="1024">
        <v>0</v>
      </c>
      <c r="P84" s="1025">
        <v>1525.492171506211</v>
      </c>
      <c r="Q84" s="1026">
        <v>0</v>
      </c>
      <c r="R84" s="1027">
        <v>14015</v>
      </c>
      <c r="S84" s="1025">
        <v>392069</v>
      </c>
      <c r="T84" s="1025">
        <v>-13454</v>
      </c>
      <c r="U84" s="1028">
        <v>378615</v>
      </c>
      <c r="V84" s="1027">
        <v>392630</v>
      </c>
      <c r="W84" s="1026">
        <v>-982</v>
      </c>
      <c r="X84" s="1027">
        <v>391648</v>
      </c>
      <c r="Y84" s="1026">
        <v>0</v>
      </c>
      <c r="Z84" s="1027">
        <v>391648</v>
      </c>
      <c r="AA84" s="1025">
        <v>267297</v>
      </c>
      <c r="AB84" s="1025">
        <v>124351</v>
      </c>
      <c r="AC84" s="1027">
        <v>31088</v>
      </c>
      <c r="AD84" s="1029">
        <v>401648</v>
      </c>
      <c r="AE84" s="1025">
        <v>5423</v>
      </c>
      <c r="AF84" s="1030">
        <v>0</v>
      </c>
      <c r="AG84" s="1024">
        <v>96</v>
      </c>
      <c r="AH84" s="1025">
        <v>707692</v>
      </c>
      <c r="AI84" s="1024">
        <v>-6</v>
      </c>
      <c r="AJ84" s="1025">
        <v>-15938</v>
      </c>
      <c r="AK84" s="1028">
        <v>691754</v>
      </c>
      <c r="AL84" s="1030">
        <v>691754</v>
      </c>
      <c r="AM84" s="1025">
        <v>-1729</v>
      </c>
      <c r="AN84" s="1030">
        <v>690025</v>
      </c>
      <c r="AO84" s="1025">
        <v>0</v>
      </c>
      <c r="AP84" s="1030">
        <v>690025</v>
      </c>
      <c r="AQ84" s="1025">
        <v>485144</v>
      </c>
      <c r="AR84" s="1025">
        <v>204881</v>
      </c>
      <c r="AS84" s="1030">
        <v>51221</v>
      </c>
      <c r="AT84" s="787">
        <v>1081673</v>
      </c>
      <c r="AU84" s="787">
        <v>82309</v>
      </c>
      <c r="AV84" s="516"/>
      <c r="AW84" s="165">
        <v>1737</v>
      </c>
      <c r="AX84" s="165">
        <v>1729</v>
      </c>
      <c r="AY84" s="165">
        <v>-8</v>
      </c>
    </row>
    <row r="85" spans="1:51" ht="16.149999999999999" customHeight="1" thickTop="1" x14ac:dyDescent="0.2"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516"/>
      <c r="Y85" s="344"/>
      <c r="Z85" s="344"/>
      <c r="AB85" s="344"/>
      <c r="AC85" s="344"/>
      <c r="AD85" s="344"/>
      <c r="AE85" s="344"/>
      <c r="AF85" s="344"/>
    </row>
    <row r="86" spans="1:51" ht="16.149999999999999" customHeight="1" x14ac:dyDescent="0.2"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516"/>
      <c r="Y86" s="344"/>
      <c r="Z86" s="344"/>
      <c r="AB86" s="344"/>
      <c r="AC86" s="344"/>
      <c r="AD86" s="344"/>
      <c r="AE86" s="344"/>
      <c r="AF86" s="344"/>
    </row>
    <row r="87" spans="1:51" ht="16.149999999999999" customHeight="1" x14ac:dyDescent="0.2">
      <c r="C87" s="494"/>
      <c r="D87" s="344"/>
      <c r="E87" s="344"/>
      <c r="F87" s="293"/>
      <c r="G87" s="344"/>
      <c r="H87" s="674"/>
      <c r="I87" s="674"/>
      <c r="J87" s="674"/>
      <c r="K87" s="674"/>
      <c r="L87" s="848"/>
      <c r="M87" s="674"/>
      <c r="N87" s="674"/>
      <c r="O87" s="849"/>
      <c r="P87" s="674"/>
      <c r="Q87" s="674"/>
      <c r="R87" s="344"/>
      <c r="S87" s="344"/>
      <c r="T87" s="344"/>
      <c r="U87" s="344"/>
      <c r="V87" s="344"/>
      <c r="W87" s="344"/>
      <c r="X87" s="516"/>
      <c r="Y87" s="344"/>
      <c r="Z87" s="344"/>
      <c r="AA87" s="516"/>
      <c r="AB87" s="344"/>
      <c r="AC87" s="344"/>
      <c r="AD87" s="344"/>
      <c r="AE87" s="344"/>
      <c r="AF87" s="344"/>
      <c r="AQ87" s="516"/>
      <c r="AS87" s="516"/>
    </row>
    <row r="88" spans="1:51" ht="16.149999999999999" customHeight="1" x14ac:dyDescent="0.2">
      <c r="H88" s="10"/>
      <c r="I88" s="10"/>
      <c r="J88" s="1441"/>
      <c r="K88" s="888"/>
      <c r="L88" s="888"/>
      <c r="M88" s="1441"/>
      <c r="N88" s="888"/>
      <c r="O88" s="888"/>
      <c r="P88" s="1441"/>
      <c r="Q88" s="888"/>
    </row>
    <row r="89" spans="1:51" x14ac:dyDescent="0.2">
      <c r="A89" s="7" t="s">
        <v>1171</v>
      </c>
      <c r="B89" s="7" t="s">
        <v>1171</v>
      </c>
      <c r="C89" s="7" t="s">
        <v>1171</v>
      </c>
      <c r="D89" s="7" t="s">
        <v>1171</v>
      </c>
      <c r="E89" s="7" t="s">
        <v>1171</v>
      </c>
      <c r="H89" s="10"/>
      <c r="I89" s="10"/>
      <c r="J89" s="1441"/>
      <c r="K89" s="888"/>
      <c r="L89" s="888"/>
      <c r="M89" s="1441"/>
      <c r="N89" s="888"/>
      <c r="O89" s="888"/>
      <c r="P89" s="1441"/>
      <c r="Q89" s="888"/>
      <c r="AC89" s="7">
        <v>4</v>
      </c>
      <c r="AS89" s="7">
        <v>4</v>
      </c>
    </row>
    <row r="90" spans="1:51" x14ac:dyDescent="0.2">
      <c r="C90"/>
      <c r="D90"/>
      <c r="E90"/>
      <c r="F90"/>
      <c r="G9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858" t="s">
        <v>1377</v>
      </c>
      <c r="C91"/>
      <c r="D91"/>
      <c r="E91"/>
      <c r="F91"/>
      <c r="G91"/>
    </row>
    <row r="92" spans="1:51" x14ac:dyDescent="0.2">
      <c r="B92" s="859" t="s">
        <v>1462</v>
      </c>
      <c r="C92"/>
      <c r="D92"/>
      <c r="E92"/>
      <c r="F92"/>
      <c r="G92"/>
    </row>
    <row r="93" spans="1:51" x14ac:dyDescent="0.2">
      <c r="B93" s="863" t="s">
        <v>1389</v>
      </c>
      <c r="C93"/>
      <c r="D93"/>
      <c r="E93"/>
      <c r="F93"/>
      <c r="G93"/>
    </row>
    <row r="94" spans="1:51" x14ac:dyDescent="0.2">
      <c r="B94" s="860" t="s">
        <v>1472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Y96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7" customWidth="1"/>
    <col min="2" max="2" width="28.140625" style="7" customWidth="1"/>
    <col min="3" max="3" width="13.140625" style="7" customWidth="1"/>
    <col min="4" max="4" width="13.85546875" style="7" customWidth="1"/>
    <col min="5" max="5" width="12.42578125" style="7" customWidth="1"/>
    <col min="6" max="6" width="11.28515625" style="7" customWidth="1"/>
    <col min="7" max="7" width="9.28515625" style="7" customWidth="1"/>
    <col min="8" max="8" width="12.42578125" style="7" customWidth="1"/>
    <col min="9" max="9" width="11.28515625" style="7" customWidth="1"/>
    <col min="10" max="10" width="9.28515625" style="7" customWidth="1"/>
    <col min="11" max="11" width="12.42578125" style="7" customWidth="1"/>
    <col min="12" max="12" width="11.28515625" style="7" customWidth="1"/>
    <col min="13" max="13" width="9.28515625" style="7" customWidth="1"/>
    <col min="14" max="14" width="12.42578125" style="7" customWidth="1"/>
    <col min="15" max="15" width="11.28515625" style="7" customWidth="1"/>
    <col min="16" max="16" width="9.28515625" style="7" customWidth="1"/>
    <col min="17" max="17" width="12.42578125" style="7" customWidth="1"/>
    <col min="18" max="18" width="13.42578125" style="7" customWidth="1"/>
    <col min="19" max="21" width="13.85546875" style="7" customWidth="1"/>
    <col min="22" max="22" width="13.28515625" style="7" customWidth="1"/>
    <col min="23" max="23" width="11.140625" style="7" customWidth="1"/>
    <col min="24" max="24" width="13.28515625" style="7" customWidth="1"/>
    <col min="25" max="25" width="14.7109375" style="7" customWidth="1"/>
    <col min="26" max="26" width="17.5703125" style="7" customWidth="1"/>
    <col min="27" max="29" width="11.5703125" style="7" customWidth="1"/>
    <col min="30" max="30" width="16.42578125" style="7" customWidth="1"/>
    <col min="31" max="32" width="15.85546875" style="7" customWidth="1"/>
    <col min="33" max="37" width="15.7109375" style="7" customWidth="1"/>
    <col min="38" max="38" width="15.140625" style="7" customWidth="1"/>
    <col min="39" max="39" width="10.85546875" style="7" customWidth="1"/>
    <col min="40" max="40" width="15" style="7" customWidth="1"/>
    <col min="41" max="41" width="14.85546875" style="7" customWidth="1"/>
    <col min="42" max="42" width="15.7109375" style="7" customWidth="1"/>
    <col min="43" max="44" width="13.85546875" style="7" customWidth="1"/>
    <col min="45" max="45" width="15.7109375" style="7" customWidth="1"/>
    <col min="46" max="47" width="14.42578125" style="7" bestFit="1" customWidth="1"/>
    <col min="48" max="48" width="3" style="7" bestFit="1" customWidth="1"/>
    <col min="49" max="50" width="12.28515625" style="7" customWidth="1"/>
    <col min="51" max="51" width="10" style="7" bestFit="1" customWidth="1"/>
    <col min="52" max="16384" width="8.85546875" style="7"/>
  </cols>
  <sheetData>
    <row r="1" spans="1:51" ht="19.899999999999999" customHeight="1" x14ac:dyDescent="0.2">
      <c r="A1" s="1446" t="s">
        <v>1441</v>
      </c>
      <c r="B1" s="1447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4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6"/>
      <c r="AE1" s="1498" t="s">
        <v>389</v>
      </c>
      <c r="AF1" s="1498"/>
      <c r="AG1" s="1498"/>
      <c r="AH1" s="1498"/>
      <c r="AI1" s="1498"/>
      <c r="AJ1" s="1498"/>
      <c r="AK1" s="1498"/>
      <c r="AL1" s="1504" t="s">
        <v>389</v>
      </c>
      <c r="AM1" s="1504"/>
      <c r="AN1" s="1504"/>
      <c r="AO1" s="1504"/>
      <c r="AP1" s="1504"/>
      <c r="AQ1" s="1504"/>
      <c r="AR1" s="1504"/>
      <c r="AS1" s="1504"/>
      <c r="AT1" s="1501" t="s">
        <v>321</v>
      </c>
      <c r="AU1" s="1501" t="s">
        <v>322</v>
      </c>
      <c r="AW1" s="110"/>
      <c r="AX1" s="110"/>
      <c r="AY1" s="110"/>
    </row>
    <row r="2" spans="1:51" ht="30" customHeight="1" x14ac:dyDescent="0.2">
      <c r="A2" s="1448"/>
      <c r="B2" s="1449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515" t="s">
        <v>432</v>
      </c>
      <c r="S2" s="1516" t="s">
        <v>916</v>
      </c>
      <c r="T2" s="1517"/>
      <c r="U2" s="1518"/>
      <c r="V2" s="1412" t="s">
        <v>433</v>
      </c>
      <c r="W2" s="1412" t="s">
        <v>1017</v>
      </c>
      <c r="X2" s="1412" t="s">
        <v>434</v>
      </c>
      <c r="Y2" s="1415" t="s">
        <v>1431</v>
      </c>
      <c r="Z2" s="1412" t="s">
        <v>970</v>
      </c>
      <c r="AA2" s="1412" t="s">
        <v>268</v>
      </c>
      <c r="AB2" s="1412" t="s">
        <v>269</v>
      </c>
      <c r="AC2" s="1412" t="s">
        <v>231</v>
      </c>
      <c r="AD2" s="1412" t="s">
        <v>971</v>
      </c>
      <c r="AE2" s="1502" t="s">
        <v>1444</v>
      </c>
      <c r="AF2" s="1496" t="s">
        <v>1018</v>
      </c>
      <c r="AG2" s="1511" t="s">
        <v>917</v>
      </c>
      <c r="AH2" s="1511"/>
      <c r="AI2" s="1511"/>
      <c r="AJ2" s="1511"/>
      <c r="AK2" s="1511"/>
      <c r="AL2" s="1496" t="s">
        <v>1019</v>
      </c>
      <c r="AM2" s="1496" t="s">
        <v>1023</v>
      </c>
      <c r="AN2" s="1496" t="s">
        <v>1020</v>
      </c>
      <c r="AO2" s="1415" t="s">
        <v>1431</v>
      </c>
      <c r="AP2" s="1496" t="s">
        <v>1021</v>
      </c>
      <c r="AQ2" s="1496" t="s">
        <v>290</v>
      </c>
      <c r="AR2" s="1496" t="s">
        <v>269</v>
      </c>
      <c r="AS2" s="1496" t="s">
        <v>1022</v>
      </c>
      <c r="AT2" s="1501"/>
      <c r="AU2" s="1501"/>
      <c r="AW2" s="111"/>
      <c r="AX2" s="111"/>
      <c r="AY2" s="111"/>
    </row>
    <row r="3" spans="1:51" ht="95.25" customHeight="1" x14ac:dyDescent="0.2">
      <c r="A3" s="1450"/>
      <c r="B3" s="1451"/>
      <c r="C3" s="1412"/>
      <c r="D3" s="1211" t="s">
        <v>533</v>
      </c>
      <c r="E3" s="1211" t="s">
        <v>320</v>
      </c>
      <c r="F3" s="1211" t="s">
        <v>1197</v>
      </c>
      <c r="G3" s="1211" t="s">
        <v>392</v>
      </c>
      <c r="H3" s="1211" t="s">
        <v>320</v>
      </c>
      <c r="I3" s="1211" t="s">
        <v>1198</v>
      </c>
      <c r="J3" s="1211" t="s">
        <v>392</v>
      </c>
      <c r="K3" s="1211" t="s">
        <v>320</v>
      </c>
      <c r="L3" s="1211" t="s">
        <v>1199</v>
      </c>
      <c r="M3" s="1211" t="s">
        <v>407</v>
      </c>
      <c r="N3" s="1211" t="s">
        <v>320</v>
      </c>
      <c r="O3" s="1211" t="s">
        <v>1199</v>
      </c>
      <c r="P3" s="1211" t="s">
        <v>407</v>
      </c>
      <c r="Q3" s="1211" t="s">
        <v>320</v>
      </c>
      <c r="R3" s="1515"/>
      <c r="S3" s="891" t="s">
        <v>1212</v>
      </c>
      <c r="T3" s="891" t="s">
        <v>1187</v>
      </c>
      <c r="U3" s="891" t="s">
        <v>1211</v>
      </c>
      <c r="V3" s="1412"/>
      <c r="W3" s="1412"/>
      <c r="X3" s="1412"/>
      <c r="Y3" s="1415"/>
      <c r="Z3" s="1412"/>
      <c r="AA3" s="1412"/>
      <c r="AB3" s="1412"/>
      <c r="AC3" s="1412"/>
      <c r="AD3" s="1412"/>
      <c r="AE3" s="1503"/>
      <c r="AF3" s="1496"/>
      <c r="AG3" s="891" t="s">
        <v>1213</v>
      </c>
      <c r="AH3" s="891" t="s">
        <v>918</v>
      </c>
      <c r="AI3" s="891" t="s">
        <v>1204</v>
      </c>
      <c r="AJ3" s="891" t="s">
        <v>1206</v>
      </c>
      <c r="AK3" s="891" t="s">
        <v>919</v>
      </c>
      <c r="AL3" s="1496"/>
      <c r="AM3" s="1496"/>
      <c r="AN3" s="1496"/>
      <c r="AO3" s="1415"/>
      <c r="AP3" s="1496"/>
      <c r="AQ3" s="1496"/>
      <c r="AR3" s="1496"/>
      <c r="AS3" s="1496"/>
      <c r="AT3" s="1501"/>
      <c r="AU3" s="1501"/>
      <c r="AW3" s="889" t="s">
        <v>440</v>
      </c>
      <c r="AX3" s="889" t="s">
        <v>441</v>
      </c>
      <c r="AY3" s="889" t="s">
        <v>375</v>
      </c>
    </row>
    <row r="4" spans="1:51" ht="14.25" customHeight="1" x14ac:dyDescent="0.2">
      <c r="A4" s="551"/>
      <c r="B4" s="552"/>
      <c r="C4" s="479">
        <v>1</v>
      </c>
      <c r="D4" s="479">
        <v>2</v>
      </c>
      <c r="E4" s="479">
        <v>3</v>
      </c>
      <c r="F4" s="479">
        <v>4</v>
      </c>
      <c r="G4" s="479">
        <v>5</v>
      </c>
      <c r="H4" s="479">
        <v>6</v>
      </c>
      <c r="I4" s="479">
        <v>7</v>
      </c>
      <c r="J4" s="479">
        <v>8</v>
      </c>
      <c r="K4" s="479">
        <v>9</v>
      </c>
      <c r="L4" s="479">
        <v>10</v>
      </c>
      <c r="M4" s="479">
        <v>11</v>
      </c>
      <c r="N4" s="479">
        <v>12</v>
      </c>
      <c r="O4" s="479">
        <v>13</v>
      </c>
      <c r="P4" s="479">
        <v>14</v>
      </c>
      <c r="Q4" s="479">
        <v>15</v>
      </c>
      <c r="R4" s="479">
        <v>16</v>
      </c>
      <c r="S4" s="479">
        <v>17</v>
      </c>
      <c r="T4" s="479">
        <v>18</v>
      </c>
      <c r="U4" s="479">
        <v>19</v>
      </c>
      <c r="V4" s="479">
        <v>20</v>
      </c>
      <c r="W4" s="479">
        <v>21</v>
      </c>
      <c r="X4" s="479">
        <v>22</v>
      </c>
      <c r="Y4" s="479">
        <v>23</v>
      </c>
      <c r="Z4" s="479">
        <v>24</v>
      </c>
      <c r="AA4" s="479">
        <v>25</v>
      </c>
      <c r="AB4" s="479">
        <v>26</v>
      </c>
      <c r="AC4" s="479">
        <v>27</v>
      </c>
      <c r="AD4" s="479">
        <v>28</v>
      </c>
      <c r="AE4" s="479">
        <v>29</v>
      </c>
      <c r="AF4" s="479">
        <v>30</v>
      </c>
      <c r="AG4" s="479">
        <v>31</v>
      </c>
      <c r="AH4" s="479">
        <v>32</v>
      </c>
      <c r="AI4" s="479">
        <v>33</v>
      </c>
      <c r="AJ4" s="479">
        <v>34</v>
      </c>
      <c r="AK4" s="479">
        <v>35</v>
      </c>
      <c r="AL4" s="479">
        <v>36</v>
      </c>
      <c r="AM4" s="479">
        <v>37</v>
      </c>
      <c r="AN4" s="479">
        <v>38</v>
      </c>
      <c r="AO4" s="479">
        <v>39</v>
      </c>
      <c r="AP4" s="479">
        <v>40</v>
      </c>
      <c r="AQ4" s="479">
        <v>41</v>
      </c>
      <c r="AR4" s="479">
        <v>42</v>
      </c>
      <c r="AS4" s="479">
        <v>43</v>
      </c>
      <c r="AT4" s="132">
        <v>44</v>
      </c>
      <c r="AU4" s="132">
        <v>45</v>
      </c>
      <c r="AV4" s="132">
        <v>46</v>
      </c>
      <c r="AW4" s="132">
        <v>47</v>
      </c>
      <c r="AX4" s="132">
        <v>48</v>
      </c>
      <c r="AY4" s="132">
        <v>49</v>
      </c>
    </row>
    <row r="5" spans="1:51" s="495" customFormat="1" ht="31.5" customHeight="1" x14ac:dyDescent="0.2">
      <c r="A5" s="739"/>
      <c r="B5" s="739"/>
      <c r="C5" s="760" t="s">
        <v>813</v>
      </c>
      <c r="D5" s="599" t="s">
        <v>858</v>
      </c>
      <c r="E5" s="599" t="s">
        <v>814</v>
      </c>
      <c r="F5" s="760" t="s">
        <v>960</v>
      </c>
      <c r="G5" s="760" t="s">
        <v>823</v>
      </c>
      <c r="H5" s="760" t="s">
        <v>859</v>
      </c>
      <c r="I5" s="760" t="s">
        <v>959</v>
      </c>
      <c r="J5" s="760" t="s">
        <v>825</v>
      </c>
      <c r="K5" s="760" t="s">
        <v>860</v>
      </c>
      <c r="L5" s="760" t="s">
        <v>957</v>
      </c>
      <c r="M5" s="760" t="s">
        <v>827</v>
      </c>
      <c r="N5" s="760" t="s">
        <v>861</v>
      </c>
      <c r="O5" s="760" t="s">
        <v>958</v>
      </c>
      <c r="P5" s="760" t="s">
        <v>829</v>
      </c>
      <c r="Q5" s="760" t="s">
        <v>862</v>
      </c>
      <c r="R5" s="760" t="s">
        <v>1405</v>
      </c>
      <c r="S5" s="760" t="s">
        <v>951</v>
      </c>
      <c r="T5" s="760" t="s">
        <v>952</v>
      </c>
      <c r="U5" s="760" t="s">
        <v>863</v>
      </c>
      <c r="V5" s="760" t="s">
        <v>864</v>
      </c>
      <c r="W5" s="760" t="s">
        <v>865</v>
      </c>
      <c r="X5" s="760" t="s">
        <v>866</v>
      </c>
      <c r="Y5" s="760" t="s">
        <v>818</v>
      </c>
      <c r="Z5" s="598" t="s">
        <v>1406</v>
      </c>
      <c r="AA5" s="598" t="s">
        <v>1000</v>
      </c>
      <c r="AB5" s="598" t="s">
        <v>867</v>
      </c>
      <c r="AC5" s="598" t="s">
        <v>1006</v>
      </c>
      <c r="AD5" s="598" t="s">
        <v>1407</v>
      </c>
      <c r="AE5" s="598" t="s">
        <v>846</v>
      </c>
      <c r="AF5" s="598" t="s">
        <v>868</v>
      </c>
      <c r="AG5" s="598" t="s">
        <v>951</v>
      </c>
      <c r="AH5" s="598" t="s">
        <v>869</v>
      </c>
      <c r="AI5" s="598" t="s">
        <v>952</v>
      </c>
      <c r="AJ5" s="598" t="s">
        <v>870</v>
      </c>
      <c r="AK5" s="598" t="s">
        <v>871</v>
      </c>
      <c r="AL5" s="598" t="s">
        <v>872</v>
      </c>
      <c r="AM5" s="598" t="s">
        <v>873</v>
      </c>
      <c r="AN5" s="598" t="s">
        <v>874</v>
      </c>
      <c r="AO5" s="598" t="s">
        <v>818</v>
      </c>
      <c r="AP5" s="598" t="s">
        <v>850</v>
      </c>
      <c r="AQ5" s="598" t="s">
        <v>995</v>
      </c>
      <c r="AR5" s="598" t="s">
        <v>851</v>
      </c>
      <c r="AS5" s="598" t="s">
        <v>1003</v>
      </c>
      <c r="AT5" s="598" t="s">
        <v>854</v>
      </c>
      <c r="AU5" s="598" t="s">
        <v>855</v>
      </c>
      <c r="AV5" s="598"/>
      <c r="AW5" s="598" t="s">
        <v>875</v>
      </c>
      <c r="AX5" s="598" t="s">
        <v>857</v>
      </c>
      <c r="AY5" s="598" t="s">
        <v>856</v>
      </c>
    </row>
    <row r="6" spans="1:51" s="495" customFormat="1" ht="31.5" hidden="1" customHeight="1" x14ac:dyDescent="0.2">
      <c r="A6" s="739"/>
      <c r="B6" s="739"/>
      <c r="C6" s="601"/>
      <c r="D6" s="601" t="s">
        <v>603</v>
      </c>
      <c r="E6" s="601" t="s">
        <v>604</v>
      </c>
      <c r="F6" s="601"/>
      <c r="G6" s="601" t="s">
        <v>603</v>
      </c>
      <c r="H6" s="601" t="s">
        <v>604</v>
      </c>
      <c r="I6" s="601"/>
      <c r="J6" s="601" t="s">
        <v>603</v>
      </c>
      <c r="K6" s="601" t="s">
        <v>604</v>
      </c>
      <c r="L6" s="601"/>
      <c r="M6" s="601" t="s">
        <v>603</v>
      </c>
      <c r="N6" s="601" t="s">
        <v>604</v>
      </c>
      <c r="O6" s="601"/>
      <c r="P6" s="601" t="s">
        <v>603</v>
      </c>
      <c r="Q6" s="601" t="s">
        <v>604</v>
      </c>
      <c r="R6" s="601" t="s">
        <v>604</v>
      </c>
      <c r="S6" s="601" t="s">
        <v>817</v>
      </c>
      <c r="T6" s="601" t="s">
        <v>817</v>
      </c>
      <c r="U6" s="601" t="s">
        <v>604</v>
      </c>
      <c r="V6" s="601" t="s">
        <v>604</v>
      </c>
      <c r="W6" s="601" t="s">
        <v>604</v>
      </c>
      <c r="X6" s="601" t="s">
        <v>604</v>
      </c>
      <c r="Y6" s="601" t="s">
        <v>818</v>
      </c>
      <c r="Z6" s="601" t="s">
        <v>836</v>
      </c>
      <c r="AA6" s="601" t="s">
        <v>844</v>
      </c>
      <c r="AB6" s="601" t="s">
        <v>604</v>
      </c>
      <c r="AC6" s="601" t="s">
        <v>604</v>
      </c>
      <c r="AD6" s="601" t="s">
        <v>837</v>
      </c>
      <c r="AE6" s="601" t="s">
        <v>603</v>
      </c>
      <c r="AF6" s="601" t="s">
        <v>604</v>
      </c>
      <c r="AG6" s="601" t="s">
        <v>817</v>
      </c>
      <c r="AH6" s="601" t="s">
        <v>604</v>
      </c>
      <c r="AI6" s="601" t="s">
        <v>817</v>
      </c>
      <c r="AJ6" s="601" t="s">
        <v>604</v>
      </c>
      <c r="AK6" s="601" t="s">
        <v>604</v>
      </c>
      <c r="AL6" s="601" t="s">
        <v>604</v>
      </c>
      <c r="AM6" s="601" t="s">
        <v>604</v>
      </c>
      <c r="AN6" s="601" t="s">
        <v>604</v>
      </c>
      <c r="AO6" s="601" t="s">
        <v>818</v>
      </c>
      <c r="AP6" s="601" t="s">
        <v>604</v>
      </c>
      <c r="AQ6" s="601" t="s">
        <v>844</v>
      </c>
      <c r="AR6" s="601" t="s">
        <v>604</v>
      </c>
      <c r="AS6" s="601" t="s">
        <v>604</v>
      </c>
      <c r="AT6" s="601" t="s">
        <v>604</v>
      </c>
      <c r="AU6" s="601" t="s">
        <v>604</v>
      </c>
      <c r="AV6" s="601"/>
      <c r="AW6" s="601" t="s">
        <v>843</v>
      </c>
      <c r="AX6" s="601" t="s">
        <v>604</v>
      </c>
      <c r="AY6" s="601" t="s">
        <v>604</v>
      </c>
    </row>
    <row r="7" spans="1:51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0</v>
      </c>
      <c r="S7" s="118"/>
      <c r="T7" s="118"/>
      <c r="U7" s="122"/>
      <c r="V7" s="121"/>
      <c r="W7" s="119"/>
      <c r="X7" s="121"/>
      <c r="Y7" s="118"/>
      <c r="Z7" s="121"/>
      <c r="AA7" s="118"/>
      <c r="AB7" s="118"/>
      <c r="AC7" s="121"/>
      <c r="AD7" s="123"/>
      <c r="AE7" s="124"/>
      <c r="AF7" s="125"/>
      <c r="AG7" s="117"/>
      <c r="AH7" s="124"/>
      <c r="AI7" s="117"/>
      <c r="AJ7" s="126"/>
      <c r="AK7" s="127"/>
      <c r="AL7" s="125">
        <v>0</v>
      </c>
      <c r="AM7" s="128"/>
      <c r="AN7" s="125"/>
      <c r="AO7" s="118"/>
      <c r="AP7" s="125"/>
      <c r="AQ7" s="126"/>
      <c r="AR7" s="126"/>
      <c r="AS7" s="125">
        <v>0</v>
      </c>
      <c r="AT7" s="779">
        <v>0</v>
      </c>
      <c r="AU7" s="780">
        <v>0</v>
      </c>
      <c r="AV7" s="344"/>
      <c r="AW7" s="119">
        <v>0</v>
      </c>
      <c r="AX7" s="119">
        <v>0</v>
      </c>
      <c r="AY7" s="119">
        <v>0</v>
      </c>
    </row>
    <row r="8" spans="1:51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0</v>
      </c>
      <c r="S8" s="136"/>
      <c r="T8" s="136"/>
      <c r="U8" s="140"/>
      <c r="V8" s="139"/>
      <c r="W8" s="137"/>
      <c r="X8" s="139"/>
      <c r="Y8" s="136"/>
      <c r="Z8" s="139"/>
      <c r="AA8" s="136"/>
      <c r="AB8" s="136"/>
      <c r="AC8" s="139"/>
      <c r="AD8" s="142"/>
      <c r="AE8" s="143"/>
      <c r="AF8" s="144"/>
      <c r="AG8" s="135"/>
      <c r="AH8" s="143"/>
      <c r="AI8" s="135"/>
      <c r="AJ8" s="145"/>
      <c r="AK8" s="146"/>
      <c r="AL8" s="144">
        <v>0</v>
      </c>
      <c r="AM8" s="147"/>
      <c r="AN8" s="144"/>
      <c r="AO8" s="136"/>
      <c r="AP8" s="144"/>
      <c r="AQ8" s="145"/>
      <c r="AR8" s="145"/>
      <c r="AS8" s="144">
        <v>0</v>
      </c>
      <c r="AT8" s="781">
        <v>0</v>
      </c>
      <c r="AU8" s="782">
        <v>0</v>
      </c>
      <c r="AV8" s="344"/>
      <c r="AW8" s="137">
        <v>0</v>
      </c>
      <c r="AX8" s="137">
        <v>0</v>
      </c>
      <c r="AY8" s="137">
        <v>0</v>
      </c>
    </row>
    <row r="9" spans="1:51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0</v>
      </c>
      <c r="S9" s="136"/>
      <c r="T9" s="136"/>
      <c r="U9" s="140"/>
      <c r="V9" s="139"/>
      <c r="W9" s="137"/>
      <c r="X9" s="139"/>
      <c r="Y9" s="136"/>
      <c r="Z9" s="139"/>
      <c r="AA9" s="136"/>
      <c r="AB9" s="136"/>
      <c r="AC9" s="139"/>
      <c r="AD9" s="142"/>
      <c r="AE9" s="143"/>
      <c r="AF9" s="144"/>
      <c r="AG9" s="135"/>
      <c r="AH9" s="143"/>
      <c r="AI9" s="135"/>
      <c r="AJ9" s="145"/>
      <c r="AK9" s="146"/>
      <c r="AL9" s="144">
        <v>0</v>
      </c>
      <c r="AM9" s="147"/>
      <c r="AN9" s="144"/>
      <c r="AO9" s="136"/>
      <c r="AP9" s="144"/>
      <c r="AQ9" s="145"/>
      <c r="AR9" s="145"/>
      <c r="AS9" s="144">
        <v>0</v>
      </c>
      <c r="AT9" s="781">
        <v>0</v>
      </c>
      <c r="AU9" s="782">
        <v>0</v>
      </c>
      <c r="AV9" s="344"/>
      <c r="AW9" s="137">
        <v>0</v>
      </c>
      <c r="AX9" s="137">
        <v>0</v>
      </c>
      <c r="AY9" s="137">
        <v>0</v>
      </c>
    </row>
    <row r="10" spans="1:51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0</v>
      </c>
      <c r="S10" s="136"/>
      <c r="T10" s="136"/>
      <c r="U10" s="140"/>
      <c r="V10" s="139"/>
      <c r="W10" s="137"/>
      <c r="X10" s="139"/>
      <c r="Y10" s="136"/>
      <c r="Z10" s="139"/>
      <c r="AA10" s="136"/>
      <c r="AB10" s="136"/>
      <c r="AC10" s="139"/>
      <c r="AD10" s="142"/>
      <c r="AE10" s="143"/>
      <c r="AF10" s="144"/>
      <c r="AG10" s="135"/>
      <c r="AH10" s="143"/>
      <c r="AI10" s="135"/>
      <c r="AJ10" s="145"/>
      <c r="AK10" s="146"/>
      <c r="AL10" s="144">
        <v>0</v>
      </c>
      <c r="AM10" s="147"/>
      <c r="AN10" s="144"/>
      <c r="AO10" s="136"/>
      <c r="AP10" s="144"/>
      <c r="AQ10" s="145"/>
      <c r="AR10" s="145"/>
      <c r="AS10" s="144">
        <v>0</v>
      </c>
      <c r="AT10" s="781">
        <v>0</v>
      </c>
      <c r="AU10" s="782">
        <v>0</v>
      </c>
      <c r="AV10" s="344"/>
      <c r="AW10" s="137">
        <v>0</v>
      </c>
      <c r="AX10" s="137">
        <v>0</v>
      </c>
      <c r="AY10" s="137">
        <v>0</v>
      </c>
    </row>
    <row r="11" spans="1:51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0</v>
      </c>
      <c r="S11" s="150"/>
      <c r="T11" s="150"/>
      <c r="U11" s="154"/>
      <c r="V11" s="153"/>
      <c r="W11" s="151"/>
      <c r="X11" s="153"/>
      <c r="Y11" s="150"/>
      <c r="Z11" s="153"/>
      <c r="AA11" s="156"/>
      <c r="AB11" s="150"/>
      <c r="AC11" s="157"/>
      <c r="AD11" s="157"/>
      <c r="AE11" s="1234"/>
      <c r="AF11" s="159"/>
      <c r="AG11" s="149"/>
      <c r="AH11" s="158"/>
      <c r="AI11" s="149"/>
      <c r="AJ11" s="160"/>
      <c r="AK11" s="161"/>
      <c r="AL11" s="159">
        <v>434265</v>
      </c>
      <c r="AM11" s="162"/>
      <c r="AN11" s="159"/>
      <c r="AO11" s="150"/>
      <c r="AP11" s="159"/>
      <c r="AQ11" s="160"/>
      <c r="AR11" s="160"/>
      <c r="AS11" s="159">
        <v>36657</v>
      </c>
      <c r="AT11" s="783">
        <v>1486901</v>
      </c>
      <c r="AU11" s="784">
        <v>120249</v>
      </c>
      <c r="AV11" s="344"/>
      <c r="AW11" s="151">
        <v>1082</v>
      </c>
      <c r="AX11" s="151">
        <v>1086</v>
      </c>
      <c r="AY11" s="151">
        <v>4</v>
      </c>
    </row>
    <row r="12" spans="1:51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0</v>
      </c>
      <c r="S12" s="118"/>
      <c r="T12" s="118"/>
      <c r="U12" s="122"/>
      <c r="V12" s="121"/>
      <c r="W12" s="119"/>
      <c r="X12" s="121"/>
      <c r="Y12" s="118"/>
      <c r="Z12" s="121"/>
      <c r="AA12" s="118"/>
      <c r="AB12" s="118"/>
      <c r="AC12" s="121"/>
      <c r="AD12" s="123"/>
      <c r="AE12" s="124"/>
      <c r="AF12" s="125"/>
      <c r="AG12" s="117"/>
      <c r="AH12" s="124"/>
      <c r="AI12" s="117"/>
      <c r="AJ12" s="126"/>
      <c r="AK12" s="127"/>
      <c r="AL12" s="125">
        <v>0</v>
      </c>
      <c r="AM12" s="128"/>
      <c r="AN12" s="125"/>
      <c r="AO12" s="118"/>
      <c r="AP12" s="125"/>
      <c r="AQ12" s="126"/>
      <c r="AR12" s="126"/>
      <c r="AS12" s="125">
        <v>0</v>
      </c>
      <c r="AT12" s="779">
        <v>0</v>
      </c>
      <c r="AU12" s="780">
        <v>0</v>
      </c>
      <c r="AV12" s="344"/>
      <c r="AW12" s="119">
        <v>0</v>
      </c>
      <c r="AX12" s="119">
        <v>0</v>
      </c>
      <c r="AY12" s="119">
        <v>0</v>
      </c>
    </row>
    <row r="13" spans="1:51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0</v>
      </c>
      <c r="S13" s="136"/>
      <c r="T13" s="136"/>
      <c r="U13" s="140"/>
      <c r="V13" s="139"/>
      <c r="W13" s="137"/>
      <c r="X13" s="139"/>
      <c r="Y13" s="136"/>
      <c r="Z13" s="139"/>
      <c r="AA13" s="136"/>
      <c r="AB13" s="136"/>
      <c r="AC13" s="139"/>
      <c r="AD13" s="142"/>
      <c r="AE13" s="143"/>
      <c r="AF13" s="144"/>
      <c r="AG13" s="135"/>
      <c r="AH13" s="143"/>
      <c r="AI13" s="135"/>
      <c r="AJ13" s="145"/>
      <c r="AK13" s="146"/>
      <c r="AL13" s="144">
        <v>0</v>
      </c>
      <c r="AM13" s="147"/>
      <c r="AN13" s="144"/>
      <c r="AO13" s="136"/>
      <c r="AP13" s="144"/>
      <c r="AQ13" s="145"/>
      <c r="AR13" s="145"/>
      <c r="AS13" s="144">
        <v>0</v>
      </c>
      <c r="AT13" s="781">
        <v>0</v>
      </c>
      <c r="AU13" s="782">
        <v>0</v>
      </c>
      <c r="AV13" s="344"/>
      <c r="AW13" s="137">
        <v>0</v>
      </c>
      <c r="AX13" s="137">
        <v>0</v>
      </c>
      <c r="AY13" s="137">
        <v>0</v>
      </c>
    </row>
    <row r="14" spans="1:51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0</v>
      </c>
      <c r="S14" s="136"/>
      <c r="T14" s="136"/>
      <c r="U14" s="140"/>
      <c r="V14" s="139"/>
      <c r="W14" s="137"/>
      <c r="X14" s="139"/>
      <c r="Y14" s="136"/>
      <c r="Z14" s="139"/>
      <c r="AA14" s="136"/>
      <c r="AB14" s="136"/>
      <c r="AC14" s="139"/>
      <c r="AD14" s="142"/>
      <c r="AE14" s="143"/>
      <c r="AF14" s="144"/>
      <c r="AG14" s="135"/>
      <c r="AH14" s="143"/>
      <c r="AI14" s="135"/>
      <c r="AJ14" s="145"/>
      <c r="AK14" s="146"/>
      <c r="AL14" s="144">
        <v>0</v>
      </c>
      <c r="AM14" s="147"/>
      <c r="AN14" s="144"/>
      <c r="AO14" s="136"/>
      <c r="AP14" s="144"/>
      <c r="AQ14" s="145"/>
      <c r="AR14" s="145"/>
      <c r="AS14" s="144">
        <v>0</v>
      </c>
      <c r="AT14" s="781">
        <v>0</v>
      </c>
      <c r="AU14" s="782">
        <v>0</v>
      </c>
      <c r="AV14" s="344"/>
      <c r="AW14" s="137">
        <v>0</v>
      </c>
      <c r="AX14" s="137">
        <v>0</v>
      </c>
      <c r="AY14" s="137">
        <v>0</v>
      </c>
    </row>
    <row r="15" spans="1:51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0</v>
      </c>
      <c r="S15" s="136"/>
      <c r="T15" s="136"/>
      <c r="U15" s="140"/>
      <c r="V15" s="139"/>
      <c r="W15" s="137"/>
      <c r="X15" s="139"/>
      <c r="Y15" s="136"/>
      <c r="Z15" s="139"/>
      <c r="AA15" s="136"/>
      <c r="AB15" s="136"/>
      <c r="AC15" s="139"/>
      <c r="AD15" s="142"/>
      <c r="AE15" s="143"/>
      <c r="AF15" s="144"/>
      <c r="AG15" s="135"/>
      <c r="AH15" s="143"/>
      <c r="AI15" s="135"/>
      <c r="AJ15" s="145"/>
      <c r="AK15" s="146"/>
      <c r="AL15" s="144">
        <v>0</v>
      </c>
      <c r="AM15" s="147"/>
      <c r="AN15" s="144"/>
      <c r="AO15" s="136"/>
      <c r="AP15" s="144"/>
      <c r="AQ15" s="145"/>
      <c r="AR15" s="145"/>
      <c r="AS15" s="144">
        <v>0</v>
      </c>
      <c r="AT15" s="781">
        <v>0</v>
      </c>
      <c r="AU15" s="782">
        <v>0</v>
      </c>
      <c r="AV15" s="344"/>
      <c r="AW15" s="137">
        <v>0</v>
      </c>
      <c r="AX15" s="137">
        <v>0</v>
      </c>
      <c r="AY15" s="137">
        <v>0</v>
      </c>
    </row>
    <row r="16" spans="1:51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0</v>
      </c>
      <c r="S16" s="150"/>
      <c r="T16" s="150"/>
      <c r="U16" s="154"/>
      <c r="V16" s="153"/>
      <c r="W16" s="151"/>
      <c r="X16" s="153"/>
      <c r="Y16" s="150"/>
      <c r="Z16" s="153"/>
      <c r="AA16" s="156"/>
      <c r="AB16" s="150"/>
      <c r="AC16" s="157"/>
      <c r="AD16" s="157"/>
      <c r="AE16" s="158"/>
      <c r="AF16" s="159"/>
      <c r="AG16" s="149"/>
      <c r="AH16" s="158"/>
      <c r="AI16" s="149"/>
      <c r="AJ16" s="160"/>
      <c r="AK16" s="161"/>
      <c r="AL16" s="159">
        <v>0</v>
      </c>
      <c r="AM16" s="162"/>
      <c r="AN16" s="159"/>
      <c r="AO16" s="150"/>
      <c r="AP16" s="159"/>
      <c r="AQ16" s="160"/>
      <c r="AR16" s="160"/>
      <c r="AS16" s="159">
        <v>0</v>
      </c>
      <c r="AT16" s="783">
        <v>0</v>
      </c>
      <c r="AU16" s="784">
        <v>0</v>
      </c>
      <c r="AV16" s="344"/>
      <c r="AW16" s="151">
        <v>0</v>
      </c>
      <c r="AX16" s="151">
        <v>0</v>
      </c>
      <c r="AY16" s="151">
        <v>0</v>
      </c>
    </row>
    <row r="17" spans="1:51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0</v>
      </c>
      <c r="S17" s="118"/>
      <c r="T17" s="118"/>
      <c r="U17" s="122"/>
      <c r="V17" s="121"/>
      <c r="W17" s="119"/>
      <c r="X17" s="121"/>
      <c r="Y17" s="118"/>
      <c r="Z17" s="121"/>
      <c r="AA17" s="118"/>
      <c r="AB17" s="118"/>
      <c r="AC17" s="121"/>
      <c r="AD17" s="123"/>
      <c r="AE17" s="124"/>
      <c r="AF17" s="125"/>
      <c r="AG17" s="117"/>
      <c r="AH17" s="124"/>
      <c r="AI17" s="117"/>
      <c r="AJ17" s="126"/>
      <c r="AK17" s="127"/>
      <c r="AL17" s="125">
        <v>0</v>
      </c>
      <c r="AM17" s="128"/>
      <c r="AN17" s="125"/>
      <c r="AO17" s="118"/>
      <c r="AP17" s="125"/>
      <c r="AQ17" s="126"/>
      <c r="AR17" s="126"/>
      <c r="AS17" s="125">
        <v>0</v>
      </c>
      <c r="AT17" s="779">
        <v>0</v>
      </c>
      <c r="AU17" s="780">
        <v>0</v>
      </c>
      <c r="AV17" s="344"/>
      <c r="AW17" s="119">
        <v>0</v>
      </c>
      <c r="AX17" s="119">
        <v>0</v>
      </c>
      <c r="AY17" s="119">
        <v>0</v>
      </c>
    </row>
    <row r="18" spans="1:51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0</v>
      </c>
      <c r="S18" s="136"/>
      <c r="T18" s="136"/>
      <c r="U18" s="140"/>
      <c r="V18" s="139"/>
      <c r="W18" s="137"/>
      <c r="X18" s="139"/>
      <c r="Y18" s="136"/>
      <c r="Z18" s="139"/>
      <c r="AA18" s="136"/>
      <c r="AB18" s="136"/>
      <c r="AC18" s="139"/>
      <c r="AD18" s="142"/>
      <c r="AE18" s="143"/>
      <c r="AF18" s="144"/>
      <c r="AG18" s="135"/>
      <c r="AH18" s="143"/>
      <c r="AI18" s="135"/>
      <c r="AJ18" s="145"/>
      <c r="AK18" s="146"/>
      <c r="AL18" s="144">
        <v>0</v>
      </c>
      <c r="AM18" s="147"/>
      <c r="AN18" s="144"/>
      <c r="AO18" s="136"/>
      <c r="AP18" s="144"/>
      <c r="AQ18" s="145"/>
      <c r="AR18" s="145"/>
      <c r="AS18" s="144">
        <v>0</v>
      </c>
      <c r="AT18" s="781">
        <v>0</v>
      </c>
      <c r="AU18" s="782">
        <v>0</v>
      </c>
      <c r="AV18" s="344"/>
      <c r="AW18" s="137">
        <v>0</v>
      </c>
      <c r="AX18" s="137">
        <v>0</v>
      </c>
      <c r="AY18" s="137">
        <v>0</v>
      </c>
    </row>
    <row r="19" spans="1:51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0</v>
      </c>
      <c r="S19" s="136"/>
      <c r="T19" s="136"/>
      <c r="U19" s="140"/>
      <c r="V19" s="139"/>
      <c r="W19" s="137"/>
      <c r="X19" s="139"/>
      <c r="Y19" s="136"/>
      <c r="Z19" s="139"/>
      <c r="AA19" s="136"/>
      <c r="AB19" s="136"/>
      <c r="AC19" s="139"/>
      <c r="AD19" s="142"/>
      <c r="AE19" s="143"/>
      <c r="AF19" s="144"/>
      <c r="AG19" s="135"/>
      <c r="AH19" s="143"/>
      <c r="AI19" s="135"/>
      <c r="AJ19" s="145"/>
      <c r="AK19" s="146"/>
      <c r="AL19" s="144">
        <v>0</v>
      </c>
      <c r="AM19" s="147"/>
      <c r="AN19" s="144"/>
      <c r="AO19" s="136"/>
      <c r="AP19" s="144"/>
      <c r="AQ19" s="145"/>
      <c r="AR19" s="145"/>
      <c r="AS19" s="144">
        <v>0</v>
      </c>
      <c r="AT19" s="781">
        <v>0</v>
      </c>
      <c r="AU19" s="782">
        <v>0</v>
      </c>
      <c r="AV19" s="344"/>
      <c r="AW19" s="137">
        <v>0</v>
      </c>
      <c r="AX19" s="137">
        <v>0</v>
      </c>
      <c r="AY19" s="137">
        <v>0</v>
      </c>
    </row>
    <row r="20" spans="1:51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0</v>
      </c>
      <c r="S20" s="136"/>
      <c r="T20" s="136"/>
      <c r="U20" s="140"/>
      <c r="V20" s="139"/>
      <c r="W20" s="137"/>
      <c r="X20" s="139"/>
      <c r="Y20" s="136"/>
      <c r="Z20" s="139"/>
      <c r="AA20" s="136"/>
      <c r="AB20" s="136"/>
      <c r="AC20" s="139"/>
      <c r="AD20" s="142"/>
      <c r="AE20" s="143"/>
      <c r="AF20" s="144"/>
      <c r="AG20" s="135"/>
      <c r="AH20" s="143"/>
      <c r="AI20" s="135"/>
      <c r="AJ20" s="145"/>
      <c r="AK20" s="146"/>
      <c r="AL20" s="144">
        <v>0</v>
      </c>
      <c r="AM20" s="147"/>
      <c r="AN20" s="144"/>
      <c r="AO20" s="136"/>
      <c r="AP20" s="144"/>
      <c r="AQ20" s="145"/>
      <c r="AR20" s="145"/>
      <c r="AS20" s="144">
        <v>0</v>
      </c>
      <c r="AT20" s="781">
        <v>0</v>
      </c>
      <c r="AU20" s="782">
        <v>0</v>
      </c>
      <c r="AV20" s="344"/>
      <c r="AW20" s="137">
        <v>0</v>
      </c>
      <c r="AX20" s="137">
        <v>0</v>
      </c>
      <c r="AY20" s="137">
        <v>0</v>
      </c>
    </row>
    <row r="21" spans="1:51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0</v>
      </c>
      <c r="S21" s="150"/>
      <c r="T21" s="150"/>
      <c r="U21" s="154"/>
      <c r="V21" s="153"/>
      <c r="W21" s="151"/>
      <c r="X21" s="153"/>
      <c r="Y21" s="150"/>
      <c r="Z21" s="153"/>
      <c r="AA21" s="156"/>
      <c r="AB21" s="150"/>
      <c r="AC21" s="157"/>
      <c r="AD21" s="157"/>
      <c r="AE21" s="158"/>
      <c r="AF21" s="159"/>
      <c r="AG21" s="149"/>
      <c r="AH21" s="158"/>
      <c r="AI21" s="149"/>
      <c r="AJ21" s="160"/>
      <c r="AK21" s="161"/>
      <c r="AL21" s="159">
        <v>0</v>
      </c>
      <c r="AM21" s="162"/>
      <c r="AN21" s="159"/>
      <c r="AO21" s="150"/>
      <c r="AP21" s="159"/>
      <c r="AQ21" s="160"/>
      <c r="AR21" s="160"/>
      <c r="AS21" s="159">
        <v>0</v>
      </c>
      <c r="AT21" s="783">
        <v>0</v>
      </c>
      <c r="AU21" s="784">
        <v>0</v>
      </c>
      <c r="AV21" s="344"/>
      <c r="AW21" s="151">
        <v>0</v>
      </c>
      <c r="AX21" s="151">
        <v>0</v>
      </c>
      <c r="AY21" s="151">
        <v>0</v>
      </c>
    </row>
    <row r="22" spans="1:51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0</v>
      </c>
      <c r="S22" s="118"/>
      <c r="T22" s="118"/>
      <c r="U22" s="122"/>
      <c r="V22" s="121"/>
      <c r="W22" s="119"/>
      <c r="X22" s="121"/>
      <c r="Y22" s="118"/>
      <c r="Z22" s="121"/>
      <c r="AA22" s="118"/>
      <c r="AB22" s="118"/>
      <c r="AC22" s="121"/>
      <c r="AD22" s="123"/>
      <c r="AE22" s="124"/>
      <c r="AF22" s="125"/>
      <c r="AG22" s="117"/>
      <c r="AH22" s="124"/>
      <c r="AI22" s="117"/>
      <c r="AJ22" s="126"/>
      <c r="AK22" s="127"/>
      <c r="AL22" s="125">
        <v>0</v>
      </c>
      <c r="AM22" s="128"/>
      <c r="AN22" s="125"/>
      <c r="AO22" s="118"/>
      <c r="AP22" s="125"/>
      <c r="AQ22" s="126"/>
      <c r="AR22" s="126"/>
      <c r="AS22" s="125">
        <v>0</v>
      </c>
      <c r="AT22" s="779">
        <v>0</v>
      </c>
      <c r="AU22" s="780">
        <v>0</v>
      </c>
      <c r="AV22" s="344"/>
      <c r="AW22" s="119">
        <v>0</v>
      </c>
      <c r="AX22" s="119">
        <v>0</v>
      </c>
      <c r="AY22" s="119">
        <v>0</v>
      </c>
    </row>
    <row r="23" spans="1:51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0</v>
      </c>
      <c r="S23" s="136"/>
      <c r="T23" s="136"/>
      <c r="U23" s="140"/>
      <c r="V23" s="139"/>
      <c r="W23" s="137"/>
      <c r="X23" s="139"/>
      <c r="Y23" s="136"/>
      <c r="Z23" s="139"/>
      <c r="AA23" s="136"/>
      <c r="AB23" s="136"/>
      <c r="AC23" s="139"/>
      <c r="AD23" s="142"/>
      <c r="AE23" s="143"/>
      <c r="AF23" s="144"/>
      <c r="AG23" s="135"/>
      <c r="AH23" s="143"/>
      <c r="AI23" s="135"/>
      <c r="AJ23" s="145"/>
      <c r="AK23" s="146"/>
      <c r="AL23" s="144">
        <v>0</v>
      </c>
      <c r="AM23" s="147"/>
      <c r="AN23" s="144"/>
      <c r="AO23" s="136"/>
      <c r="AP23" s="144"/>
      <c r="AQ23" s="145"/>
      <c r="AR23" s="145"/>
      <c r="AS23" s="144">
        <v>0</v>
      </c>
      <c r="AT23" s="781">
        <v>0</v>
      </c>
      <c r="AU23" s="782">
        <v>0</v>
      </c>
      <c r="AV23" s="344"/>
      <c r="AW23" s="137">
        <v>0</v>
      </c>
      <c r="AX23" s="137">
        <v>0</v>
      </c>
      <c r="AY23" s="137">
        <v>0</v>
      </c>
    </row>
    <row r="24" spans="1:51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0</v>
      </c>
      <c r="S24" s="136"/>
      <c r="T24" s="136"/>
      <c r="U24" s="140"/>
      <c r="V24" s="139"/>
      <c r="W24" s="137"/>
      <c r="X24" s="139"/>
      <c r="Y24" s="136"/>
      <c r="Z24" s="139"/>
      <c r="AA24" s="136"/>
      <c r="AB24" s="136"/>
      <c r="AC24" s="139"/>
      <c r="AD24" s="142"/>
      <c r="AE24" s="143"/>
      <c r="AF24" s="144"/>
      <c r="AG24" s="135"/>
      <c r="AH24" s="143"/>
      <c r="AI24" s="135"/>
      <c r="AJ24" s="145"/>
      <c r="AK24" s="146"/>
      <c r="AL24" s="144">
        <v>0</v>
      </c>
      <c r="AM24" s="147"/>
      <c r="AN24" s="144"/>
      <c r="AO24" s="136"/>
      <c r="AP24" s="144"/>
      <c r="AQ24" s="145"/>
      <c r="AR24" s="145"/>
      <c r="AS24" s="144">
        <v>0</v>
      </c>
      <c r="AT24" s="781">
        <v>0</v>
      </c>
      <c r="AU24" s="782">
        <v>0</v>
      </c>
      <c r="AV24" s="344"/>
      <c r="AW24" s="137">
        <v>0</v>
      </c>
      <c r="AX24" s="137">
        <v>0</v>
      </c>
      <c r="AY24" s="137">
        <v>0</v>
      </c>
    </row>
    <row r="25" spans="1:51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0</v>
      </c>
      <c r="S25" s="136"/>
      <c r="T25" s="136"/>
      <c r="U25" s="140"/>
      <c r="V25" s="139"/>
      <c r="W25" s="137"/>
      <c r="X25" s="139"/>
      <c r="Y25" s="136"/>
      <c r="Z25" s="139"/>
      <c r="AA25" s="136"/>
      <c r="AB25" s="136"/>
      <c r="AC25" s="139"/>
      <c r="AD25" s="142"/>
      <c r="AE25" s="143"/>
      <c r="AF25" s="144"/>
      <c r="AG25" s="135"/>
      <c r="AH25" s="143"/>
      <c r="AI25" s="135"/>
      <c r="AJ25" s="145"/>
      <c r="AK25" s="146"/>
      <c r="AL25" s="144">
        <v>0</v>
      </c>
      <c r="AM25" s="147"/>
      <c r="AN25" s="144"/>
      <c r="AO25" s="136"/>
      <c r="AP25" s="144"/>
      <c r="AQ25" s="145"/>
      <c r="AR25" s="145"/>
      <c r="AS25" s="144">
        <v>0</v>
      </c>
      <c r="AT25" s="781">
        <v>0</v>
      </c>
      <c r="AU25" s="782">
        <v>0</v>
      </c>
      <c r="AV25" s="344"/>
      <c r="AW25" s="137">
        <v>0</v>
      </c>
      <c r="AX25" s="137">
        <v>0</v>
      </c>
      <c r="AY25" s="137">
        <v>0</v>
      </c>
    </row>
    <row r="26" spans="1:51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0</v>
      </c>
      <c r="S26" s="150"/>
      <c r="T26" s="150"/>
      <c r="U26" s="154"/>
      <c r="V26" s="153"/>
      <c r="W26" s="151"/>
      <c r="X26" s="153"/>
      <c r="Y26" s="150"/>
      <c r="Z26" s="153"/>
      <c r="AA26" s="156"/>
      <c r="AB26" s="150"/>
      <c r="AC26" s="157"/>
      <c r="AD26" s="157"/>
      <c r="AE26" s="158"/>
      <c r="AF26" s="159"/>
      <c r="AG26" s="149"/>
      <c r="AH26" s="158"/>
      <c r="AI26" s="149"/>
      <c r="AJ26" s="160"/>
      <c r="AK26" s="161"/>
      <c r="AL26" s="159">
        <v>0</v>
      </c>
      <c r="AM26" s="162"/>
      <c r="AN26" s="159"/>
      <c r="AO26" s="150"/>
      <c r="AP26" s="159"/>
      <c r="AQ26" s="160"/>
      <c r="AR26" s="160"/>
      <c r="AS26" s="159">
        <v>0</v>
      </c>
      <c r="AT26" s="783">
        <v>0</v>
      </c>
      <c r="AU26" s="784">
        <v>0</v>
      </c>
      <c r="AV26" s="344"/>
      <c r="AW26" s="151">
        <v>0</v>
      </c>
      <c r="AX26" s="151">
        <v>0</v>
      </c>
      <c r="AY26" s="151">
        <v>0</v>
      </c>
    </row>
    <row r="27" spans="1:51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0</v>
      </c>
      <c r="S27" s="118"/>
      <c r="T27" s="118"/>
      <c r="U27" s="122"/>
      <c r="V27" s="121"/>
      <c r="W27" s="119"/>
      <c r="X27" s="121"/>
      <c r="Y27" s="118"/>
      <c r="Z27" s="121"/>
      <c r="AA27" s="118"/>
      <c r="AB27" s="118"/>
      <c r="AC27" s="121"/>
      <c r="AD27" s="123"/>
      <c r="AE27" s="124"/>
      <c r="AF27" s="125"/>
      <c r="AG27" s="117"/>
      <c r="AH27" s="124"/>
      <c r="AI27" s="117"/>
      <c r="AJ27" s="126"/>
      <c r="AK27" s="127"/>
      <c r="AL27" s="125">
        <v>0</v>
      </c>
      <c r="AM27" s="128"/>
      <c r="AN27" s="125"/>
      <c r="AO27" s="118"/>
      <c r="AP27" s="125"/>
      <c r="AQ27" s="126"/>
      <c r="AR27" s="126"/>
      <c r="AS27" s="125">
        <v>0</v>
      </c>
      <c r="AT27" s="779">
        <v>0</v>
      </c>
      <c r="AU27" s="780">
        <v>0</v>
      </c>
      <c r="AV27" s="344"/>
      <c r="AW27" s="119">
        <v>0</v>
      </c>
      <c r="AX27" s="119">
        <v>0</v>
      </c>
      <c r="AY27" s="119">
        <v>0</v>
      </c>
    </row>
    <row r="28" spans="1:51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0</v>
      </c>
      <c r="S28" s="136"/>
      <c r="T28" s="136"/>
      <c r="U28" s="140"/>
      <c r="V28" s="139"/>
      <c r="W28" s="137"/>
      <c r="X28" s="139"/>
      <c r="Y28" s="136"/>
      <c r="Z28" s="139"/>
      <c r="AA28" s="136"/>
      <c r="AB28" s="136"/>
      <c r="AC28" s="139"/>
      <c r="AD28" s="142"/>
      <c r="AE28" s="143"/>
      <c r="AF28" s="144"/>
      <c r="AG28" s="135"/>
      <c r="AH28" s="143"/>
      <c r="AI28" s="135"/>
      <c r="AJ28" s="145"/>
      <c r="AK28" s="146"/>
      <c r="AL28" s="144">
        <v>0</v>
      </c>
      <c r="AM28" s="147"/>
      <c r="AN28" s="144"/>
      <c r="AO28" s="136"/>
      <c r="AP28" s="144"/>
      <c r="AQ28" s="145"/>
      <c r="AR28" s="145"/>
      <c r="AS28" s="144">
        <v>0</v>
      </c>
      <c r="AT28" s="781">
        <v>0</v>
      </c>
      <c r="AU28" s="782">
        <v>0</v>
      </c>
      <c r="AV28" s="344"/>
      <c r="AW28" s="137">
        <v>0</v>
      </c>
      <c r="AX28" s="137">
        <v>0</v>
      </c>
      <c r="AY28" s="137">
        <v>0</v>
      </c>
    </row>
    <row r="29" spans="1:51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0</v>
      </c>
      <c r="S29" s="136"/>
      <c r="T29" s="136"/>
      <c r="U29" s="140"/>
      <c r="V29" s="139"/>
      <c r="W29" s="137"/>
      <c r="X29" s="139"/>
      <c r="Y29" s="136"/>
      <c r="Z29" s="139"/>
      <c r="AA29" s="136"/>
      <c r="AB29" s="136"/>
      <c r="AC29" s="139"/>
      <c r="AD29" s="142"/>
      <c r="AE29" s="143"/>
      <c r="AF29" s="144"/>
      <c r="AG29" s="135"/>
      <c r="AH29" s="143"/>
      <c r="AI29" s="135"/>
      <c r="AJ29" s="145"/>
      <c r="AK29" s="146"/>
      <c r="AL29" s="144">
        <v>0</v>
      </c>
      <c r="AM29" s="147"/>
      <c r="AN29" s="144"/>
      <c r="AO29" s="136"/>
      <c r="AP29" s="144"/>
      <c r="AQ29" s="145"/>
      <c r="AR29" s="145"/>
      <c r="AS29" s="144">
        <v>0</v>
      </c>
      <c r="AT29" s="781">
        <v>0</v>
      </c>
      <c r="AU29" s="782">
        <v>0</v>
      </c>
      <c r="AV29" s="344"/>
      <c r="AW29" s="137">
        <v>0</v>
      </c>
      <c r="AX29" s="137">
        <v>0</v>
      </c>
      <c r="AY29" s="137">
        <v>0</v>
      </c>
    </row>
    <row r="30" spans="1:51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0</v>
      </c>
      <c r="S30" s="136"/>
      <c r="T30" s="136"/>
      <c r="U30" s="140"/>
      <c r="V30" s="139"/>
      <c r="W30" s="137"/>
      <c r="X30" s="139"/>
      <c r="Y30" s="136"/>
      <c r="Z30" s="139"/>
      <c r="AA30" s="136"/>
      <c r="AB30" s="136"/>
      <c r="AC30" s="139"/>
      <c r="AD30" s="142"/>
      <c r="AE30" s="143"/>
      <c r="AF30" s="144"/>
      <c r="AG30" s="135"/>
      <c r="AH30" s="143"/>
      <c r="AI30" s="135"/>
      <c r="AJ30" s="145"/>
      <c r="AK30" s="146"/>
      <c r="AL30" s="144">
        <v>0</v>
      </c>
      <c r="AM30" s="147"/>
      <c r="AN30" s="144"/>
      <c r="AO30" s="136"/>
      <c r="AP30" s="144"/>
      <c r="AQ30" s="145"/>
      <c r="AR30" s="145"/>
      <c r="AS30" s="144">
        <v>0</v>
      </c>
      <c r="AT30" s="781">
        <v>0</v>
      </c>
      <c r="AU30" s="782">
        <v>0</v>
      </c>
      <c r="AV30" s="344"/>
      <c r="AW30" s="137">
        <v>0</v>
      </c>
      <c r="AX30" s="137">
        <v>0</v>
      </c>
      <c r="AY30" s="137">
        <v>0</v>
      </c>
    </row>
    <row r="31" spans="1:51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0</v>
      </c>
      <c r="S31" s="150"/>
      <c r="T31" s="150"/>
      <c r="U31" s="154"/>
      <c r="V31" s="153"/>
      <c r="W31" s="151"/>
      <c r="X31" s="153"/>
      <c r="Y31" s="150"/>
      <c r="Z31" s="153"/>
      <c r="AA31" s="156"/>
      <c r="AB31" s="150"/>
      <c r="AC31" s="157"/>
      <c r="AD31" s="157"/>
      <c r="AE31" s="158"/>
      <c r="AF31" s="159"/>
      <c r="AG31" s="149"/>
      <c r="AH31" s="158"/>
      <c r="AI31" s="149"/>
      <c r="AJ31" s="160"/>
      <c r="AK31" s="161"/>
      <c r="AL31" s="159">
        <v>0</v>
      </c>
      <c r="AM31" s="162"/>
      <c r="AN31" s="159"/>
      <c r="AO31" s="150"/>
      <c r="AP31" s="159"/>
      <c r="AQ31" s="160"/>
      <c r="AR31" s="160"/>
      <c r="AS31" s="159">
        <v>0</v>
      </c>
      <c r="AT31" s="783">
        <v>0</v>
      </c>
      <c r="AU31" s="784">
        <v>0</v>
      </c>
      <c r="AV31" s="344"/>
      <c r="AW31" s="151">
        <v>0</v>
      </c>
      <c r="AX31" s="151">
        <v>0</v>
      </c>
      <c r="AY31" s="151">
        <v>0</v>
      </c>
    </row>
    <row r="32" spans="1:51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0</v>
      </c>
      <c r="S32" s="118"/>
      <c r="T32" s="118"/>
      <c r="U32" s="122"/>
      <c r="V32" s="121"/>
      <c r="W32" s="119"/>
      <c r="X32" s="121"/>
      <c r="Y32" s="118"/>
      <c r="Z32" s="121"/>
      <c r="AA32" s="118"/>
      <c r="AB32" s="118"/>
      <c r="AC32" s="121"/>
      <c r="AD32" s="123"/>
      <c r="AE32" s="124"/>
      <c r="AF32" s="125"/>
      <c r="AG32" s="117"/>
      <c r="AH32" s="124"/>
      <c r="AI32" s="117"/>
      <c r="AJ32" s="126"/>
      <c r="AK32" s="127"/>
      <c r="AL32" s="125">
        <v>0</v>
      </c>
      <c r="AM32" s="128"/>
      <c r="AN32" s="125"/>
      <c r="AO32" s="118"/>
      <c r="AP32" s="125"/>
      <c r="AQ32" s="126"/>
      <c r="AR32" s="126"/>
      <c r="AS32" s="125">
        <v>0</v>
      </c>
      <c r="AT32" s="779">
        <v>0</v>
      </c>
      <c r="AU32" s="780">
        <v>0</v>
      </c>
      <c r="AV32" s="344"/>
      <c r="AW32" s="119">
        <v>0</v>
      </c>
      <c r="AX32" s="119">
        <v>0</v>
      </c>
      <c r="AY32" s="119">
        <v>0</v>
      </c>
    </row>
    <row r="33" spans="1:51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0</v>
      </c>
      <c r="S33" s="136"/>
      <c r="T33" s="136"/>
      <c r="U33" s="140"/>
      <c r="V33" s="139"/>
      <c r="W33" s="137"/>
      <c r="X33" s="139"/>
      <c r="Y33" s="136"/>
      <c r="Z33" s="139"/>
      <c r="AA33" s="136"/>
      <c r="AB33" s="136"/>
      <c r="AC33" s="139"/>
      <c r="AD33" s="142"/>
      <c r="AE33" s="143"/>
      <c r="AF33" s="144"/>
      <c r="AG33" s="135"/>
      <c r="AH33" s="143"/>
      <c r="AI33" s="135"/>
      <c r="AJ33" s="145"/>
      <c r="AK33" s="146"/>
      <c r="AL33" s="144">
        <v>0</v>
      </c>
      <c r="AM33" s="147"/>
      <c r="AN33" s="144"/>
      <c r="AO33" s="136"/>
      <c r="AP33" s="144"/>
      <c r="AQ33" s="145"/>
      <c r="AR33" s="145"/>
      <c r="AS33" s="144">
        <v>0</v>
      </c>
      <c r="AT33" s="781">
        <v>0</v>
      </c>
      <c r="AU33" s="782">
        <v>0</v>
      </c>
      <c r="AV33" s="344"/>
      <c r="AW33" s="137">
        <v>0</v>
      </c>
      <c r="AX33" s="137">
        <v>0</v>
      </c>
      <c r="AY33" s="137">
        <v>0</v>
      </c>
    </row>
    <row r="34" spans="1:51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0</v>
      </c>
      <c r="S34" s="136"/>
      <c r="T34" s="136"/>
      <c r="U34" s="140"/>
      <c r="V34" s="139"/>
      <c r="W34" s="137"/>
      <c r="X34" s="139"/>
      <c r="Y34" s="136"/>
      <c r="Z34" s="139"/>
      <c r="AA34" s="136"/>
      <c r="AB34" s="136"/>
      <c r="AC34" s="139"/>
      <c r="AD34" s="142"/>
      <c r="AE34" s="143"/>
      <c r="AF34" s="144"/>
      <c r="AG34" s="135"/>
      <c r="AH34" s="143"/>
      <c r="AI34" s="135"/>
      <c r="AJ34" s="145"/>
      <c r="AK34" s="146"/>
      <c r="AL34" s="144">
        <v>0</v>
      </c>
      <c r="AM34" s="147"/>
      <c r="AN34" s="144"/>
      <c r="AO34" s="136"/>
      <c r="AP34" s="144"/>
      <c r="AQ34" s="145"/>
      <c r="AR34" s="145"/>
      <c r="AS34" s="144">
        <v>0</v>
      </c>
      <c r="AT34" s="781">
        <v>0</v>
      </c>
      <c r="AU34" s="782">
        <v>0</v>
      </c>
      <c r="AV34" s="344"/>
      <c r="AW34" s="137">
        <v>0</v>
      </c>
      <c r="AX34" s="137">
        <v>0</v>
      </c>
      <c r="AY34" s="137">
        <v>0</v>
      </c>
    </row>
    <row r="35" spans="1:51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0</v>
      </c>
      <c r="S35" s="136"/>
      <c r="T35" s="136"/>
      <c r="U35" s="140"/>
      <c r="V35" s="139"/>
      <c r="W35" s="137"/>
      <c r="X35" s="139"/>
      <c r="Y35" s="136"/>
      <c r="Z35" s="139"/>
      <c r="AA35" s="136"/>
      <c r="AB35" s="136"/>
      <c r="AC35" s="139"/>
      <c r="AD35" s="142"/>
      <c r="AE35" s="143"/>
      <c r="AF35" s="144"/>
      <c r="AG35" s="135"/>
      <c r="AH35" s="143"/>
      <c r="AI35" s="135"/>
      <c r="AJ35" s="145"/>
      <c r="AK35" s="146"/>
      <c r="AL35" s="144">
        <v>0</v>
      </c>
      <c r="AM35" s="147"/>
      <c r="AN35" s="144"/>
      <c r="AO35" s="136"/>
      <c r="AP35" s="144"/>
      <c r="AQ35" s="145"/>
      <c r="AR35" s="145"/>
      <c r="AS35" s="144">
        <v>0</v>
      </c>
      <c r="AT35" s="781">
        <v>0</v>
      </c>
      <c r="AU35" s="782">
        <v>0</v>
      </c>
      <c r="AV35" s="344"/>
      <c r="AW35" s="137">
        <v>0</v>
      </c>
      <c r="AX35" s="137">
        <v>0</v>
      </c>
      <c r="AY35" s="137">
        <v>0</v>
      </c>
    </row>
    <row r="36" spans="1:51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0"/>
      <c r="T36" s="150"/>
      <c r="U36" s="154"/>
      <c r="V36" s="153"/>
      <c r="W36" s="151"/>
      <c r="X36" s="153"/>
      <c r="Y36" s="150"/>
      <c r="Z36" s="153"/>
      <c r="AA36" s="156"/>
      <c r="AB36" s="150"/>
      <c r="AC36" s="157"/>
      <c r="AD36" s="157"/>
      <c r="AE36" s="158"/>
      <c r="AF36" s="159"/>
      <c r="AG36" s="149"/>
      <c r="AH36" s="158"/>
      <c r="AI36" s="149"/>
      <c r="AJ36" s="160"/>
      <c r="AK36" s="161"/>
      <c r="AL36" s="159">
        <v>0</v>
      </c>
      <c r="AM36" s="162"/>
      <c r="AN36" s="159"/>
      <c r="AO36" s="150"/>
      <c r="AP36" s="159"/>
      <c r="AQ36" s="160"/>
      <c r="AR36" s="160"/>
      <c r="AS36" s="159">
        <v>0</v>
      </c>
      <c r="AT36" s="783">
        <v>0</v>
      </c>
      <c r="AU36" s="784">
        <v>0</v>
      </c>
      <c r="AV36" s="344"/>
      <c r="AW36" s="151">
        <v>0</v>
      </c>
      <c r="AX36" s="151">
        <v>0</v>
      </c>
      <c r="AY36" s="151">
        <v>0</v>
      </c>
    </row>
    <row r="37" spans="1:51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0</v>
      </c>
      <c r="S37" s="118"/>
      <c r="T37" s="118"/>
      <c r="U37" s="122"/>
      <c r="V37" s="121"/>
      <c r="W37" s="119"/>
      <c r="X37" s="121"/>
      <c r="Y37" s="118"/>
      <c r="Z37" s="121"/>
      <c r="AA37" s="118"/>
      <c r="AB37" s="118"/>
      <c r="AC37" s="121"/>
      <c r="AD37" s="123"/>
      <c r="AE37" s="124"/>
      <c r="AF37" s="125"/>
      <c r="AG37" s="117"/>
      <c r="AH37" s="124"/>
      <c r="AI37" s="117"/>
      <c r="AJ37" s="126"/>
      <c r="AK37" s="127"/>
      <c r="AL37" s="125">
        <v>0</v>
      </c>
      <c r="AM37" s="128"/>
      <c r="AN37" s="125"/>
      <c r="AO37" s="118"/>
      <c r="AP37" s="125"/>
      <c r="AQ37" s="126"/>
      <c r="AR37" s="126"/>
      <c r="AS37" s="125">
        <v>0</v>
      </c>
      <c r="AT37" s="779">
        <v>0</v>
      </c>
      <c r="AU37" s="780">
        <v>0</v>
      </c>
      <c r="AV37" s="344"/>
      <c r="AW37" s="119">
        <v>0</v>
      </c>
      <c r="AX37" s="119">
        <v>0</v>
      </c>
      <c r="AY37" s="119">
        <v>0</v>
      </c>
    </row>
    <row r="38" spans="1:51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0</v>
      </c>
      <c r="S38" s="136"/>
      <c r="T38" s="136"/>
      <c r="U38" s="140"/>
      <c r="V38" s="139"/>
      <c r="W38" s="137"/>
      <c r="X38" s="139"/>
      <c r="Y38" s="136"/>
      <c r="Z38" s="139"/>
      <c r="AA38" s="136"/>
      <c r="AB38" s="136"/>
      <c r="AC38" s="139"/>
      <c r="AD38" s="142"/>
      <c r="AE38" s="143"/>
      <c r="AF38" s="144"/>
      <c r="AG38" s="135"/>
      <c r="AH38" s="143"/>
      <c r="AI38" s="135"/>
      <c r="AJ38" s="145"/>
      <c r="AK38" s="146"/>
      <c r="AL38" s="144">
        <v>0</v>
      </c>
      <c r="AM38" s="147"/>
      <c r="AN38" s="144"/>
      <c r="AO38" s="136"/>
      <c r="AP38" s="144"/>
      <c r="AQ38" s="145"/>
      <c r="AR38" s="145"/>
      <c r="AS38" s="144">
        <v>0</v>
      </c>
      <c r="AT38" s="781">
        <v>0</v>
      </c>
      <c r="AU38" s="782">
        <v>0</v>
      </c>
      <c r="AV38" s="344"/>
      <c r="AW38" s="137">
        <v>0</v>
      </c>
      <c r="AX38" s="137">
        <v>0</v>
      </c>
      <c r="AY38" s="137">
        <v>0</v>
      </c>
    </row>
    <row r="39" spans="1:51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0</v>
      </c>
      <c r="S39" s="136"/>
      <c r="T39" s="136"/>
      <c r="U39" s="140"/>
      <c r="V39" s="139"/>
      <c r="W39" s="137"/>
      <c r="X39" s="139"/>
      <c r="Y39" s="136"/>
      <c r="Z39" s="139"/>
      <c r="AA39" s="136"/>
      <c r="AB39" s="136"/>
      <c r="AC39" s="139"/>
      <c r="AD39" s="142"/>
      <c r="AE39" s="143"/>
      <c r="AF39" s="144"/>
      <c r="AG39" s="135"/>
      <c r="AH39" s="143"/>
      <c r="AI39" s="135"/>
      <c r="AJ39" s="145"/>
      <c r="AK39" s="146"/>
      <c r="AL39" s="144">
        <v>0</v>
      </c>
      <c r="AM39" s="147"/>
      <c r="AN39" s="144"/>
      <c r="AO39" s="136"/>
      <c r="AP39" s="144"/>
      <c r="AQ39" s="145"/>
      <c r="AR39" s="145"/>
      <c r="AS39" s="144">
        <v>0</v>
      </c>
      <c r="AT39" s="781">
        <v>0</v>
      </c>
      <c r="AU39" s="782">
        <v>0</v>
      </c>
      <c r="AV39" s="344"/>
      <c r="AW39" s="137">
        <v>0</v>
      </c>
      <c r="AX39" s="137">
        <v>0</v>
      </c>
      <c r="AY39" s="137">
        <v>0</v>
      </c>
    </row>
    <row r="40" spans="1:51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0</v>
      </c>
      <c r="S40" s="136"/>
      <c r="T40" s="136"/>
      <c r="U40" s="140"/>
      <c r="V40" s="139"/>
      <c r="W40" s="137"/>
      <c r="X40" s="139"/>
      <c r="Y40" s="136"/>
      <c r="Z40" s="139"/>
      <c r="AA40" s="136"/>
      <c r="AB40" s="136"/>
      <c r="AC40" s="139"/>
      <c r="AD40" s="142"/>
      <c r="AE40" s="143"/>
      <c r="AF40" s="144"/>
      <c r="AG40" s="135"/>
      <c r="AH40" s="143"/>
      <c r="AI40" s="135"/>
      <c r="AJ40" s="145"/>
      <c r="AK40" s="146"/>
      <c r="AL40" s="144">
        <v>0</v>
      </c>
      <c r="AM40" s="147"/>
      <c r="AN40" s="144"/>
      <c r="AO40" s="136"/>
      <c r="AP40" s="144"/>
      <c r="AQ40" s="145"/>
      <c r="AR40" s="145"/>
      <c r="AS40" s="144">
        <v>0</v>
      </c>
      <c r="AT40" s="781">
        <v>0</v>
      </c>
      <c r="AU40" s="782">
        <v>0</v>
      </c>
      <c r="AV40" s="344"/>
      <c r="AW40" s="137">
        <v>0</v>
      </c>
      <c r="AX40" s="137">
        <v>0</v>
      </c>
      <c r="AY40" s="137">
        <v>0</v>
      </c>
    </row>
    <row r="41" spans="1:51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0</v>
      </c>
      <c r="S41" s="150"/>
      <c r="T41" s="150"/>
      <c r="U41" s="154"/>
      <c r="V41" s="153"/>
      <c r="W41" s="151"/>
      <c r="X41" s="153"/>
      <c r="Y41" s="150"/>
      <c r="Z41" s="153"/>
      <c r="AA41" s="156"/>
      <c r="AB41" s="150"/>
      <c r="AC41" s="157"/>
      <c r="AD41" s="157"/>
      <c r="AE41" s="158"/>
      <c r="AF41" s="159"/>
      <c r="AG41" s="149"/>
      <c r="AH41" s="158"/>
      <c r="AI41" s="149"/>
      <c r="AJ41" s="160"/>
      <c r="AK41" s="161"/>
      <c r="AL41" s="159">
        <v>0</v>
      </c>
      <c r="AM41" s="162"/>
      <c r="AN41" s="159"/>
      <c r="AO41" s="150"/>
      <c r="AP41" s="159"/>
      <c r="AQ41" s="160"/>
      <c r="AR41" s="160"/>
      <c r="AS41" s="159">
        <v>0</v>
      </c>
      <c r="AT41" s="783">
        <v>0</v>
      </c>
      <c r="AU41" s="784">
        <v>0</v>
      </c>
      <c r="AV41" s="344"/>
      <c r="AW41" s="151">
        <v>0</v>
      </c>
      <c r="AX41" s="151">
        <v>0</v>
      </c>
      <c r="AY41" s="151">
        <v>0</v>
      </c>
    </row>
    <row r="42" spans="1:51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0</v>
      </c>
      <c r="S42" s="118"/>
      <c r="T42" s="118"/>
      <c r="U42" s="122"/>
      <c r="V42" s="121"/>
      <c r="W42" s="119"/>
      <c r="X42" s="121"/>
      <c r="Y42" s="118"/>
      <c r="Z42" s="121"/>
      <c r="AA42" s="118"/>
      <c r="AB42" s="118"/>
      <c r="AC42" s="121"/>
      <c r="AD42" s="123"/>
      <c r="AE42" s="124"/>
      <c r="AF42" s="125"/>
      <c r="AG42" s="117"/>
      <c r="AH42" s="124"/>
      <c r="AI42" s="117"/>
      <c r="AJ42" s="126"/>
      <c r="AK42" s="127"/>
      <c r="AL42" s="125">
        <v>0</v>
      </c>
      <c r="AM42" s="128"/>
      <c r="AN42" s="125"/>
      <c r="AO42" s="118"/>
      <c r="AP42" s="125"/>
      <c r="AQ42" s="126"/>
      <c r="AR42" s="126"/>
      <c r="AS42" s="125">
        <v>0</v>
      </c>
      <c r="AT42" s="779">
        <v>0</v>
      </c>
      <c r="AU42" s="780">
        <v>0</v>
      </c>
      <c r="AV42" s="344"/>
      <c r="AW42" s="119">
        <v>0</v>
      </c>
      <c r="AX42" s="119">
        <v>0</v>
      </c>
      <c r="AY42" s="119">
        <v>0</v>
      </c>
    </row>
    <row r="43" spans="1:51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0</v>
      </c>
      <c r="S43" s="136"/>
      <c r="T43" s="136"/>
      <c r="U43" s="140"/>
      <c r="V43" s="139"/>
      <c r="W43" s="137"/>
      <c r="X43" s="139"/>
      <c r="Y43" s="136"/>
      <c r="Z43" s="139"/>
      <c r="AA43" s="136"/>
      <c r="AB43" s="136"/>
      <c r="AC43" s="139"/>
      <c r="AD43" s="142"/>
      <c r="AE43" s="143"/>
      <c r="AF43" s="144"/>
      <c r="AG43" s="135"/>
      <c r="AH43" s="143"/>
      <c r="AI43" s="135"/>
      <c r="AJ43" s="145"/>
      <c r="AK43" s="146"/>
      <c r="AL43" s="144">
        <v>0</v>
      </c>
      <c r="AM43" s="147"/>
      <c r="AN43" s="144"/>
      <c r="AO43" s="136"/>
      <c r="AP43" s="144"/>
      <c r="AQ43" s="145"/>
      <c r="AR43" s="145"/>
      <c r="AS43" s="144">
        <v>0</v>
      </c>
      <c r="AT43" s="781">
        <v>0</v>
      </c>
      <c r="AU43" s="782">
        <v>0</v>
      </c>
      <c r="AV43" s="344"/>
      <c r="AW43" s="137">
        <v>0</v>
      </c>
      <c r="AX43" s="137">
        <v>0</v>
      </c>
      <c r="AY43" s="137">
        <v>0</v>
      </c>
    </row>
    <row r="44" spans="1:51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0</v>
      </c>
      <c r="S44" s="136"/>
      <c r="T44" s="136"/>
      <c r="U44" s="140"/>
      <c r="V44" s="139"/>
      <c r="W44" s="137"/>
      <c r="X44" s="139"/>
      <c r="Y44" s="136"/>
      <c r="Z44" s="139"/>
      <c r="AA44" s="136"/>
      <c r="AB44" s="136"/>
      <c r="AC44" s="139"/>
      <c r="AD44" s="142"/>
      <c r="AE44" s="143"/>
      <c r="AF44" s="144"/>
      <c r="AG44" s="135"/>
      <c r="AH44" s="143"/>
      <c r="AI44" s="135"/>
      <c r="AJ44" s="145"/>
      <c r="AK44" s="146"/>
      <c r="AL44" s="144">
        <v>0</v>
      </c>
      <c r="AM44" s="147"/>
      <c r="AN44" s="144"/>
      <c r="AO44" s="136"/>
      <c r="AP44" s="144"/>
      <c r="AQ44" s="145"/>
      <c r="AR44" s="145"/>
      <c r="AS44" s="144">
        <v>0</v>
      </c>
      <c r="AT44" s="781">
        <v>0</v>
      </c>
      <c r="AU44" s="782">
        <v>0</v>
      </c>
      <c r="AV44" s="344"/>
      <c r="AW44" s="137">
        <v>0</v>
      </c>
      <c r="AX44" s="137">
        <v>0</v>
      </c>
      <c r="AY44" s="137">
        <v>0</v>
      </c>
    </row>
    <row r="45" spans="1:51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0</v>
      </c>
      <c r="S45" s="136"/>
      <c r="T45" s="136"/>
      <c r="U45" s="140"/>
      <c r="V45" s="139"/>
      <c r="W45" s="137"/>
      <c r="X45" s="139"/>
      <c r="Y45" s="136"/>
      <c r="Z45" s="139"/>
      <c r="AA45" s="136"/>
      <c r="AB45" s="136"/>
      <c r="AC45" s="139"/>
      <c r="AD45" s="142"/>
      <c r="AE45" s="143"/>
      <c r="AF45" s="144"/>
      <c r="AG45" s="135"/>
      <c r="AH45" s="143"/>
      <c r="AI45" s="135"/>
      <c r="AJ45" s="145"/>
      <c r="AK45" s="146"/>
      <c r="AL45" s="144">
        <v>0</v>
      </c>
      <c r="AM45" s="147"/>
      <c r="AN45" s="144"/>
      <c r="AO45" s="136"/>
      <c r="AP45" s="144"/>
      <c r="AQ45" s="145"/>
      <c r="AR45" s="145"/>
      <c r="AS45" s="144">
        <v>0</v>
      </c>
      <c r="AT45" s="781">
        <v>0</v>
      </c>
      <c r="AU45" s="782">
        <v>0</v>
      </c>
      <c r="AV45" s="344"/>
      <c r="AW45" s="137">
        <v>0</v>
      </c>
      <c r="AX45" s="137">
        <v>0</v>
      </c>
      <c r="AY45" s="137">
        <v>0</v>
      </c>
    </row>
    <row r="46" spans="1:51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0</v>
      </c>
      <c r="S46" s="150"/>
      <c r="T46" s="150"/>
      <c r="U46" s="154"/>
      <c r="V46" s="153"/>
      <c r="W46" s="151"/>
      <c r="X46" s="153"/>
      <c r="Y46" s="150"/>
      <c r="Z46" s="153"/>
      <c r="AA46" s="156"/>
      <c r="AB46" s="150"/>
      <c r="AC46" s="157"/>
      <c r="AD46" s="157"/>
      <c r="AE46" s="158"/>
      <c r="AF46" s="159"/>
      <c r="AG46" s="149"/>
      <c r="AH46" s="158"/>
      <c r="AI46" s="149"/>
      <c r="AJ46" s="160"/>
      <c r="AK46" s="161"/>
      <c r="AL46" s="159">
        <v>4197</v>
      </c>
      <c r="AM46" s="162"/>
      <c r="AN46" s="159"/>
      <c r="AO46" s="150"/>
      <c r="AP46" s="159"/>
      <c r="AQ46" s="160"/>
      <c r="AR46" s="160"/>
      <c r="AS46" s="159">
        <v>978</v>
      </c>
      <c r="AT46" s="783">
        <v>9082</v>
      </c>
      <c r="AU46" s="784">
        <v>2120</v>
      </c>
      <c r="AV46" s="344"/>
      <c r="AW46" s="151">
        <v>10</v>
      </c>
      <c r="AX46" s="151">
        <v>10</v>
      </c>
      <c r="AY46" s="151">
        <v>0</v>
      </c>
    </row>
    <row r="47" spans="1:51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0</v>
      </c>
      <c r="S47" s="118"/>
      <c r="T47" s="118"/>
      <c r="U47" s="122"/>
      <c r="V47" s="121"/>
      <c r="W47" s="119"/>
      <c r="X47" s="121"/>
      <c r="Y47" s="118"/>
      <c r="Z47" s="121"/>
      <c r="AA47" s="118"/>
      <c r="AB47" s="118"/>
      <c r="AC47" s="121"/>
      <c r="AD47" s="123"/>
      <c r="AE47" s="124"/>
      <c r="AF47" s="125"/>
      <c r="AG47" s="117"/>
      <c r="AH47" s="124"/>
      <c r="AI47" s="117"/>
      <c r="AJ47" s="126"/>
      <c r="AK47" s="127"/>
      <c r="AL47" s="125">
        <v>0</v>
      </c>
      <c r="AM47" s="128"/>
      <c r="AN47" s="125"/>
      <c r="AO47" s="118"/>
      <c r="AP47" s="125"/>
      <c r="AQ47" s="126"/>
      <c r="AR47" s="126"/>
      <c r="AS47" s="125">
        <v>0</v>
      </c>
      <c r="AT47" s="779">
        <v>0</v>
      </c>
      <c r="AU47" s="780">
        <v>0</v>
      </c>
      <c r="AV47" s="344"/>
      <c r="AW47" s="119">
        <v>0</v>
      </c>
      <c r="AX47" s="119">
        <v>0</v>
      </c>
      <c r="AY47" s="119">
        <v>0</v>
      </c>
    </row>
    <row r="48" spans="1:51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0</v>
      </c>
      <c r="S48" s="136"/>
      <c r="T48" s="136"/>
      <c r="U48" s="140"/>
      <c r="V48" s="139"/>
      <c r="W48" s="137"/>
      <c r="X48" s="139"/>
      <c r="Y48" s="136"/>
      <c r="Z48" s="139"/>
      <c r="AA48" s="136"/>
      <c r="AB48" s="136"/>
      <c r="AC48" s="139"/>
      <c r="AD48" s="142"/>
      <c r="AE48" s="143"/>
      <c r="AF48" s="144"/>
      <c r="AG48" s="135"/>
      <c r="AH48" s="143"/>
      <c r="AI48" s="135"/>
      <c r="AJ48" s="145"/>
      <c r="AK48" s="146"/>
      <c r="AL48" s="144">
        <v>0</v>
      </c>
      <c r="AM48" s="147"/>
      <c r="AN48" s="144"/>
      <c r="AO48" s="136"/>
      <c r="AP48" s="144"/>
      <c r="AQ48" s="145"/>
      <c r="AR48" s="145"/>
      <c r="AS48" s="144">
        <v>0</v>
      </c>
      <c r="AT48" s="781">
        <v>0</v>
      </c>
      <c r="AU48" s="782">
        <v>0</v>
      </c>
      <c r="AV48" s="344"/>
      <c r="AW48" s="137">
        <v>0</v>
      </c>
      <c r="AX48" s="137">
        <v>0</v>
      </c>
      <c r="AY48" s="137">
        <v>0</v>
      </c>
    </row>
    <row r="49" spans="1:51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0</v>
      </c>
      <c r="S49" s="136"/>
      <c r="T49" s="136"/>
      <c r="U49" s="140"/>
      <c r="V49" s="139"/>
      <c r="W49" s="137"/>
      <c r="X49" s="139"/>
      <c r="Y49" s="136"/>
      <c r="Z49" s="139"/>
      <c r="AA49" s="136"/>
      <c r="AB49" s="136"/>
      <c r="AC49" s="139"/>
      <c r="AD49" s="142"/>
      <c r="AE49" s="143"/>
      <c r="AF49" s="144"/>
      <c r="AG49" s="135"/>
      <c r="AH49" s="143"/>
      <c r="AI49" s="135"/>
      <c r="AJ49" s="145"/>
      <c r="AK49" s="146"/>
      <c r="AL49" s="144">
        <v>0</v>
      </c>
      <c r="AM49" s="147"/>
      <c r="AN49" s="144"/>
      <c r="AO49" s="136"/>
      <c r="AP49" s="144"/>
      <c r="AQ49" s="145"/>
      <c r="AR49" s="145"/>
      <c r="AS49" s="144">
        <v>0</v>
      </c>
      <c r="AT49" s="781">
        <v>0</v>
      </c>
      <c r="AU49" s="782">
        <v>0</v>
      </c>
      <c r="AV49" s="344"/>
      <c r="AW49" s="137">
        <v>0</v>
      </c>
      <c r="AX49" s="137">
        <v>0</v>
      </c>
      <c r="AY49" s="137">
        <v>0</v>
      </c>
    </row>
    <row r="50" spans="1:51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0</v>
      </c>
      <c r="S50" s="136"/>
      <c r="T50" s="136"/>
      <c r="U50" s="140"/>
      <c r="V50" s="139"/>
      <c r="W50" s="137"/>
      <c r="X50" s="139"/>
      <c r="Y50" s="136"/>
      <c r="Z50" s="139"/>
      <c r="AA50" s="136"/>
      <c r="AB50" s="136"/>
      <c r="AC50" s="139"/>
      <c r="AD50" s="142"/>
      <c r="AE50" s="143"/>
      <c r="AF50" s="144"/>
      <c r="AG50" s="135"/>
      <c r="AH50" s="143"/>
      <c r="AI50" s="135"/>
      <c r="AJ50" s="145"/>
      <c r="AK50" s="146"/>
      <c r="AL50" s="144">
        <v>0</v>
      </c>
      <c r="AM50" s="147"/>
      <c r="AN50" s="144"/>
      <c r="AO50" s="136"/>
      <c r="AP50" s="144"/>
      <c r="AQ50" s="145"/>
      <c r="AR50" s="145"/>
      <c r="AS50" s="144">
        <v>0</v>
      </c>
      <c r="AT50" s="781">
        <v>0</v>
      </c>
      <c r="AU50" s="782">
        <v>0</v>
      </c>
      <c r="AV50" s="344"/>
      <c r="AW50" s="137">
        <v>0</v>
      </c>
      <c r="AX50" s="137">
        <v>0</v>
      </c>
      <c r="AY50" s="137">
        <v>0</v>
      </c>
    </row>
    <row r="51" spans="1:51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0</v>
      </c>
      <c r="S51" s="150"/>
      <c r="T51" s="150"/>
      <c r="U51" s="154"/>
      <c r="V51" s="153"/>
      <c r="W51" s="151"/>
      <c r="X51" s="153"/>
      <c r="Y51" s="150"/>
      <c r="Z51" s="153"/>
      <c r="AA51" s="156"/>
      <c r="AB51" s="150"/>
      <c r="AC51" s="157"/>
      <c r="AD51" s="157"/>
      <c r="AE51" s="158"/>
      <c r="AF51" s="159"/>
      <c r="AG51" s="149"/>
      <c r="AH51" s="158"/>
      <c r="AI51" s="149"/>
      <c r="AJ51" s="160"/>
      <c r="AK51" s="161"/>
      <c r="AL51" s="159">
        <v>0</v>
      </c>
      <c r="AM51" s="162"/>
      <c r="AN51" s="159"/>
      <c r="AO51" s="150"/>
      <c r="AP51" s="159"/>
      <c r="AQ51" s="160"/>
      <c r="AR51" s="160"/>
      <c r="AS51" s="159">
        <v>0</v>
      </c>
      <c r="AT51" s="783">
        <v>0</v>
      </c>
      <c r="AU51" s="784">
        <v>0</v>
      </c>
      <c r="AV51" s="344"/>
      <c r="AW51" s="151">
        <v>0</v>
      </c>
      <c r="AX51" s="151">
        <v>0</v>
      </c>
      <c r="AY51" s="151">
        <v>0</v>
      </c>
    </row>
    <row r="52" spans="1:51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0</v>
      </c>
      <c r="S52" s="118"/>
      <c r="T52" s="118"/>
      <c r="U52" s="122"/>
      <c r="V52" s="121"/>
      <c r="W52" s="119"/>
      <c r="X52" s="121"/>
      <c r="Y52" s="118"/>
      <c r="Z52" s="121"/>
      <c r="AA52" s="118"/>
      <c r="AB52" s="118"/>
      <c r="AC52" s="121"/>
      <c r="AD52" s="123"/>
      <c r="AE52" s="124"/>
      <c r="AF52" s="125"/>
      <c r="AG52" s="117"/>
      <c r="AH52" s="124"/>
      <c r="AI52" s="117"/>
      <c r="AJ52" s="126"/>
      <c r="AK52" s="127"/>
      <c r="AL52" s="125">
        <v>0</v>
      </c>
      <c r="AM52" s="128"/>
      <c r="AN52" s="125"/>
      <c r="AO52" s="118"/>
      <c r="AP52" s="125"/>
      <c r="AQ52" s="126"/>
      <c r="AR52" s="126"/>
      <c r="AS52" s="125">
        <v>0</v>
      </c>
      <c r="AT52" s="779">
        <v>0</v>
      </c>
      <c r="AU52" s="780">
        <v>0</v>
      </c>
      <c r="AV52" s="344"/>
      <c r="AW52" s="119">
        <v>0</v>
      </c>
      <c r="AX52" s="119">
        <v>0</v>
      </c>
      <c r="AY52" s="119">
        <v>0</v>
      </c>
    </row>
    <row r="53" spans="1:51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0</v>
      </c>
      <c r="S53" s="136"/>
      <c r="T53" s="136"/>
      <c r="U53" s="140"/>
      <c r="V53" s="139"/>
      <c r="W53" s="137"/>
      <c r="X53" s="139"/>
      <c r="Y53" s="136"/>
      <c r="Z53" s="139"/>
      <c r="AA53" s="136"/>
      <c r="AB53" s="136"/>
      <c r="AC53" s="139"/>
      <c r="AD53" s="142"/>
      <c r="AE53" s="143"/>
      <c r="AF53" s="144"/>
      <c r="AG53" s="135"/>
      <c r="AH53" s="143"/>
      <c r="AI53" s="135"/>
      <c r="AJ53" s="145"/>
      <c r="AK53" s="146"/>
      <c r="AL53" s="144">
        <v>0</v>
      </c>
      <c r="AM53" s="147"/>
      <c r="AN53" s="144"/>
      <c r="AO53" s="136"/>
      <c r="AP53" s="144"/>
      <c r="AQ53" s="145"/>
      <c r="AR53" s="145"/>
      <c r="AS53" s="144">
        <v>0</v>
      </c>
      <c r="AT53" s="781">
        <v>0</v>
      </c>
      <c r="AU53" s="782">
        <v>0</v>
      </c>
      <c r="AV53" s="344"/>
      <c r="AW53" s="137">
        <v>0</v>
      </c>
      <c r="AX53" s="137">
        <v>0</v>
      </c>
      <c r="AY53" s="137">
        <v>0</v>
      </c>
    </row>
    <row r="54" spans="1:51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0</v>
      </c>
      <c r="S54" s="136"/>
      <c r="T54" s="136"/>
      <c r="U54" s="140"/>
      <c r="V54" s="139"/>
      <c r="W54" s="137"/>
      <c r="X54" s="139"/>
      <c r="Y54" s="136"/>
      <c r="Z54" s="139"/>
      <c r="AA54" s="136"/>
      <c r="AB54" s="136"/>
      <c r="AC54" s="139"/>
      <c r="AD54" s="142"/>
      <c r="AE54" s="143"/>
      <c r="AF54" s="144"/>
      <c r="AG54" s="135"/>
      <c r="AH54" s="143"/>
      <c r="AI54" s="135"/>
      <c r="AJ54" s="145"/>
      <c r="AK54" s="146"/>
      <c r="AL54" s="144">
        <v>0</v>
      </c>
      <c r="AM54" s="147"/>
      <c r="AN54" s="144"/>
      <c r="AO54" s="136"/>
      <c r="AP54" s="144"/>
      <c r="AQ54" s="145"/>
      <c r="AR54" s="145"/>
      <c r="AS54" s="144">
        <v>0</v>
      </c>
      <c r="AT54" s="781">
        <v>0</v>
      </c>
      <c r="AU54" s="782">
        <v>0</v>
      </c>
      <c r="AV54" s="344"/>
      <c r="AW54" s="137">
        <v>0</v>
      </c>
      <c r="AX54" s="137">
        <v>0</v>
      </c>
      <c r="AY54" s="137">
        <v>0</v>
      </c>
    </row>
    <row r="55" spans="1:51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0</v>
      </c>
      <c r="S55" s="136"/>
      <c r="T55" s="136"/>
      <c r="U55" s="140"/>
      <c r="V55" s="139"/>
      <c r="W55" s="137"/>
      <c r="X55" s="139"/>
      <c r="Y55" s="136"/>
      <c r="Z55" s="139"/>
      <c r="AA55" s="136"/>
      <c r="AB55" s="136"/>
      <c r="AC55" s="139"/>
      <c r="AD55" s="142"/>
      <c r="AE55" s="143"/>
      <c r="AF55" s="144"/>
      <c r="AG55" s="135"/>
      <c r="AH55" s="143"/>
      <c r="AI55" s="135"/>
      <c r="AJ55" s="145"/>
      <c r="AK55" s="146"/>
      <c r="AL55" s="144">
        <v>2796</v>
      </c>
      <c r="AM55" s="147"/>
      <c r="AN55" s="144"/>
      <c r="AO55" s="136"/>
      <c r="AP55" s="144"/>
      <c r="AQ55" s="145"/>
      <c r="AR55" s="145"/>
      <c r="AS55" s="144">
        <v>285</v>
      </c>
      <c r="AT55" s="781">
        <v>7339</v>
      </c>
      <c r="AU55" s="782">
        <v>740</v>
      </c>
      <c r="AV55" s="344"/>
      <c r="AW55" s="137">
        <v>0</v>
      </c>
      <c r="AX55" s="137">
        <v>7</v>
      </c>
      <c r="AY55" s="137">
        <v>7</v>
      </c>
    </row>
    <row r="56" spans="1:51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0</v>
      </c>
      <c r="S56" s="150"/>
      <c r="T56" s="150"/>
      <c r="U56" s="154"/>
      <c r="V56" s="153"/>
      <c r="W56" s="151"/>
      <c r="X56" s="153"/>
      <c r="Y56" s="150"/>
      <c r="Z56" s="153"/>
      <c r="AA56" s="156"/>
      <c r="AB56" s="150"/>
      <c r="AC56" s="157"/>
      <c r="AD56" s="157"/>
      <c r="AE56" s="158"/>
      <c r="AF56" s="159"/>
      <c r="AG56" s="149"/>
      <c r="AH56" s="158"/>
      <c r="AI56" s="149"/>
      <c r="AJ56" s="160"/>
      <c r="AK56" s="161"/>
      <c r="AL56" s="159">
        <v>0</v>
      </c>
      <c r="AM56" s="162"/>
      <c r="AN56" s="159"/>
      <c r="AO56" s="150"/>
      <c r="AP56" s="159"/>
      <c r="AQ56" s="160"/>
      <c r="AR56" s="160"/>
      <c r="AS56" s="159">
        <v>0</v>
      </c>
      <c r="AT56" s="783">
        <v>0</v>
      </c>
      <c r="AU56" s="784">
        <v>0</v>
      </c>
      <c r="AV56" s="344"/>
      <c r="AW56" s="151">
        <v>0</v>
      </c>
      <c r="AX56" s="151">
        <v>0</v>
      </c>
      <c r="AY56" s="151">
        <v>0</v>
      </c>
    </row>
    <row r="57" spans="1:51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0</v>
      </c>
      <c r="S57" s="118"/>
      <c r="T57" s="118"/>
      <c r="U57" s="122"/>
      <c r="V57" s="121"/>
      <c r="W57" s="119"/>
      <c r="X57" s="121"/>
      <c r="Y57" s="118"/>
      <c r="Z57" s="121"/>
      <c r="AA57" s="118"/>
      <c r="AB57" s="118"/>
      <c r="AC57" s="121"/>
      <c r="AD57" s="123"/>
      <c r="AE57" s="124"/>
      <c r="AF57" s="125"/>
      <c r="AG57" s="117"/>
      <c r="AH57" s="124"/>
      <c r="AI57" s="117"/>
      <c r="AJ57" s="126"/>
      <c r="AK57" s="127"/>
      <c r="AL57" s="125">
        <v>0</v>
      </c>
      <c r="AM57" s="128"/>
      <c r="AN57" s="125"/>
      <c r="AO57" s="118"/>
      <c r="AP57" s="125"/>
      <c r="AQ57" s="126"/>
      <c r="AR57" s="126"/>
      <c r="AS57" s="125">
        <v>0</v>
      </c>
      <c r="AT57" s="779">
        <v>0</v>
      </c>
      <c r="AU57" s="780">
        <v>0</v>
      </c>
      <c r="AV57" s="344"/>
      <c r="AW57" s="119">
        <v>0</v>
      </c>
      <c r="AX57" s="119">
        <v>0</v>
      </c>
      <c r="AY57" s="119">
        <v>0</v>
      </c>
    </row>
    <row r="58" spans="1:51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0</v>
      </c>
      <c r="S58" s="136"/>
      <c r="T58" s="136"/>
      <c r="U58" s="140"/>
      <c r="V58" s="139"/>
      <c r="W58" s="137"/>
      <c r="X58" s="139"/>
      <c r="Y58" s="136"/>
      <c r="Z58" s="139"/>
      <c r="AA58" s="136"/>
      <c r="AB58" s="136"/>
      <c r="AC58" s="139"/>
      <c r="AD58" s="142"/>
      <c r="AE58" s="143"/>
      <c r="AF58" s="144"/>
      <c r="AG58" s="135"/>
      <c r="AH58" s="143"/>
      <c r="AI58" s="135"/>
      <c r="AJ58" s="145"/>
      <c r="AK58" s="146"/>
      <c r="AL58" s="144">
        <v>0</v>
      </c>
      <c r="AM58" s="147"/>
      <c r="AN58" s="144"/>
      <c r="AO58" s="136"/>
      <c r="AP58" s="144"/>
      <c r="AQ58" s="145"/>
      <c r="AR58" s="145"/>
      <c r="AS58" s="144">
        <v>0</v>
      </c>
      <c r="AT58" s="781">
        <v>0</v>
      </c>
      <c r="AU58" s="782">
        <v>0</v>
      </c>
      <c r="AV58" s="344"/>
      <c r="AW58" s="137">
        <v>0</v>
      </c>
      <c r="AX58" s="137">
        <v>0</v>
      </c>
      <c r="AY58" s="137">
        <v>0</v>
      </c>
    </row>
    <row r="59" spans="1:51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0</v>
      </c>
      <c r="S59" s="136"/>
      <c r="T59" s="136"/>
      <c r="U59" s="140"/>
      <c r="V59" s="139"/>
      <c r="W59" s="137"/>
      <c r="X59" s="139"/>
      <c r="Y59" s="136"/>
      <c r="Z59" s="139"/>
      <c r="AA59" s="136"/>
      <c r="AB59" s="136"/>
      <c r="AC59" s="139"/>
      <c r="AD59" s="142"/>
      <c r="AE59" s="143"/>
      <c r="AF59" s="144"/>
      <c r="AG59" s="135"/>
      <c r="AH59" s="143"/>
      <c r="AI59" s="135"/>
      <c r="AJ59" s="145"/>
      <c r="AK59" s="146"/>
      <c r="AL59" s="144">
        <v>0</v>
      </c>
      <c r="AM59" s="147"/>
      <c r="AN59" s="144"/>
      <c r="AO59" s="136"/>
      <c r="AP59" s="144"/>
      <c r="AQ59" s="145"/>
      <c r="AR59" s="145"/>
      <c r="AS59" s="144">
        <v>0</v>
      </c>
      <c r="AT59" s="781">
        <v>0</v>
      </c>
      <c r="AU59" s="782">
        <v>0</v>
      </c>
      <c r="AV59" s="344"/>
      <c r="AW59" s="137">
        <v>0</v>
      </c>
      <c r="AX59" s="137">
        <v>0</v>
      </c>
      <c r="AY59" s="137">
        <v>0</v>
      </c>
    </row>
    <row r="60" spans="1:51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0</v>
      </c>
      <c r="S60" s="136"/>
      <c r="T60" s="136"/>
      <c r="U60" s="140"/>
      <c r="V60" s="139"/>
      <c r="W60" s="137"/>
      <c r="X60" s="139"/>
      <c r="Y60" s="136"/>
      <c r="Z60" s="139"/>
      <c r="AA60" s="136"/>
      <c r="AB60" s="136"/>
      <c r="AC60" s="139"/>
      <c r="AD60" s="142"/>
      <c r="AE60" s="143"/>
      <c r="AF60" s="144"/>
      <c r="AG60" s="135"/>
      <c r="AH60" s="143"/>
      <c r="AI60" s="135"/>
      <c r="AJ60" s="145"/>
      <c r="AK60" s="146"/>
      <c r="AL60" s="144">
        <v>0</v>
      </c>
      <c r="AM60" s="147"/>
      <c r="AN60" s="144"/>
      <c r="AO60" s="136"/>
      <c r="AP60" s="144"/>
      <c r="AQ60" s="145"/>
      <c r="AR60" s="145"/>
      <c r="AS60" s="144">
        <v>0</v>
      </c>
      <c r="AT60" s="781">
        <v>0</v>
      </c>
      <c r="AU60" s="782">
        <v>0</v>
      </c>
      <c r="AV60" s="344"/>
      <c r="AW60" s="137">
        <v>0</v>
      </c>
      <c r="AX60" s="137">
        <v>0</v>
      </c>
      <c r="AY60" s="137">
        <v>0</v>
      </c>
    </row>
    <row r="61" spans="1:51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0</v>
      </c>
      <c r="S61" s="150"/>
      <c r="T61" s="150"/>
      <c r="U61" s="154"/>
      <c r="V61" s="153"/>
      <c r="W61" s="151"/>
      <c r="X61" s="153"/>
      <c r="Y61" s="150"/>
      <c r="Z61" s="153"/>
      <c r="AA61" s="156"/>
      <c r="AB61" s="150"/>
      <c r="AC61" s="157"/>
      <c r="AD61" s="157"/>
      <c r="AE61" s="158"/>
      <c r="AF61" s="159"/>
      <c r="AG61" s="149"/>
      <c r="AH61" s="158"/>
      <c r="AI61" s="149"/>
      <c r="AJ61" s="160"/>
      <c r="AK61" s="161"/>
      <c r="AL61" s="159">
        <v>0</v>
      </c>
      <c r="AM61" s="162"/>
      <c r="AN61" s="159"/>
      <c r="AO61" s="150"/>
      <c r="AP61" s="159"/>
      <c r="AQ61" s="160"/>
      <c r="AR61" s="160"/>
      <c r="AS61" s="159">
        <v>0</v>
      </c>
      <c r="AT61" s="783">
        <v>0</v>
      </c>
      <c r="AU61" s="784">
        <v>0</v>
      </c>
      <c r="AV61" s="344"/>
      <c r="AW61" s="151">
        <v>0</v>
      </c>
      <c r="AX61" s="151">
        <v>0</v>
      </c>
      <c r="AY61" s="151">
        <v>0</v>
      </c>
    </row>
    <row r="62" spans="1:51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0</v>
      </c>
      <c r="S62" s="118"/>
      <c r="T62" s="118"/>
      <c r="U62" s="122"/>
      <c r="V62" s="121"/>
      <c r="W62" s="119"/>
      <c r="X62" s="121"/>
      <c r="Y62" s="118"/>
      <c r="Z62" s="121"/>
      <c r="AA62" s="118"/>
      <c r="AB62" s="118"/>
      <c r="AC62" s="121"/>
      <c r="AD62" s="123"/>
      <c r="AE62" s="124"/>
      <c r="AF62" s="125"/>
      <c r="AG62" s="117"/>
      <c r="AH62" s="124"/>
      <c r="AI62" s="117"/>
      <c r="AJ62" s="126"/>
      <c r="AK62" s="127"/>
      <c r="AL62" s="125">
        <v>0</v>
      </c>
      <c r="AM62" s="128"/>
      <c r="AN62" s="125"/>
      <c r="AO62" s="118"/>
      <c r="AP62" s="125"/>
      <c r="AQ62" s="126"/>
      <c r="AR62" s="126"/>
      <c r="AS62" s="125">
        <v>0</v>
      </c>
      <c r="AT62" s="779">
        <v>0</v>
      </c>
      <c r="AU62" s="780">
        <v>0</v>
      </c>
      <c r="AV62" s="344"/>
      <c r="AW62" s="119">
        <v>0</v>
      </c>
      <c r="AX62" s="119">
        <v>0</v>
      </c>
      <c r="AY62" s="119">
        <v>0</v>
      </c>
    </row>
    <row r="63" spans="1:51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0</v>
      </c>
      <c r="S63" s="136"/>
      <c r="T63" s="136"/>
      <c r="U63" s="140"/>
      <c r="V63" s="139"/>
      <c r="W63" s="137"/>
      <c r="X63" s="139"/>
      <c r="Y63" s="136"/>
      <c r="Z63" s="139"/>
      <c r="AA63" s="136"/>
      <c r="AB63" s="136"/>
      <c r="AC63" s="139"/>
      <c r="AD63" s="142"/>
      <c r="AE63" s="143"/>
      <c r="AF63" s="144"/>
      <c r="AG63" s="135"/>
      <c r="AH63" s="143"/>
      <c r="AI63" s="135"/>
      <c r="AJ63" s="145"/>
      <c r="AK63" s="146"/>
      <c r="AL63" s="144">
        <v>0</v>
      </c>
      <c r="AM63" s="147"/>
      <c r="AN63" s="144"/>
      <c r="AO63" s="136"/>
      <c r="AP63" s="144"/>
      <c r="AQ63" s="145"/>
      <c r="AR63" s="145"/>
      <c r="AS63" s="144">
        <v>0</v>
      </c>
      <c r="AT63" s="781">
        <v>0</v>
      </c>
      <c r="AU63" s="782">
        <v>0</v>
      </c>
      <c r="AV63" s="344"/>
      <c r="AW63" s="137">
        <v>0</v>
      </c>
      <c r="AX63" s="137">
        <v>0</v>
      </c>
      <c r="AY63" s="137">
        <v>0</v>
      </c>
    </row>
    <row r="64" spans="1:51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0</v>
      </c>
      <c r="S64" s="136"/>
      <c r="T64" s="136"/>
      <c r="U64" s="140"/>
      <c r="V64" s="139"/>
      <c r="W64" s="137"/>
      <c r="X64" s="139"/>
      <c r="Y64" s="136"/>
      <c r="Z64" s="139"/>
      <c r="AA64" s="136"/>
      <c r="AB64" s="136"/>
      <c r="AC64" s="139"/>
      <c r="AD64" s="142"/>
      <c r="AE64" s="143"/>
      <c r="AF64" s="144"/>
      <c r="AG64" s="135"/>
      <c r="AH64" s="143"/>
      <c r="AI64" s="135"/>
      <c r="AJ64" s="145"/>
      <c r="AK64" s="146"/>
      <c r="AL64" s="144">
        <v>0</v>
      </c>
      <c r="AM64" s="147"/>
      <c r="AN64" s="144"/>
      <c r="AO64" s="136"/>
      <c r="AP64" s="144"/>
      <c r="AQ64" s="145"/>
      <c r="AR64" s="145"/>
      <c r="AS64" s="144">
        <v>0</v>
      </c>
      <c r="AT64" s="781">
        <v>0</v>
      </c>
      <c r="AU64" s="782">
        <v>0</v>
      </c>
      <c r="AV64" s="344"/>
      <c r="AW64" s="137">
        <v>0</v>
      </c>
      <c r="AX64" s="137">
        <v>0</v>
      </c>
      <c r="AY64" s="137">
        <v>0</v>
      </c>
    </row>
    <row r="65" spans="1:51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0</v>
      </c>
      <c r="S65" s="136"/>
      <c r="T65" s="136"/>
      <c r="U65" s="140"/>
      <c r="V65" s="139"/>
      <c r="W65" s="137"/>
      <c r="X65" s="139"/>
      <c r="Y65" s="136"/>
      <c r="Z65" s="139"/>
      <c r="AA65" s="136"/>
      <c r="AB65" s="136"/>
      <c r="AC65" s="139"/>
      <c r="AD65" s="142"/>
      <c r="AE65" s="143"/>
      <c r="AF65" s="144"/>
      <c r="AG65" s="135"/>
      <c r="AH65" s="143"/>
      <c r="AI65" s="135"/>
      <c r="AJ65" s="145"/>
      <c r="AK65" s="146"/>
      <c r="AL65" s="144">
        <v>0</v>
      </c>
      <c r="AM65" s="147"/>
      <c r="AN65" s="144"/>
      <c r="AO65" s="136"/>
      <c r="AP65" s="144"/>
      <c r="AQ65" s="145"/>
      <c r="AR65" s="145"/>
      <c r="AS65" s="144">
        <v>0</v>
      </c>
      <c r="AT65" s="781">
        <v>0</v>
      </c>
      <c r="AU65" s="782">
        <v>0</v>
      </c>
      <c r="AV65" s="344"/>
      <c r="AW65" s="137">
        <v>0</v>
      </c>
      <c r="AX65" s="137">
        <v>0</v>
      </c>
      <c r="AY65" s="137">
        <v>0</v>
      </c>
    </row>
    <row r="66" spans="1:51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0</v>
      </c>
      <c r="S66" s="150"/>
      <c r="T66" s="150"/>
      <c r="U66" s="154"/>
      <c r="V66" s="153"/>
      <c r="W66" s="151"/>
      <c r="X66" s="153"/>
      <c r="Y66" s="150"/>
      <c r="Z66" s="153"/>
      <c r="AA66" s="156"/>
      <c r="AB66" s="150"/>
      <c r="AC66" s="157"/>
      <c r="AD66" s="157"/>
      <c r="AE66" s="158"/>
      <c r="AF66" s="159"/>
      <c r="AG66" s="149"/>
      <c r="AH66" s="158"/>
      <c r="AI66" s="149"/>
      <c r="AJ66" s="160"/>
      <c r="AK66" s="161"/>
      <c r="AL66" s="159">
        <v>0</v>
      </c>
      <c r="AM66" s="162"/>
      <c r="AN66" s="159"/>
      <c r="AO66" s="150"/>
      <c r="AP66" s="159"/>
      <c r="AQ66" s="160"/>
      <c r="AR66" s="160"/>
      <c r="AS66" s="159">
        <v>0</v>
      </c>
      <c r="AT66" s="783">
        <v>0</v>
      </c>
      <c r="AU66" s="784">
        <v>0</v>
      </c>
      <c r="AV66" s="344"/>
      <c r="AW66" s="151">
        <v>0</v>
      </c>
      <c r="AX66" s="151">
        <v>0</v>
      </c>
      <c r="AY66" s="151">
        <v>0</v>
      </c>
    </row>
    <row r="67" spans="1:51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0</v>
      </c>
      <c r="S67" s="118"/>
      <c r="T67" s="118"/>
      <c r="U67" s="122"/>
      <c r="V67" s="121"/>
      <c r="W67" s="119"/>
      <c r="X67" s="121"/>
      <c r="Y67" s="118"/>
      <c r="Z67" s="121"/>
      <c r="AA67" s="118"/>
      <c r="AB67" s="118"/>
      <c r="AC67" s="121"/>
      <c r="AD67" s="123"/>
      <c r="AE67" s="124"/>
      <c r="AF67" s="125"/>
      <c r="AG67" s="117"/>
      <c r="AH67" s="124"/>
      <c r="AI67" s="117"/>
      <c r="AJ67" s="126"/>
      <c r="AK67" s="127"/>
      <c r="AL67" s="125">
        <v>0</v>
      </c>
      <c r="AM67" s="128"/>
      <c r="AN67" s="125"/>
      <c r="AO67" s="118"/>
      <c r="AP67" s="125"/>
      <c r="AQ67" s="126"/>
      <c r="AR67" s="126"/>
      <c r="AS67" s="125">
        <v>0</v>
      </c>
      <c r="AT67" s="779">
        <v>0</v>
      </c>
      <c r="AU67" s="780">
        <v>0</v>
      </c>
      <c r="AV67" s="344"/>
      <c r="AW67" s="119">
        <v>0</v>
      </c>
      <c r="AX67" s="119">
        <v>0</v>
      </c>
      <c r="AY67" s="119">
        <v>0</v>
      </c>
    </row>
    <row r="68" spans="1:51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0</v>
      </c>
      <c r="S68" s="136"/>
      <c r="T68" s="136"/>
      <c r="U68" s="140"/>
      <c r="V68" s="139"/>
      <c r="W68" s="137"/>
      <c r="X68" s="139"/>
      <c r="Y68" s="136"/>
      <c r="Z68" s="139"/>
      <c r="AA68" s="136"/>
      <c r="AB68" s="136"/>
      <c r="AC68" s="139"/>
      <c r="AD68" s="142"/>
      <c r="AE68" s="143"/>
      <c r="AF68" s="144"/>
      <c r="AG68" s="135"/>
      <c r="AH68" s="143"/>
      <c r="AI68" s="135"/>
      <c r="AJ68" s="145"/>
      <c r="AK68" s="146"/>
      <c r="AL68" s="144">
        <v>0</v>
      </c>
      <c r="AM68" s="147"/>
      <c r="AN68" s="144"/>
      <c r="AO68" s="136"/>
      <c r="AP68" s="144"/>
      <c r="AQ68" s="145"/>
      <c r="AR68" s="145"/>
      <c r="AS68" s="144">
        <v>0</v>
      </c>
      <c r="AT68" s="781">
        <v>0</v>
      </c>
      <c r="AU68" s="782">
        <v>0</v>
      </c>
      <c r="AV68" s="344"/>
      <c r="AW68" s="137">
        <v>0</v>
      </c>
      <c r="AX68" s="137">
        <v>0</v>
      </c>
      <c r="AY68" s="137">
        <v>0</v>
      </c>
    </row>
    <row r="69" spans="1:51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0</v>
      </c>
      <c r="S69" s="136"/>
      <c r="T69" s="136"/>
      <c r="U69" s="140"/>
      <c r="V69" s="139"/>
      <c r="W69" s="137"/>
      <c r="X69" s="139"/>
      <c r="Y69" s="136"/>
      <c r="Z69" s="139"/>
      <c r="AA69" s="136"/>
      <c r="AB69" s="136"/>
      <c r="AC69" s="139"/>
      <c r="AD69" s="142"/>
      <c r="AE69" s="143"/>
      <c r="AF69" s="144"/>
      <c r="AG69" s="135"/>
      <c r="AH69" s="143"/>
      <c r="AI69" s="135"/>
      <c r="AJ69" s="145"/>
      <c r="AK69" s="146"/>
      <c r="AL69" s="144">
        <v>0</v>
      </c>
      <c r="AM69" s="147"/>
      <c r="AN69" s="144"/>
      <c r="AO69" s="136"/>
      <c r="AP69" s="144"/>
      <c r="AQ69" s="145"/>
      <c r="AR69" s="145"/>
      <c r="AS69" s="144">
        <v>0</v>
      </c>
      <c r="AT69" s="781">
        <v>0</v>
      </c>
      <c r="AU69" s="782">
        <v>0</v>
      </c>
      <c r="AV69" s="344"/>
      <c r="AW69" s="137">
        <v>0</v>
      </c>
      <c r="AX69" s="137">
        <v>0</v>
      </c>
      <c r="AY69" s="137">
        <v>0</v>
      </c>
    </row>
    <row r="70" spans="1:51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6"/>
      <c r="T70" s="136"/>
      <c r="U70" s="140"/>
      <c r="V70" s="139"/>
      <c r="W70" s="137"/>
      <c r="X70" s="139"/>
      <c r="Y70" s="136"/>
      <c r="Z70" s="139"/>
      <c r="AA70" s="136"/>
      <c r="AB70" s="136"/>
      <c r="AC70" s="139"/>
      <c r="AD70" s="142"/>
      <c r="AE70" s="143"/>
      <c r="AF70" s="144"/>
      <c r="AG70" s="135"/>
      <c r="AH70" s="143"/>
      <c r="AI70" s="135"/>
      <c r="AJ70" s="145"/>
      <c r="AK70" s="146"/>
      <c r="AL70" s="144">
        <v>0</v>
      </c>
      <c r="AM70" s="147"/>
      <c r="AN70" s="144"/>
      <c r="AO70" s="136"/>
      <c r="AP70" s="144"/>
      <c r="AQ70" s="145"/>
      <c r="AR70" s="145"/>
      <c r="AS70" s="144">
        <v>0</v>
      </c>
      <c r="AT70" s="781">
        <v>0</v>
      </c>
      <c r="AU70" s="782">
        <v>0</v>
      </c>
      <c r="AV70" s="344"/>
      <c r="AW70" s="137">
        <v>0</v>
      </c>
      <c r="AX70" s="137">
        <v>0</v>
      </c>
      <c r="AY70" s="137">
        <v>0</v>
      </c>
    </row>
    <row r="71" spans="1:51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0</v>
      </c>
      <c r="S71" s="150"/>
      <c r="T71" s="150"/>
      <c r="U71" s="154"/>
      <c r="V71" s="153"/>
      <c r="W71" s="151"/>
      <c r="X71" s="153"/>
      <c r="Y71" s="150"/>
      <c r="Z71" s="153"/>
      <c r="AA71" s="156"/>
      <c r="AB71" s="150"/>
      <c r="AC71" s="157"/>
      <c r="AD71" s="157"/>
      <c r="AE71" s="158"/>
      <c r="AF71" s="159"/>
      <c r="AG71" s="149"/>
      <c r="AH71" s="158"/>
      <c r="AI71" s="149"/>
      <c r="AJ71" s="160"/>
      <c r="AK71" s="161"/>
      <c r="AL71" s="159">
        <v>0</v>
      </c>
      <c r="AM71" s="162"/>
      <c r="AN71" s="159"/>
      <c r="AO71" s="150"/>
      <c r="AP71" s="159"/>
      <c r="AQ71" s="160"/>
      <c r="AR71" s="160"/>
      <c r="AS71" s="159">
        <v>0</v>
      </c>
      <c r="AT71" s="783">
        <v>0</v>
      </c>
      <c r="AU71" s="784">
        <v>0</v>
      </c>
      <c r="AV71" s="344"/>
      <c r="AW71" s="151">
        <v>0</v>
      </c>
      <c r="AX71" s="151">
        <v>0</v>
      </c>
      <c r="AY71" s="151">
        <v>0</v>
      </c>
    </row>
    <row r="72" spans="1:51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0</v>
      </c>
      <c r="S72" s="118"/>
      <c r="T72" s="118"/>
      <c r="U72" s="122"/>
      <c r="V72" s="121"/>
      <c r="W72" s="119"/>
      <c r="X72" s="121"/>
      <c r="Y72" s="118"/>
      <c r="Z72" s="121"/>
      <c r="AA72" s="118"/>
      <c r="AB72" s="118"/>
      <c r="AC72" s="121"/>
      <c r="AD72" s="123"/>
      <c r="AE72" s="124"/>
      <c r="AF72" s="125"/>
      <c r="AG72" s="117"/>
      <c r="AH72" s="124"/>
      <c r="AI72" s="117"/>
      <c r="AJ72" s="126"/>
      <c r="AK72" s="127"/>
      <c r="AL72" s="125">
        <v>0</v>
      </c>
      <c r="AM72" s="128"/>
      <c r="AN72" s="125"/>
      <c r="AO72" s="118"/>
      <c r="AP72" s="125"/>
      <c r="AQ72" s="126"/>
      <c r="AR72" s="126"/>
      <c r="AS72" s="125">
        <v>0</v>
      </c>
      <c r="AT72" s="779">
        <v>0</v>
      </c>
      <c r="AU72" s="780">
        <v>0</v>
      </c>
      <c r="AV72" s="344"/>
      <c r="AW72" s="785">
        <v>0</v>
      </c>
      <c r="AX72" s="785">
        <v>0</v>
      </c>
      <c r="AY72" s="785">
        <v>0</v>
      </c>
    </row>
    <row r="73" spans="1:51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0</v>
      </c>
      <c r="S73" s="136"/>
      <c r="T73" s="136"/>
      <c r="U73" s="140"/>
      <c r="V73" s="139"/>
      <c r="W73" s="137"/>
      <c r="X73" s="139"/>
      <c r="Y73" s="136"/>
      <c r="Z73" s="139"/>
      <c r="AA73" s="136"/>
      <c r="AB73" s="136"/>
      <c r="AC73" s="139"/>
      <c r="AD73" s="142"/>
      <c r="AE73" s="143"/>
      <c r="AF73" s="144"/>
      <c r="AG73" s="135"/>
      <c r="AH73" s="143"/>
      <c r="AI73" s="135"/>
      <c r="AJ73" s="145"/>
      <c r="AK73" s="146"/>
      <c r="AL73" s="144">
        <v>0</v>
      </c>
      <c r="AM73" s="147"/>
      <c r="AN73" s="144"/>
      <c r="AO73" s="136"/>
      <c r="AP73" s="144"/>
      <c r="AQ73" s="145"/>
      <c r="AR73" s="145"/>
      <c r="AS73" s="144">
        <v>0</v>
      </c>
      <c r="AT73" s="781">
        <v>0</v>
      </c>
      <c r="AU73" s="782">
        <v>0</v>
      </c>
      <c r="AV73" s="344"/>
      <c r="AW73" s="785">
        <v>0</v>
      </c>
      <c r="AX73" s="785">
        <v>0</v>
      </c>
      <c r="AY73" s="785">
        <v>0</v>
      </c>
    </row>
    <row r="74" spans="1:51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0</v>
      </c>
      <c r="S74" s="136"/>
      <c r="T74" s="136"/>
      <c r="U74" s="140"/>
      <c r="V74" s="139"/>
      <c r="W74" s="137"/>
      <c r="X74" s="139"/>
      <c r="Y74" s="136"/>
      <c r="Z74" s="139"/>
      <c r="AA74" s="136"/>
      <c r="AB74" s="136"/>
      <c r="AC74" s="139"/>
      <c r="AD74" s="142"/>
      <c r="AE74" s="143"/>
      <c r="AF74" s="144"/>
      <c r="AG74" s="135"/>
      <c r="AH74" s="143"/>
      <c r="AI74" s="135"/>
      <c r="AJ74" s="145"/>
      <c r="AK74" s="146"/>
      <c r="AL74" s="144">
        <v>0</v>
      </c>
      <c r="AM74" s="147"/>
      <c r="AN74" s="144"/>
      <c r="AO74" s="136"/>
      <c r="AP74" s="144"/>
      <c r="AQ74" s="145"/>
      <c r="AR74" s="145"/>
      <c r="AS74" s="144">
        <v>0</v>
      </c>
      <c r="AT74" s="781">
        <v>0</v>
      </c>
      <c r="AU74" s="782">
        <v>0</v>
      </c>
      <c r="AV74" s="344"/>
      <c r="AW74" s="785">
        <v>0</v>
      </c>
      <c r="AX74" s="785">
        <v>0</v>
      </c>
      <c r="AY74" s="785">
        <v>0</v>
      </c>
    </row>
    <row r="75" spans="1:51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0</v>
      </c>
      <c r="S75" s="136"/>
      <c r="T75" s="136"/>
      <c r="U75" s="140"/>
      <c r="V75" s="139"/>
      <c r="W75" s="137"/>
      <c r="X75" s="139"/>
      <c r="Y75" s="136"/>
      <c r="Z75" s="139"/>
      <c r="AA75" s="136"/>
      <c r="AB75" s="136"/>
      <c r="AC75" s="139"/>
      <c r="AD75" s="142"/>
      <c r="AE75" s="143"/>
      <c r="AF75" s="144"/>
      <c r="AG75" s="135"/>
      <c r="AH75" s="143"/>
      <c r="AI75" s="135"/>
      <c r="AJ75" s="145"/>
      <c r="AK75" s="146"/>
      <c r="AL75" s="144">
        <v>0</v>
      </c>
      <c r="AM75" s="147"/>
      <c r="AN75" s="144"/>
      <c r="AO75" s="136"/>
      <c r="AP75" s="144"/>
      <c r="AQ75" s="145"/>
      <c r="AR75" s="145"/>
      <c r="AS75" s="144">
        <v>0</v>
      </c>
      <c r="AT75" s="781">
        <v>0</v>
      </c>
      <c r="AU75" s="782">
        <v>0</v>
      </c>
      <c r="AV75" s="344"/>
      <c r="AW75" s="786">
        <v>0</v>
      </c>
      <c r="AX75" s="786">
        <v>0</v>
      </c>
      <c r="AY75" s="786">
        <v>0</v>
      </c>
    </row>
    <row r="76" spans="1:51" s="30" customFormat="1" ht="15" customHeight="1" thickBot="1" x14ac:dyDescent="0.25">
      <c r="A76" s="1493" t="s">
        <v>397</v>
      </c>
      <c r="B76" s="1494"/>
      <c r="C76" s="1021">
        <v>0</v>
      </c>
      <c r="D76" s="1022">
        <v>4255.7718143692655</v>
      </c>
      <c r="E76" s="1023">
        <v>0</v>
      </c>
      <c r="F76" s="1024">
        <v>0</v>
      </c>
      <c r="G76" s="1025">
        <v>569.60967937788098</v>
      </c>
      <c r="H76" s="1026">
        <v>0</v>
      </c>
      <c r="I76" s="1024">
        <v>0</v>
      </c>
      <c r="J76" s="1025">
        <v>158.62710748085348</v>
      </c>
      <c r="K76" s="1026">
        <v>0</v>
      </c>
      <c r="L76" s="1024">
        <v>0</v>
      </c>
      <c r="M76" s="1025">
        <v>3935.2023104669443</v>
      </c>
      <c r="N76" s="1026">
        <v>0</v>
      </c>
      <c r="O76" s="1024">
        <v>0</v>
      </c>
      <c r="P76" s="1025">
        <v>1525.492171506211</v>
      </c>
      <c r="Q76" s="1026">
        <v>0</v>
      </c>
      <c r="R76" s="1027">
        <v>0</v>
      </c>
      <c r="S76" s="1025">
        <v>1059222</v>
      </c>
      <c r="T76" s="1025">
        <v>6609</v>
      </c>
      <c r="U76" s="1028">
        <v>1065831</v>
      </c>
      <c r="V76" s="1027">
        <v>1065831</v>
      </c>
      <c r="W76" s="1026">
        <v>-2664</v>
      </c>
      <c r="X76" s="1027">
        <v>1063167</v>
      </c>
      <c r="Y76" s="1026">
        <v>0</v>
      </c>
      <c r="Z76" s="1027">
        <v>1063167</v>
      </c>
      <c r="AA76" s="1025">
        <v>722412</v>
      </c>
      <c r="AB76" s="1025">
        <v>340755</v>
      </c>
      <c r="AC76" s="1027">
        <v>85189</v>
      </c>
      <c r="AD76" s="1029">
        <v>1063167</v>
      </c>
      <c r="AE76" s="1025">
        <v>5423</v>
      </c>
      <c r="AF76" s="1030">
        <v>0</v>
      </c>
      <c r="AG76" s="1024">
        <v>196</v>
      </c>
      <c r="AH76" s="1025">
        <v>441001</v>
      </c>
      <c r="AI76" s="1024">
        <v>2</v>
      </c>
      <c r="AJ76" s="1025">
        <v>257</v>
      </c>
      <c r="AK76" s="1028">
        <v>441258</v>
      </c>
      <c r="AL76" s="1030">
        <v>441258</v>
      </c>
      <c r="AM76" s="1025">
        <v>-1103</v>
      </c>
      <c r="AN76" s="1030">
        <v>440155</v>
      </c>
      <c r="AO76" s="1025">
        <v>0</v>
      </c>
      <c r="AP76" s="1030">
        <v>440155</v>
      </c>
      <c r="AQ76" s="1025">
        <v>288474</v>
      </c>
      <c r="AR76" s="1025">
        <v>151681</v>
      </c>
      <c r="AS76" s="1030">
        <v>37920</v>
      </c>
      <c r="AT76" s="787">
        <v>1503322</v>
      </c>
      <c r="AU76" s="787">
        <v>123109</v>
      </c>
      <c r="AV76" s="516"/>
      <c r="AW76" s="165">
        <v>1092</v>
      </c>
      <c r="AX76" s="165">
        <v>1103</v>
      </c>
      <c r="AY76" s="165">
        <v>11</v>
      </c>
    </row>
    <row r="77" spans="1:51" s="30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17095</v>
      </c>
      <c r="S77" s="975"/>
      <c r="T77" s="975"/>
      <c r="U77" s="975"/>
      <c r="V77" s="976">
        <v>17095</v>
      </c>
      <c r="W77" s="1018">
        <v>-43</v>
      </c>
      <c r="X77" s="976">
        <v>17052</v>
      </c>
      <c r="Y77" s="975"/>
      <c r="Z77" s="976">
        <v>17052</v>
      </c>
      <c r="AA77" s="975">
        <v>11047</v>
      </c>
      <c r="AB77" s="975">
        <v>6005</v>
      </c>
      <c r="AC77" s="976">
        <v>1501</v>
      </c>
      <c r="AD77" s="1020">
        <v>17052</v>
      </c>
      <c r="AE77" s="975"/>
      <c r="AF77" s="975"/>
      <c r="AG77" s="1019"/>
      <c r="AH77" s="975"/>
      <c r="AI77" s="1019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1179">
        <v>17052</v>
      </c>
      <c r="AU77" s="1179">
        <v>1501</v>
      </c>
      <c r="AV77" s="1033"/>
      <c r="AW77" s="1034">
        <v>0</v>
      </c>
      <c r="AX77" s="1034">
        <v>0</v>
      </c>
      <c r="AY77" s="1034">
        <v>0</v>
      </c>
    </row>
    <row r="78" spans="1:51" s="30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1"/>
      <c r="AA78" s="791"/>
      <c r="AB78" s="790"/>
      <c r="AC78" s="791"/>
      <c r="AD78" s="791"/>
      <c r="AE78" s="791"/>
      <c r="AF78" s="791"/>
      <c r="AG78" s="789"/>
      <c r="AH78" s="791"/>
      <c r="AI78" s="789"/>
      <c r="AJ78" s="791"/>
      <c r="AK78" s="791"/>
      <c r="AL78" s="791"/>
      <c r="AM78" s="791"/>
      <c r="AN78" s="791"/>
      <c r="AO78" s="791"/>
      <c r="AP78" s="791"/>
      <c r="AQ78" s="791"/>
      <c r="AR78" s="791"/>
      <c r="AS78" s="791"/>
      <c r="AT78" s="1035">
        <v>0</v>
      </c>
      <c r="AU78" s="1035">
        <v>0</v>
      </c>
      <c r="AV78" s="516"/>
      <c r="AW78" s="788"/>
      <c r="AX78" s="788"/>
      <c r="AY78" s="788"/>
    </row>
    <row r="79" spans="1:51" s="30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142">
        <v>0</v>
      </c>
      <c r="AA79" s="791">
        <v>0</v>
      </c>
      <c r="AB79" s="790">
        <v>0</v>
      </c>
      <c r="AC79" s="142">
        <v>0</v>
      </c>
      <c r="AD79" s="142">
        <v>0</v>
      </c>
      <c r="AE79" s="790"/>
      <c r="AF79" s="790"/>
      <c r="AG79" s="789"/>
      <c r="AH79" s="790"/>
      <c r="AI79" s="789"/>
      <c r="AJ79" s="790"/>
      <c r="AK79" s="790"/>
      <c r="AL79" s="790"/>
      <c r="AM79" s="790"/>
      <c r="AN79" s="790"/>
      <c r="AO79" s="790"/>
      <c r="AP79" s="790"/>
      <c r="AQ79" s="790"/>
      <c r="AR79" s="790"/>
      <c r="AS79" s="790"/>
      <c r="AT79" s="792">
        <v>0</v>
      </c>
      <c r="AU79" s="792">
        <v>0</v>
      </c>
      <c r="AV79" s="516"/>
      <c r="AW79" s="516"/>
      <c r="AX79" s="516"/>
      <c r="AY79" s="516"/>
    </row>
    <row r="80" spans="1:51" s="30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3"/>
      <c r="AA80" s="791"/>
      <c r="AB80" s="790"/>
      <c r="AC80" s="793"/>
      <c r="AD80" s="142">
        <v>0</v>
      </c>
      <c r="AE80" s="790"/>
      <c r="AF80" s="790"/>
      <c r="AG80" s="789"/>
      <c r="AH80" s="790"/>
      <c r="AI80" s="789"/>
      <c r="AJ80" s="790"/>
      <c r="AK80" s="790"/>
      <c r="AL80" s="790"/>
      <c r="AM80" s="790"/>
      <c r="AN80" s="790"/>
      <c r="AO80" s="790"/>
      <c r="AP80" s="790"/>
      <c r="AQ80" s="790"/>
      <c r="AR80" s="790"/>
      <c r="AS80" s="790"/>
      <c r="AT80" s="792">
        <v>0</v>
      </c>
      <c r="AU80" s="790"/>
      <c r="AV80" s="516"/>
      <c r="AW80" s="516"/>
      <c r="AX80" s="516"/>
      <c r="AY80" s="516"/>
    </row>
    <row r="81" spans="1:51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1"/>
      <c r="AA81" s="791"/>
      <c r="AB81" s="790"/>
      <c r="AC81" s="791"/>
      <c r="AD81" s="142">
        <v>0</v>
      </c>
      <c r="AE81" s="790"/>
      <c r="AF81" s="790"/>
      <c r="AG81" s="789"/>
      <c r="AH81" s="790"/>
      <c r="AI81" s="789"/>
      <c r="AJ81" s="790"/>
      <c r="AK81" s="790"/>
      <c r="AL81" s="790"/>
      <c r="AM81" s="790"/>
      <c r="AN81" s="790"/>
      <c r="AO81" s="790"/>
      <c r="AP81" s="790"/>
      <c r="AQ81" s="790"/>
      <c r="AR81" s="790"/>
      <c r="AS81" s="790"/>
      <c r="AT81" s="792">
        <v>0</v>
      </c>
      <c r="AU81" s="790"/>
      <c r="AV81" s="344"/>
      <c r="AW81" s="344"/>
      <c r="AX81" s="344"/>
      <c r="AY81" s="344"/>
    </row>
    <row r="82" spans="1:51" s="30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3"/>
      <c r="AA82" s="791"/>
      <c r="AB82" s="790"/>
      <c r="AC82" s="793"/>
      <c r="AD82" s="142">
        <v>0</v>
      </c>
      <c r="AE82" s="790"/>
      <c r="AF82" s="790"/>
      <c r="AG82" s="789"/>
      <c r="AH82" s="790"/>
      <c r="AI82" s="789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2">
        <v>0</v>
      </c>
      <c r="AU82" s="790"/>
      <c r="AV82" s="516"/>
      <c r="AW82" s="516"/>
      <c r="AX82" s="516"/>
      <c r="AY82" s="516"/>
    </row>
    <row r="83" spans="1:51" s="30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157">
        <v>0</v>
      </c>
      <c r="AA83" s="156">
        <v>0</v>
      </c>
      <c r="AB83" s="795">
        <v>0</v>
      </c>
      <c r="AC83" s="157">
        <v>0</v>
      </c>
      <c r="AD83" s="157">
        <v>0</v>
      </c>
      <c r="AE83" s="795"/>
      <c r="AF83" s="795"/>
      <c r="AG83" s="794"/>
      <c r="AH83" s="795"/>
      <c r="AI83" s="794"/>
      <c r="AJ83" s="795"/>
      <c r="AK83" s="795"/>
      <c r="AL83" s="795"/>
      <c r="AM83" s="795"/>
      <c r="AN83" s="795"/>
      <c r="AO83" s="795"/>
      <c r="AP83" s="795"/>
      <c r="AQ83" s="795"/>
      <c r="AR83" s="795"/>
      <c r="AS83" s="795"/>
      <c r="AT83" s="796">
        <v>0</v>
      </c>
      <c r="AU83" s="796">
        <v>0</v>
      </c>
      <c r="AV83" s="516"/>
      <c r="AW83" s="516"/>
      <c r="AX83" s="516"/>
      <c r="AY83" s="516"/>
    </row>
    <row r="84" spans="1:51" s="30" customFormat="1" ht="15" customHeight="1" thickBot="1" x14ac:dyDescent="0.25">
      <c r="A84" s="1493" t="s">
        <v>398</v>
      </c>
      <c r="B84" s="1494"/>
      <c r="C84" s="1021">
        <v>0</v>
      </c>
      <c r="D84" s="1022">
        <v>4255.7718143692655</v>
      </c>
      <c r="E84" s="1023">
        <v>0</v>
      </c>
      <c r="F84" s="1024">
        <v>0</v>
      </c>
      <c r="G84" s="1025">
        <v>569.60967937788098</v>
      </c>
      <c r="H84" s="1026">
        <v>0</v>
      </c>
      <c r="I84" s="1024">
        <v>0</v>
      </c>
      <c r="J84" s="1025">
        <v>158.62710748085348</v>
      </c>
      <c r="K84" s="1026">
        <v>0</v>
      </c>
      <c r="L84" s="1024">
        <v>0</v>
      </c>
      <c r="M84" s="1025">
        <v>3935.2023104669443</v>
      </c>
      <c r="N84" s="1026">
        <v>0</v>
      </c>
      <c r="O84" s="1024">
        <v>0</v>
      </c>
      <c r="P84" s="1025">
        <v>1525.492171506211</v>
      </c>
      <c r="Q84" s="1026">
        <v>0</v>
      </c>
      <c r="R84" s="1027">
        <v>17095</v>
      </c>
      <c r="S84" s="1025">
        <v>1059222</v>
      </c>
      <c r="T84" s="1025">
        <v>6609</v>
      </c>
      <c r="U84" s="1028">
        <v>1065831</v>
      </c>
      <c r="V84" s="1027">
        <v>1082926</v>
      </c>
      <c r="W84" s="1026">
        <v>-2707</v>
      </c>
      <c r="X84" s="1027">
        <v>1080219</v>
      </c>
      <c r="Y84" s="1026">
        <v>0</v>
      </c>
      <c r="Z84" s="1027">
        <v>1080219</v>
      </c>
      <c r="AA84" s="1025">
        <v>733459</v>
      </c>
      <c r="AB84" s="1025">
        <v>346760</v>
      </c>
      <c r="AC84" s="1027">
        <v>86690</v>
      </c>
      <c r="AD84" s="1029">
        <v>1080219</v>
      </c>
      <c r="AE84" s="1025">
        <v>5423</v>
      </c>
      <c r="AF84" s="1030">
        <v>0</v>
      </c>
      <c r="AG84" s="1024">
        <v>196</v>
      </c>
      <c r="AH84" s="1025">
        <v>441001</v>
      </c>
      <c r="AI84" s="1024">
        <v>2</v>
      </c>
      <c r="AJ84" s="1025">
        <v>257</v>
      </c>
      <c r="AK84" s="1028">
        <v>441258</v>
      </c>
      <c r="AL84" s="1030">
        <v>441258</v>
      </c>
      <c r="AM84" s="1025">
        <v>-1103</v>
      </c>
      <c r="AN84" s="1030">
        <v>440155</v>
      </c>
      <c r="AO84" s="1025">
        <v>0</v>
      </c>
      <c r="AP84" s="1030">
        <v>440155</v>
      </c>
      <c r="AQ84" s="1025">
        <v>288474</v>
      </c>
      <c r="AR84" s="1025">
        <v>151681</v>
      </c>
      <c r="AS84" s="1030">
        <v>37920</v>
      </c>
      <c r="AT84" s="787">
        <v>1520374</v>
      </c>
      <c r="AU84" s="787">
        <v>124610</v>
      </c>
      <c r="AV84" s="516"/>
      <c r="AW84" s="165">
        <v>1092</v>
      </c>
      <c r="AX84" s="165">
        <v>1103</v>
      </c>
      <c r="AY84" s="165">
        <v>11</v>
      </c>
    </row>
    <row r="85" spans="1:51" ht="16.149999999999999" customHeight="1" thickTop="1" x14ac:dyDescent="0.2"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516"/>
      <c r="Y85" s="344"/>
      <c r="Z85" s="344"/>
      <c r="AB85" s="344"/>
      <c r="AC85" s="344"/>
      <c r="AD85" s="344"/>
      <c r="AE85" s="344"/>
      <c r="AF85" s="344"/>
    </row>
    <row r="86" spans="1:51" ht="16.149999999999999" customHeight="1" x14ac:dyDescent="0.2"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>
        <v>1090873</v>
      </c>
      <c r="S86" s="344"/>
      <c r="T86" s="344"/>
      <c r="U86" s="344"/>
      <c r="V86" s="344"/>
      <c r="W86" s="344"/>
      <c r="X86" s="516"/>
      <c r="Y86" s="344"/>
      <c r="Z86" s="344"/>
      <c r="AB86" s="344"/>
      <c r="AC86" s="344"/>
      <c r="AD86" s="344"/>
      <c r="AE86" s="344"/>
      <c r="AF86" s="344"/>
    </row>
    <row r="87" spans="1:51" ht="16.149999999999999" customHeight="1" x14ac:dyDescent="0.2">
      <c r="C87" s="494"/>
      <c r="D87" s="344"/>
      <c r="E87" s="344"/>
      <c r="F87" s="293"/>
      <c r="G87" s="344"/>
      <c r="H87" s="674"/>
      <c r="I87" s="674"/>
      <c r="J87" s="674"/>
      <c r="K87" s="674"/>
      <c r="L87" s="848"/>
      <c r="M87" s="674"/>
      <c r="N87" s="674"/>
      <c r="O87" s="849"/>
      <c r="P87" s="674"/>
      <c r="Q87" s="674"/>
      <c r="R87" s="344">
        <v>1085829</v>
      </c>
      <c r="S87" s="344"/>
      <c r="T87" s="344"/>
      <c r="U87" s="344"/>
      <c r="V87" s="344"/>
      <c r="W87" s="344"/>
      <c r="X87" s="516"/>
      <c r="Y87" s="344"/>
      <c r="Z87" s="344"/>
      <c r="AA87" s="516"/>
      <c r="AB87" s="344"/>
      <c r="AC87" s="344"/>
      <c r="AD87" s="344"/>
      <c r="AE87" s="344"/>
      <c r="AF87" s="344"/>
      <c r="AQ87" s="516"/>
      <c r="AS87" s="516"/>
    </row>
    <row r="88" spans="1:51" ht="16.149999999999999" customHeight="1" x14ac:dyDescent="0.2">
      <c r="H88" s="10"/>
      <c r="I88" s="10"/>
      <c r="J88" s="1441"/>
      <c r="K88" s="888"/>
      <c r="L88" s="888"/>
      <c r="M88" s="1441"/>
      <c r="N88" s="888"/>
      <c r="O88" s="888"/>
      <c r="P88" s="1441"/>
      <c r="Q88" s="888"/>
    </row>
    <row r="89" spans="1:51" x14ac:dyDescent="0.2">
      <c r="A89" s="7" t="s">
        <v>1171</v>
      </c>
      <c r="B89" s="7" t="s">
        <v>1171</v>
      </c>
      <c r="C89" s="7" t="s">
        <v>1171</v>
      </c>
      <c r="D89" s="7" t="s">
        <v>1171</v>
      </c>
      <c r="E89" s="7" t="s">
        <v>1171</v>
      </c>
      <c r="H89" s="10"/>
      <c r="I89" s="10"/>
      <c r="J89" s="1441"/>
      <c r="K89" s="888"/>
      <c r="L89" s="888"/>
      <c r="M89" s="1441"/>
      <c r="N89" s="888"/>
      <c r="O89" s="888"/>
      <c r="P89" s="1441"/>
      <c r="Q89" s="888"/>
      <c r="AC89" s="7">
        <v>4</v>
      </c>
      <c r="AS89" s="7">
        <v>4</v>
      </c>
    </row>
    <row r="90" spans="1:51" x14ac:dyDescent="0.2">
      <c r="C90"/>
      <c r="D90"/>
      <c r="E90"/>
      <c r="F90"/>
      <c r="G9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858" t="s">
        <v>1379</v>
      </c>
      <c r="C91"/>
      <c r="D91"/>
      <c r="E91"/>
      <c r="F91"/>
      <c r="G91"/>
    </row>
    <row r="92" spans="1:51" x14ac:dyDescent="0.2">
      <c r="B92" s="859" t="s">
        <v>1462</v>
      </c>
      <c r="C92"/>
      <c r="D92"/>
      <c r="E92"/>
      <c r="F92"/>
      <c r="G92"/>
    </row>
    <row r="93" spans="1:51" x14ac:dyDescent="0.2">
      <c r="B93" s="863" t="s">
        <v>1214</v>
      </c>
      <c r="C93"/>
      <c r="D93"/>
      <c r="E93"/>
      <c r="F93"/>
      <c r="G93"/>
    </row>
    <row r="94" spans="1:51" x14ac:dyDescent="0.2">
      <c r="B94" s="860" t="s">
        <v>1471</v>
      </c>
      <c r="C94"/>
      <c r="D94"/>
      <c r="E94"/>
      <c r="F94"/>
      <c r="G94"/>
    </row>
    <row r="95" spans="1:51" x14ac:dyDescent="0.2">
      <c r="A95"/>
      <c r="B95"/>
      <c r="C95"/>
      <c r="D95"/>
      <c r="E95"/>
      <c r="F95"/>
      <c r="G95"/>
    </row>
    <row r="96" spans="1:51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  <mergeCell ref="V1:AD1"/>
    <mergeCell ref="AE1:AK1"/>
    <mergeCell ref="AL1:AS1"/>
    <mergeCell ref="V2:V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P2:AP3"/>
    <mergeCell ref="AQ2:AQ3"/>
    <mergeCell ref="AR2:AR3"/>
    <mergeCell ref="AS2:AS3"/>
    <mergeCell ref="A76:B76"/>
    <mergeCell ref="AN2:AN3"/>
    <mergeCell ref="AO2:AO3"/>
    <mergeCell ref="J88:J89"/>
    <mergeCell ref="M88:M89"/>
    <mergeCell ref="P88:P89"/>
    <mergeCell ref="A79:B79"/>
    <mergeCell ref="A80:B80"/>
    <mergeCell ref="A81:B81"/>
    <mergeCell ref="A82:B82"/>
    <mergeCell ref="A83:B83"/>
    <mergeCell ref="A84:B84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A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6.140625" style="5" customWidth="1"/>
    <col min="3" max="3" width="13.140625" style="5" customWidth="1"/>
    <col min="4" max="4" width="14.7109375" style="5" customWidth="1"/>
    <col min="5" max="5" width="12.42578125" style="5" customWidth="1"/>
    <col min="6" max="6" width="11.28515625" style="5" customWidth="1"/>
    <col min="7" max="7" width="9.7109375" style="5" customWidth="1"/>
    <col min="8" max="8" width="10.7109375" style="5" customWidth="1"/>
    <col min="9" max="9" width="11.28515625" style="5" customWidth="1"/>
    <col min="10" max="10" width="9.7109375" style="5" customWidth="1"/>
    <col min="11" max="11" width="10.7109375" style="5" customWidth="1"/>
    <col min="12" max="12" width="11.28515625" style="5" customWidth="1"/>
    <col min="13" max="13" width="9.140625" style="5" customWidth="1"/>
    <col min="14" max="14" width="10.28515625" style="5" bestFit="1" customWidth="1"/>
    <col min="15" max="15" width="11.28515625" style="5" customWidth="1"/>
    <col min="16" max="16" width="9.140625" style="5" bestFit="1" customWidth="1"/>
    <col min="17" max="17" width="10.28515625" style="5" bestFit="1" customWidth="1"/>
    <col min="18" max="18" width="11.7109375" style="5" customWidth="1"/>
    <col min="19" max="19" width="12.42578125" style="5" bestFit="1" customWidth="1"/>
    <col min="20" max="22" width="12.140625" style="5" customWidth="1"/>
    <col min="23" max="23" width="12.5703125" style="5" customWidth="1"/>
    <col min="24" max="24" width="11.7109375" style="5" customWidth="1"/>
    <col min="25" max="25" width="13" style="5" customWidth="1"/>
    <col min="26" max="26" width="14.140625" style="5" customWidth="1"/>
    <col min="27" max="27" width="18" style="5" customWidth="1"/>
    <col min="28" max="29" width="11.7109375" style="5" customWidth="1"/>
    <col min="30" max="30" width="11.28515625" style="5" customWidth="1"/>
    <col min="31" max="31" width="16.5703125" style="5" customWidth="1"/>
    <col min="32" max="32" width="15.85546875" style="5" customWidth="1"/>
    <col min="33" max="33" width="16.85546875" style="5" customWidth="1"/>
    <col min="34" max="38" width="16.28515625" style="5" customWidth="1"/>
    <col min="39" max="39" width="16.140625" style="5" customWidth="1"/>
    <col min="40" max="40" width="12" style="5" customWidth="1"/>
    <col min="41" max="41" width="16.140625" style="5" customWidth="1"/>
    <col min="42" max="42" width="14.42578125" style="5" customWidth="1"/>
    <col min="43" max="46" width="16.140625" style="5" customWidth="1"/>
    <col min="47" max="47" width="14.28515625" style="5" customWidth="1"/>
    <col min="48" max="48" width="14.42578125" style="5" bestFit="1" customWidth="1"/>
    <col min="49" max="49" width="3" style="5" bestFit="1" customWidth="1"/>
    <col min="50" max="50" width="16.28515625" style="5" customWidth="1"/>
    <col min="51" max="51" width="11.5703125" style="5" customWidth="1"/>
    <col min="52" max="52" width="12.85546875" style="5" customWidth="1"/>
    <col min="53" max="16384" width="8.85546875" style="5"/>
  </cols>
  <sheetData>
    <row r="1" spans="1:53" ht="19.899999999999999" customHeight="1" x14ac:dyDescent="0.2">
      <c r="A1" s="1495" t="s">
        <v>488</v>
      </c>
      <c r="B1" s="1495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3"/>
      <c r="V1" s="1434"/>
      <c r="W1" s="1404" t="s">
        <v>310</v>
      </c>
      <c r="X1" s="1405"/>
      <c r="Y1" s="1405"/>
      <c r="Z1" s="1405"/>
      <c r="AA1" s="1405"/>
      <c r="AB1" s="1405"/>
      <c r="AC1" s="1405"/>
      <c r="AD1" s="1405"/>
      <c r="AE1" s="1406"/>
      <c r="AF1" s="1519" t="s">
        <v>389</v>
      </c>
      <c r="AG1" s="1520"/>
      <c r="AH1" s="1520"/>
      <c r="AI1" s="1520"/>
      <c r="AJ1" s="1520"/>
      <c r="AK1" s="1520"/>
      <c r="AL1" s="1521"/>
      <c r="AM1" s="1519" t="s">
        <v>389</v>
      </c>
      <c r="AN1" s="1520"/>
      <c r="AO1" s="1520"/>
      <c r="AP1" s="1520"/>
      <c r="AQ1" s="1520"/>
      <c r="AR1" s="1520"/>
      <c r="AS1" s="1520"/>
      <c r="AT1" s="1521"/>
      <c r="AU1" s="1501" t="s">
        <v>321</v>
      </c>
      <c r="AV1" s="1501" t="s">
        <v>322</v>
      </c>
      <c r="AX1" s="110"/>
      <c r="AY1" s="110"/>
      <c r="AZ1" s="110"/>
    </row>
    <row r="2" spans="1:53" ht="30" customHeight="1" x14ac:dyDescent="0.2">
      <c r="A2" s="1495"/>
      <c r="B2" s="1495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412" t="s">
        <v>395</v>
      </c>
      <c r="T2" s="1298" t="s">
        <v>228</v>
      </c>
      <c r="U2" s="1298"/>
      <c r="V2" s="1298"/>
      <c r="W2" s="1412" t="s">
        <v>433</v>
      </c>
      <c r="X2" s="1412" t="s">
        <v>391</v>
      </c>
      <c r="Y2" s="1412" t="s">
        <v>434</v>
      </c>
      <c r="Z2" s="1415" t="s">
        <v>1431</v>
      </c>
      <c r="AA2" s="1412" t="s">
        <v>970</v>
      </c>
      <c r="AB2" s="1412" t="s">
        <v>268</v>
      </c>
      <c r="AC2" s="1412" t="s">
        <v>269</v>
      </c>
      <c r="AD2" s="1412" t="s">
        <v>231</v>
      </c>
      <c r="AE2" s="1412" t="s">
        <v>971</v>
      </c>
      <c r="AF2" s="1502" t="s">
        <v>1445</v>
      </c>
      <c r="AG2" s="1496" t="s">
        <v>1018</v>
      </c>
      <c r="AH2" s="1497" t="s">
        <v>228</v>
      </c>
      <c r="AI2" s="1497"/>
      <c r="AJ2" s="1497"/>
      <c r="AK2" s="1497"/>
      <c r="AL2" s="1497"/>
      <c r="AM2" s="1496" t="s">
        <v>1019</v>
      </c>
      <c r="AN2" s="1496" t="s">
        <v>1023</v>
      </c>
      <c r="AO2" s="1496" t="s">
        <v>1020</v>
      </c>
      <c r="AP2" s="1415" t="s">
        <v>1431</v>
      </c>
      <c r="AQ2" s="1496" t="s">
        <v>1021</v>
      </c>
      <c r="AR2" s="1496" t="s">
        <v>290</v>
      </c>
      <c r="AS2" s="1496" t="s">
        <v>269</v>
      </c>
      <c r="AT2" s="1496" t="s">
        <v>428</v>
      </c>
      <c r="AU2" s="1501"/>
      <c r="AV2" s="1501"/>
      <c r="AX2" s="111"/>
      <c r="AY2" s="111"/>
      <c r="AZ2" s="111"/>
    </row>
    <row r="3" spans="1:53" ht="95.25" customHeight="1" x14ac:dyDescent="0.2">
      <c r="A3" s="1495"/>
      <c r="B3" s="1495"/>
      <c r="C3" s="1412"/>
      <c r="D3" s="478" t="s">
        <v>552</v>
      </c>
      <c r="E3" s="477" t="s">
        <v>320</v>
      </c>
      <c r="F3" s="477" t="s">
        <v>1197</v>
      </c>
      <c r="G3" s="478" t="s">
        <v>551</v>
      </c>
      <c r="H3" s="477" t="s">
        <v>320</v>
      </c>
      <c r="I3" s="477" t="s">
        <v>1198</v>
      </c>
      <c r="J3" s="478" t="s">
        <v>551</v>
      </c>
      <c r="K3" s="477" t="s">
        <v>320</v>
      </c>
      <c r="L3" s="477" t="s">
        <v>1199</v>
      </c>
      <c r="M3" s="478" t="s">
        <v>551</v>
      </c>
      <c r="N3" s="477" t="s">
        <v>320</v>
      </c>
      <c r="O3" s="477" t="s">
        <v>1199</v>
      </c>
      <c r="P3" s="478" t="s">
        <v>551</v>
      </c>
      <c r="Q3" s="477" t="s">
        <v>320</v>
      </c>
      <c r="R3" s="1412"/>
      <c r="S3" s="1412"/>
      <c r="T3" s="483" t="s">
        <v>1186</v>
      </c>
      <c r="U3" s="483" t="s">
        <v>1187</v>
      </c>
      <c r="V3" s="483" t="s">
        <v>230</v>
      </c>
      <c r="W3" s="1412"/>
      <c r="X3" s="1412"/>
      <c r="Y3" s="1412"/>
      <c r="Z3" s="1415"/>
      <c r="AA3" s="1412"/>
      <c r="AB3" s="1412"/>
      <c r="AC3" s="1412"/>
      <c r="AD3" s="1412"/>
      <c r="AE3" s="1412"/>
      <c r="AF3" s="1503"/>
      <c r="AG3" s="1496"/>
      <c r="AH3" s="672" t="s">
        <v>1202</v>
      </c>
      <c r="AI3" s="672" t="s">
        <v>1203</v>
      </c>
      <c r="AJ3" s="672" t="s">
        <v>1204</v>
      </c>
      <c r="AK3" s="672" t="s">
        <v>1206</v>
      </c>
      <c r="AL3" s="672" t="s">
        <v>230</v>
      </c>
      <c r="AM3" s="1496"/>
      <c r="AN3" s="1496"/>
      <c r="AO3" s="1496"/>
      <c r="AP3" s="1415"/>
      <c r="AQ3" s="1496"/>
      <c r="AR3" s="1496"/>
      <c r="AS3" s="1496"/>
      <c r="AT3" s="1496"/>
      <c r="AU3" s="1501"/>
      <c r="AV3" s="1501"/>
      <c r="AX3" s="535" t="s">
        <v>440</v>
      </c>
      <c r="AY3" s="535" t="s">
        <v>441</v>
      </c>
      <c r="AZ3" s="535" t="s">
        <v>375</v>
      </c>
    </row>
    <row r="4" spans="1:53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  <c r="AZ4" s="114">
        <v>50</v>
      </c>
    </row>
    <row r="5" spans="1:53" ht="33.75" x14ac:dyDescent="0.2">
      <c r="A5" s="112"/>
      <c r="B5" s="113"/>
      <c r="C5" s="760" t="s">
        <v>813</v>
      </c>
      <c r="D5" s="599" t="s">
        <v>1007</v>
      </c>
      <c r="E5" s="599" t="s">
        <v>814</v>
      </c>
      <c r="F5" s="760" t="s">
        <v>960</v>
      </c>
      <c r="G5" s="760" t="s">
        <v>1008</v>
      </c>
      <c r="H5" s="760" t="s">
        <v>859</v>
      </c>
      <c r="I5" s="760" t="s">
        <v>959</v>
      </c>
      <c r="J5" s="760" t="s">
        <v>1009</v>
      </c>
      <c r="K5" s="760" t="s">
        <v>860</v>
      </c>
      <c r="L5" s="760" t="s">
        <v>957</v>
      </c>
      <c r="M5" s="760" t="s">
        <v>1010</v>
      </c>
      <c r="N5" s="760" t="s">
        <v>861</v>
      </c>
      <c r="O5" s="760" t="s">
        <v>958</v>
      </c>
      <c r="P5" s="760" t="s">
        <v>1011</v>
      </c>
      <c r="Q5" s="760" t="s">
        <v>862</v>
      </c>
      <c r="R5" s="760" t="s">
        <v>1405</v>
      </c>
      <c r="S5" s="760"/>
      <c r="T5" s="760" t="s">
        <v>951</v>
      </c>
      <c r="U5" s="760" t="s">
        <v>952</v>
      </c>
      <c r="V5" s="760" t="s">
        <v>876</v>
      </c>
      <c r="W5" s="760" t="s">
        <v>877</v>
      </c>
      <c r="X5" s="760" t="s">
        <v>878</v>
      </c>
      <c r="Y5" s="760" t="s">
        <v>879</v>
      </c>
      <c r="Z5" s="760" t="s">
        <v>818</v>
      </c>
      <c r="AA5" s="598" t="s">
        <v>1408</v>
      </c>
      <c r="AB5" s="598" t="s">
        <v>1013</v>
      </c>
      <c r="AC5" s="598" t="s">
        <v>880</v>
      </c>
      <c r="AD5" s="598" t="s">
        <v>1014</v>
      </c>
      <c r="AE5" s="598" t="s">
        <v>1409</v>
      </c>
      <c r="AF5" s="598" t="s">
        <v>1012</v>
      </c>
      <c r="AG5" s="598" t="s">
        <v>881</v>
      </c>
      <c r="AH5" s="598" t="s">
        <v>951</v>
      </c>
      <c r="AI5" s="598" t="s">
        <v>882</v>
      </c>
      <c r="AJ5" s="598" t="s">
        <v>952</v>
      </c>
      <c r="AK5" s="598" t="s">
        <v>883</v>
      </c>
      <c r="AL5" s="598" t="s">
        <v>884</v>
      </c>
      <c r="AM5" s="598" t="s">
        <v>885</v>
      </c>
      <c r="AN5" s="598" t="s">
        <v>886</v>
      </c>
      <c r="AO5" s="598" t="s">
        <v>887</v>
      </c>
      <c r="AP5" s="598" t="s">
        <v>818</v>
      </c>
      <c r="AQ5" s="598" t="s">
        <v>847</v>
      </c>
      <c r="AR5" s="598" t="s">
        <v>1015</v>
      </c>
      <c r="AS5" s="598" t="s">
        <v>888</v>
      </c>
      <c r="AT5" s="598" t="s">
        <v>1016</v>
      </c>
      <c r="AU5" s="45"/>
      <c r="AV5" s="45"/>
      <c r="AW5" s="45"/>
      <c r="AX5" s="45"/>
      <c r="AY5" s="45"/>
      <c r="AZ5" s="45"/>
      <c r="BA5" s="45"/>
    </row>
    <row r="6" spans="1:53" ht="51" hidden="1" x14ac:dyDescent="0.2">
      <c r="A6" s="115"/>
      <c r="B6" s="109"/>
      <c r="C6" s="545" t="s">
        <v>603</v>
      </c>
      <c r="D6" s="545" t="s">
        <v>603</v>
      </c>
      <c r="E6" s="545" t="s">
        <v>604</v>
      </c>
      <c r="F6" s="545" t="s">
        <v>694</v>
      </c>
      <c r="G6" s="545" t="s">
        <v>603</v>
      </c>
      <c r="H6" s="545" t="s">
        <v>604</v>
      </c>
      <c r="I6" s="545" t="s">
        <v>694</v>
      </c>
      <c r="J6" s="545" t="s">
        <v>603</v>
      </c>
      <c r="K6" s="545" t="s">
        <v>604</v>
      </c>
      <c r="L6" s="545" t="s">
        <v>694</v>
      </c>
      <c r="M6" s="545" t="s">
        <v>603</v>
      </c>
      <c r="N6" s="545" t="s">
        <v>604</v>
      </c>
      <c r="O6" s="545" t="s">
        <v>694</v>
      </c>
      <c r="P6" s="545" t="s">
        <v>603</v>
      </c>
      <c r="Q6" s="545" t="s">
        <v>604</v>
      </c>
      <c r="R6" s="545" t="s">
        <v>604</v>
      </c>
      <c r="S6" s="109"/>
      <c r="T6" s="545" t="s">
        <v>817</v>
      </c>
      <c r="U6" s="545" t="s">
        <v>817</v>
      </c>
      <c r="V6" s="545" t="s">
        <v>604</v>
      </c>
      <c r="W6" s="545" t="s">
        <v>604</v>
      </c>
      <c r="X6" s="545" t="s">
        <v>604</v>
      </c>
      <c r="Y6" s="545" t="s">
        <v>604</v>
      </c>
      <c r="Z6" s="545" t="s">
        <v>818</v>
      </c>
      <c r="AA6" s="545" t="s">
        <v>836</v>
      </c>
      <c r="AB6" s="545" t="s">
        <v>844</v>
      </c>
      <c r="AC6" s="545" t="s">
        <v>604</v>
      </c>
      <c r="AD6" s="545" t="s">
        <v>604</v>
      </c>
      <c r="AE6" s="545" t="s">
        <v>837</v>
      </c>
      <c r="AF6" s="545" t="s">
        <v>603</v>
      </c>
      <c r="AG6" s="545" t="s">
        <v>604</v>
      </c>
      <c r="AH6" s="545" t="s">
        <v>817</v>
      </c>
      <c r="AI6" s="545" t="s">
        <v>604</v>
      </c>
      <c r="AJ6" s="545" t="s">
        <v>817</v>
      </c>
      <c r="AK6" s="545" t="s">
        <v>604</v>
      </c>
      <c r="AL6" s="545" t="s">
        <v>604</v>
      </c>
      <c r="AM6" s="545" t="s">
        <v>604</v>
      </c>
      <c r="AN6" s="545" t="s">
        <v>604</v>
      </c>
      <c r="AO6" s="545" t="s">
        <v>604</v>
      </c>
      <c r="AP6" s="545" t="s">
        <v>818</v>
      </c>
      <c r="AQ6" s="545" t="s">
        <v>604</v>
      </c>
      <c r="AR6" s="545" t="s">
        <v>844</v>
      </c>
      <c r="AS6" s="545" t="s">
        <v>604</v>
      </c>
      <c r="AT6" s="545" t="s">
        <v>604</v>
      </c>
      <c r="AU6" s="545" t="s">
        <v>604</v>
      </c>
      <c r="AV6" s="545" t="s">
        <v>604</v>
      </c>
      <c r="AW6" s="545"/>
      <c r="AX6" s="545" t="s">
        <v>843</v>
      </c>
      <c r="AY6" s="545" t="s">
        <v>604</v>
      </c>
      <c r="AZ6" s="545" t="s">
        <v>604</v>
      </c>
    </row>
    <row r="7" spans="1:53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192579</v>
      </c>
      <c r="S7" s="121">
        <v>21398</v>
      </c>
      <c r="T7" s="118"/>
      <c r="U7" s="118"/>
      <c r="V7" s="122"/>
      <c r="W7" s="121"/>
      <c r="X7" s="119"/>
      <c r="Y7" s="121"/>
      <c r="Z7" s="118"/>
      <c r="AA7" s="121"/>
      <c r="AB7" s="118"/>
      <c r="AC7" s="118"/>
      <c r="AD7" s="121"/>
      <c r="AE7" s="123"/>
      <c r="AF7" s="124"/>
      <c r="AG7" s="125"/>
      <c r="AH7" s="117"/>
      <c r="AI7" s="124"/>
      <c r="AJ7" s="117"/>
      <c r="AK7" s="126"/>
      <c r="AL7" s="127"/>
      <c r="AM7" s="125">
        <v>51064</v>
      </c>
      <c r="AN7" s="128"/>
      <c r="AO7" s="125"/>
      <c r="AP7" s="126">
        <v>0</v>
      </c>
      <c r="AQ7" s="125"/>
      <c r="AR7" s="126"/>
      <c r="AS7" s="126"/>
      <c r="AT7" s="125">
        <v>-2146</v>
      </c>
      <c r="AU7" s="779">
        <v>158959</v>
      </c>
      <c r="AV7" s="780">
        <v>-7156</v>
      </c>
      <c r="AW7" s="344"/>
      <c r="AX7" s="119">
        <v>224</v>
      </c>
      <c r="AY7" s="119">
        <v>128</v>
      </c>
      <c r="AZ7" s="119">
        <v>-96</v>
      </c>
    </row>
    <row r="8" spans="1:53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47918</v>
      </c>
      <c r="S8" s="139">
        <v>5324</v>
      </c>
      <c r="T8" s="136"/>
      <c r="U8" s="136"/>
      <c r="V8" s="140"/>
      <c r="W8" s="139"/>
      <c r="X8" s="137"/>
      <c r="Y8" s="139"/>
      <c r="Z8" s="136"/>
      <c r="AA8" s="139"/>
      <c r="AB8" s="136"/>
      <c r="AC8" s="136"/>
      <c r="AD8" s="139"/>
      <c r="AE8" s="142"/>
      <c r="AF8" s="143"/>
      <c r="AG8" s="144"/>
      <c r="AH8" s="135"/>
      <c r="AI8" s="143"/>
      <c r="AJ8" s="135"/>
      <c r="AK8" s="145"/>
      <c r="AL8" s="146"/>
      <c r="AM8" s="144">
        <v>30492</v>
      </c>
      <c r="AN8" s="147"/>
      <c r="AO8" s="144"/>
      <c r="AP8" s="145">
        <v>0</v>
      </c>
      <c r="AQ8" s="144"/>
      <c r="AR8" s="145"/>
      <c r="AS8" s="145"/>
      <c r="AT8" s="144">
        <v>4501</v>
      </c>
      <c r="AU8" s="781">
        <v>102773</v>
      </c>
      <c r="AV8" s="782">
        <v>14624</v>
      </c>
      <c r="AW8" s="344"/>
      <c r="AX8" s="137">
        <v>47</v>
      </c>
      <c r="AY8" s="137">
        <v>76</v>
      </c>
      <c r="AZ8" s="137">
        <v>29</v>
      </c>
    </row>
    <row r="9" spans="1:53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177661</v>
      </c>
      <c r="S9" s="139">
        <v>19740</v>
      </c>
      <c r="T9" s="136"/>
      <c r="U9" s="136"/>
      <c r="V9" s="140"/>
      <c r="W9" s="139"/>
      <c r="X9" s="137"/>
      <c r="Y9" s="139"/>
      <c r="Z9" s="136"/>
      <c r="AA9" s="139"/>
      <c r="AB9" s="136"/>
      <c r="AC9" s="136"/>
      <c r="AD9" s="139"/>
      <c r="AE9" s="142"/>
      <c r="AF9" s="143"/>
      <c r="AG9" s="144"/>
      <c r="AH9" s="135"/>
      <c r="AI9" s="143"/>
      <c r="AJ9" s="135"/>
      <c r="AK9" s="145"/>
      <c r="AL9" s="146"/>
      <c r="AM9" s="144">
        <v>202446</v>
      </c>
      <c r="AN9" s="147"/>
      <c r="AO9" s="144"/>
      <c r="AP9" s="145">
        <v>2885</v>
      </c>
      <c r="AQ9" s="144"/>
      <c r="AR9" s="145"/>
      <c r="AS9" s="145"/>
      <c r="AT9" s="144">
        <v>9802</v>
      </c>
      <c r="AU9" s="781">
        <v>353276</v>
      </c>
      <c r="AV9" s="782">
        <v>17103</v>
      </c>
      <c r="AW9" s="344"/>
      <c r="AX9" s="137">
        <v>615</v>
      </c>
      <c r="AY9" s="137">
        <v>506</v>
      </c>
      <c r="AZ9" s="137">
        <v>-109</v>
      </c>
    </row>
    <row r="10" spans="1:53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62498</v>
      </c>
      <c r="S10" s="139">
        <v>6944</v>
      </c>
      <c r="T10" s="136"/>
      <c r="U10" s="136"/>
      <c r="V10" s="140"/>
      <c r="W10" s="139"/>
      <c r="X10" s="137"/>
      <c r="Y10" s="139"/>
      <c r="Z10" s="136"/>
      <c r="AA10" s="139"/>
      <c r="AB10" s="136"/>
      <c r="AC10" s="136"/>
      <c r="AD10" s="139"/>
      <c r="AE10" s="142"/>
      <c r="AF10" s="143"/>
      <c r="AG10" s="144"/>
      <c r="AH10" s="135"/>
      <c r="AI10" s="143"/>
      <c r="AJ10" s="135"/>
      <c r="AK10" s="145"/>
      <c r="AL10" s="146"/>
      <c r="AM10" s="144">
        <v>40946</v>
      </c>
      <c r="AN10" s="147"/>
      <c r="AO10" s="144"/>
      <c r="AP10" s="145">
        <v>0</v>
      </c>
      <c r="AQ10" s="144"/>
      <c r="AR10" s="145"/>
      <c r="AS10" s="145"/>
      <c r="AT10" s="144">
        <v>2813</v>
      </c>
      <c r="AU10" s="781">
        <v>88915</v>
      </c>
      <c r="AV10" s="782">
        <v>4441</v>
      </c>
      <c r="AW10" s="344"/>
      <c r="AX10" s="137">
        <v>111</v>
      </c>
      <c r="AY10" s="137">
        <v>102</v>
      </c>
      <c r="AZ10" s="137">
        <v>-9</v>
      </c>
    </row>
    <row r="11" spans="1:53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129887</v>
      </c>
      <c r="S11" s="153">
        <v>14432</v>
      </c>
      <c r="T11" s="150"/>
      <c r="U11" s="150"/>
      <c r="V11" s="154"/>
      <c r="W11" s="153"/>
      <c r="X11" s="151"/>
      <c r="Y11" s="153"/>
      <c r="Z11" s="150"/>
      <c r="AA11" s="153"/>
      <c r="AB11" s="156"/>
      <c r="AC11" s="150"/>
      <c r="AD11" s="157"/>
      <c r="AE11" s="157"/>
      <c r="AF11" s="158"/>
      <c r="AG11" s="159"/>
      <c r="AH11" s="149"/>
      <c r="AI11" s="158"/>
      <c r="AJ11" s="149"/>
      <c r="AK11" s="160"/>
      <c r="AL11" s="161"/>
      <c r="AM11" s="159">
        <v>46099</v>
      </c>
      <c r="AN11" s="162"/>
      <c r="AO11" s="159"/>
      <c r="AP11" s="160">
        <v>954</v>
      </c>
      <c r="AQ11" s="159"/>
      <c r="AR11" s="160"/>
      <c r="AS11" s="160"/>
      <c r="AT11" s="159">
        <v>2939</v>
      </c>
      <c r="AU11" s="783">
        <v>164793</v>
      </c>
      <c r="AV11" s="784">
        <v>10464</v>
      </c>
      <c r="AW11" s="344"/>
      <c r="AX11" s="151">
        <v>130</v>
      </c>
      <c r="AY11" s="151">
        <v>115</v>
      </c>
      <c r="AZ11" s="151">
        <v>-15</v>
      </c>
    </row>
    <row r="12" spans="1:53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93072</v>
      </c>
      <c r="S12" s="121">
        <v>10341</v>
      </c>
      <c r="T12" s="118"/>
      <c r="U12" s="118"/>
      <c r="V12" s="122"/>
      <c r="W12" s="121"/>
      <c r="X12" s="119"/>
      <c r="Y12" s="121"/>
      <c r="Z12" s="118"/>
      <c r="AA12" s="121"/>
      <c r="AB12" s="118"/>
      <c r="AC12" s="118"/>
      <c r="AD12" s="121"/>
      <c r="AE12" s="123"/>
      <c r="AF12" s="124"/>
      <c r="AG12" s="125"/>
      <c r="AH12" s="117"/>
      <c r="AI12" s="124"/>
      <c r="AJ12" s="117"/>
      <c r="AK12" s="126"/>
      <c r="AL12" s="127"/>
      <c r="AM12" s="125">
        <v>103567</v>
      </c>
      <c r="AN12" s="128"/>
      <c r="AO12" s="125"/>
      <c r="AP12" s="126">
        <v>0</v>
      </c>
      <c r="AQ12" s="125"/>
      <c r="AR12" s="126"/>
      <c r="AS12" s="126"/>
      <c r="AT12" s="125">
        <v>15715</v>
      </c>
      <c r="AU12" s="779">
        <v>254512</v>
      </c>
      <c r="AV12" s="780">
        <v>38043</v>
      </c>
      <c r="AW12" s="344"/>
      <c r="AX12" s="119">
        <v>152</v>
      </c>
      <c r="AY12" s="119">
        <v>259</v>
      </c>
      <c r="AZ12" s="119">
        <v>107</v>
      </c>
    </row>
    <row r="13" spans="1:53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42459</v>
      </c>
      <c r="S13" s="139">
        <v>4718</v>
      </c>
      <c r="T13" s="136"/>
      <c r="U13" s="136"/>
      <c r="V13" s="140"/>
      <c r="W13" s="139"/>
      <c r="X13" s="137"/>
      <c r="Y13" s="139"/>
      <c r="Z13" s="136"/>
      <c r="AA13" s="139"/>
      <c r="AB13" s="136"/>
      <c r="AC13" s="136"/>
      <c r="AD13" s="139"/>
      <c r="AE13" s="142"/>
      <c r="AF13" s="143"/>
      <c r="AG13" s="144"/>
      <c r="AH13" s="135"/>
      <c r="AI13" s="143"/>
      <c r="AJ13" s="135"/>
      <c r="AK13" s="145"/>
      <c r="AL13" s="146"/>
      <c r="AM13" s="144">
        <v>82877</v>
      </c>
      <c r="AN13" s="147"/>
      <c r="AO13" s="144"/>
      <c r="AP13" s="145">
        <v>0</v>
      </c>
      <c r="AQ13" s="144"/>
      <c r="AR13" s="145"/>
      <c r="AS13" s="145"/>
      <c r="AT13" s="144">
        <v>-3633</v>
      </c>
      <c r="AU13" s="781">
        <v>106957</v>
      </c>
      <c r="AV13" s="782">
        <v>-4620</v>
      </c>
      <c r="AW13" s="344"/>
      <c r="AX13" s="137">
        <v>365</v>
      </c>
      <c r="AY13" s="137">
        <v>207</v>
      </c>
      <c r="AZ13" s="137">
        <v>-158</v>
      </c>
    </row>
    <row r="14" spans="1:53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388077</v>
      </c>
      <c r="S14" s="139">
        <v>43120</v>
      </c>
      <c r="T14" s="136"/>
      <c r="U14" s="136"/>
      <c r="V14" s="140"/>
      <c r="W14" s="139"/>
      <c r="X14" s="137"/>
      <c r="Y14" s="139"/>
      <c r="Z14" s="136"/>
      <c r="AA14" s="139"/>
      <c r="AB14" s="136"/>
      <c r="AC14" s="136"/>
      <c r="AD14" s="139"/>
      <c r="AE14" s="142"/>
      <c r="AF14" s="143"/>
      <c r="AG14" s="144"/>
      <c r="AH14" s="135"/>
      <c r="AI14" s="143"/>
      <c r="AJ14" s="135"/>
      <c r="AK14" s="145"/>
      <c r="AL14" s="146"/>
      <c r="AM14" s="144">
        <v>306873</v>
      </c>
      <c r="AN14" s="147"/>
      <c r="AO14" s="144"/>
      <c r="AP14" s="145">
        <v>0</v>
      </c>
      <c r="AQ14" s="144"/>
      <c r="AR14" s="145"/>
      <c r="AS14" s="145"/>
      <c r="AT14" s="144">
        <v>26469</v>
      </c>
      <c r="AU14" s="781">
        <v>686840</v>
      </c>
      <c r="AV14" s="782">
        <v>57135</v>
      </c>
      <c r="AW14" s="344"/>
      <c r="AX14" s="137">
        <v>753</v>
      </c>
      <c r="AY14" s="137">
        <v>767</v>
      </c>
      <c r="AZ14" s="137">
        <v>14</v>
      </c>
    </row>
    <row r="15" spans="1:53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515862</v>
      </c>
      <c r="S15" s="139">
        <v>57318</v>
      </c>
      <c r="T15" s="136"/>
      <c r="U15" s="136"/>
      <c r="V15" s="140"/>
      <c r="W15" s="139"/>
      <c r="X15" s="137"/>
      <c r="Y15" s="139"/>
      <c r="Z15" s="136"/>
      <c r="AA15" s="139"/>
      <c r="AB15" s="136"/>
      <c r="AC15" s="136"/>
      <c r="AD15" s="139"/>
      <c r="AE15" s="142"/>
      <c r="AF15" s="143"/>
      <c r="AG15" s="144"/>
      <c r="AH15" s="135"/>
      <c r="AI15" s="143"/>
      <c r="AJ15" s="135"/>
      <c r="AK15" s="145"/>
      <c r="AL15" s="146"/>
      <c r="AM15" s="144">
        <v>594740</v>
      </c>
      <c r="AN15" s="147"/>
      <c r="AO15" s="144"/>
      <c r="AP15" s="145">
        <v>0</v>
      </c>
      <c r="AQ15" s="144"/>
      <c r="AR15" s="145"/>
      <c r="AS15" s="145"/>
      <c r="AT15" s="144">
        <v>65031</v>
      </c>
      <c r="AU15" s="781">
        <v>1190647</v>
      </c>
      <c r="AV15" s="782">
        <v>128618</v>
      </c>
      <c r="AW15" s="344"/>
      <c r="AX15" s="137">
        <v>1252</v>
      </c>
      <c r="AY15" s="137">
        <v>1487</v>
      </c>
      <c r="AZ15" s="137">
        <v>235</v>
      </c>
    </row>
    <row r="16" spans="1:53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349447</v>
      </c>
      <c r="S16" s="153">
        <v>38827</v>
      </c>
      <c r="T16" s="150"/>
      <c r="U16" s="150"/>
      <c r="V16" s="154"/>
      <c r="W16" s="153"/>
      <c r="X16" s="151"/>
      <c r="Y16" s="153"/>
      <c r="Z16" s="150"/>
      <c r="AA16" s="153"/>
      <c r="AB16" s="156"/>
      <c r="AC16" s="150"/>
      <c r="AD16" s="157"/>
      <c r="AE16" s="157"/>
      <c r="AF16" s="158"/>
      <c r="AG16" s="159"/>
      <c r="AH16" s="149"/>
      <c r="AI16" s="158"/>
      <c r="AJ16" s="149"/>
      <c r="AK16" s="160"/>
      <c r="AL16" s="161"/>
      <c r="AM16" s="159">
        <v>440741</v>
      </c>
      <c r="AN16" s="162"/>
      <c r="AO16" s="159"/>
      <c r="AP16" s="160">
        <v>0</v>
      </c>
      <c r="AQ16" s="159"/>
      <c r="AR16" s="160"/>
      <c r="AS16" s="160"/>
      <c r="AT16" s="159">
        <v>8773</v>
      </c>
      <c r="AU16" s="783">
        <v>685368</v>
      </c>
      <c r="AV16" s="784">
        <v>12109</v>
      </c>
      <c r="AW16" s="344"/>
      <c r="AX16" s="151">
        <v>1521</v>
      </c>
      <c r="AY16" s="151">
        <v>1102</v>
      </c>
      <c r="AZ16" s="151">
        <v>-419</v>
      </c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11017</v>
      </c>
      <c r="S17" s="121">
        <v>1224</v>
      </c>
      <c r="T17" s="118"/>
      <c r="U17" s="118"/>
      <c r="V17" s="122"/>
      <c r="W17" s="121"/>
      <c r="X17" s="119"/>
      <c r="Y17" s="121"/>
      <c r="Z17" s="118"/>
      <c r="AA17" s="121"/>
      <c r="AB17" s="118"/>
      <c r="AC17" s="118"/>
      <c r="AD17" s="121"/>
      <c r="AE17" s="123"/>
      <c r="AF17" s="124"/>
      <c r="AG17" s="125"/>
      <c r="AH17" s="117"/>
      <c r="AI17" s="124"/>
      <c r="AJ17" s="117"/>
      <c r="AK17" s="126"/>
      <c r="AL17" s="127"/>
      <c r="AM17" s="125">
        <v>4724</v>
      </c>
      <c r="AN17" s="128"/>
      <c r="AO17" s="125"/>
      <c r="AP17" s="126">
        <v>0</v>
      </c>
      <c r="AQ17" s="125"/>
      <c r="AR17" s="126"/>
      <c r="AS17" s="126"/>
      <c r="AT17" s="125">
        <v>703</v>
      </c>
      <c r="AU17" s="779">
        <v>13503</v>
      </c>
      <c r="AV17" s="780">
        <v>1069</v>
      </c>
      <c r="AW17" s="344"/>
      <c r="AX17" s="119">
        <v>7</v>
      </c>
      <c r="AY17" s="119">
        <v>12</v>
      </c>
      <c r="AZ17" s="119">
        <v>5</v>
      </c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2212</v>
      </c>
      <c r="S18" s="139">
        <v>246</v>
      </c>
      <c r="T18" s="136"/>
      <c r="U18" s="136"/>
      <c r="V18" s="140"/>
      <c r="W18" s="139"/>
      <c r="X18" s="137"/>
      <c r="Y18" s="139"/>
      <c r="Z18" s="136"/>
      <c r="AA18" s="139"/>
      <c r="AB18" s="136"/>
      <c r="AC18" s="136"/>
      <c r="AD18" s="139"/>
      <c r="AE18" s="142"/>
      <c r="AF18" s="143"/>
      <c r="AG18" s="144"/>
      <c r="AH18" s="135"/>
      <c r="AI18" s="143"/>
      <c r="AJ18" s="135"/>
      <c r="AK18" s="145"/>
      <c r="AL18" s="146"/>
      <c r="AM18" s="144">
        <v>0</v>
      </c>
      <c r="AN18" s="147"/>
      <c r="AO18" s="144"/>
      <c r="AP18" s="145">
        <v>0</v>
      </c>
      <c r="AQ18" s="144"/>
      <c r="AR18" s="145"/>
      <c r="AS18" s="145"/>
      <c r="AT18" s="144">
        <v>-1066</v>
      </c>
      <c r="AU18" s="781">
        <v>0</v>
      </c>
      <c r="AV18" s="782">
        <v>-1434</v>
      </c>
      <c r="AW18" s="344"/>
      <c r="AX18" s="137">
        <v>16</v>
      </c>
      <c r="AY18" s="137">
        <v>0</v>
      </c>
      <c r="AZ18" s="137">
        <v>-16</v>
      </c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47355</v>
      </c>
      <c r="S19" s="139">
        <v>5262</v>
      </c>
      <c r="T19" s="136"/>
      <c r="U19" s="136"/>
      <c r="V19" s="140"/>
      <c r="W19" s="139"/>
      <c r="X19" s="137"/>
      <c r="Y19" s="139"/>
      <c r="Z19" s="136"/>
      <c r="AA19" s="139"/>
      <c r="AB19" s="136"/>
      <c r="AC19" s="136"/>
      <c r="AD19" s="139"/>
      <c r="AE19" s="142"/>
      <c r="AF19" s="143"/>
      <c r="AG19" s="144"/>
      <c r="AH19" s="135"/>
      <c r="AI19" s="143"/>
      <c r="AJ19" s="135"/>
      <c r="AK19" s="145"/>
      <c r="AL19" s="146"/>
      <c r="AM19" s="144">
        <v>17568</v>
      </c>
      <c r="AN19" s="147"/>
      <c r="AO19" s="144"/>
      <c r="AP19" s="145">
        <v>0</v>
      </c>
      <c r="AQ19" s="144"/>
      <c r="AR19" s="145"/>
      <c r="AS19" s="145"/>
      <c r="AT19" s="144">
        <v>1801</v>
      </c>
      <c r="AU19" s="781">
        <v>66257</v>
      </c>
      <c r="AV19" s="782">
        <v>6112</v>
      </c>
      <c r="AW19" s="344"/>
      <c r="AX19" s="137">
        <v>39</v>
      </c>
      <c r="AY19" s="137">
        <v>44</v>
      </c>
      <c r="AZ19" s="137">
        <v>5</v>
      </c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50565</v>
      </c>
      <c r="S20" s="139">
        <v>5618</v>
      </c>
      <c r="T20" s="136"/>
      <c r="U20" s="136"/>
      <c r="V20" s="140"/>
      <c r="W20" s="139"/>
      <c r="X20" s="137"/>
      <c r="Y20" s="139"/>
      <c r="Z20" s="136"/>
      <c r="AA20" s="139"/>
      <c r="AB20" s="136"/>
      <c r="AC20" s="136"/>
      <c r="AD20" s="139"/>
      <c r="AE20" s="142"/>
      <c r="AF20" s="143"/>
      <c r="AG20" s="144"/>
      <c r="AH20" s="135"/>
      <c r="AI20" s="143"/>
      <c r="AJ20" s="135"/>
      <c r="AK20" s="145"/>
      <c r="AL20" s="146"/>
      <c r="AM20" s="144">
        <v>16520</v>
      </c>
      <c r="AN20" s="147"/>
      <c r="AO20" s="144"/>
      <c r="AP20" s="145">
        <v>0</v>
      </c>
      <c r="AQ20" s="144"/>
      <c r="AR20" s="145"/>
      <c r="AS20" s="145"/>
      <c r="AT20" s="144">
        <v>-1250</v>
      </c>
      <c r="AU20" s="781">
        <v>40057</v>
      </c>
      <c r="AV20" s="782">
        <v>-3762</v>
      </c>
      <c r="AW20" s="344"/>
      <c r="AX20" s="137">
        <v>81</v>
      </c>
      <c r="AY20" s="137">
        <v>41</v>
      </c>
      <c r="AZ20" s="137">
        <v>-40</v>
      </c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58432</v>
      </c>
      <c r="S21" s="153">
        <v>6492</v>
      </c>
      <c r="T21" s="150"/>
      <c r="U21" s="150"/>
      <c r="V21" s="154"/>
      <c r="W21" s="153"/>
      <c r="X21" s="151"/>
      <c r="Y21" s="153"/>
      <c r="Z21" s="150"/>
      <c r="AA21" s="153"/>
      <c r="AB21" s="156"/>
      <c r="AC21" s="150"/>
      <c r="AD21" s="157"/>
      <c r="AE21" s="157"/>
      <c r="AF21" s="158"/>
      <c r="AG21" s="159"/>
      <c r="AH21" s="149"/>
      <c r="AI21" s="158"/>
      <c r="AJ21" s="149"/>
      <c r="AK21" s="160"/>
      <c r="AL21" s="161"/>
      <c r="AM21" s="159">
        <v>22011</v>
      </c>
      <c r="AN21" s="162"/>
      <c r="AO21" s="159"/>
      <c r="AP21" s="160">
        <v>0</v>
      </c>
      <c r="AQ21" s="159"/>
      <c r="AR21" s="160"/>
      <c r="AS21" s="160"/>
      <c r="AT21" s="159">
        <v>1005</v>
      </c>
      <c r="AU21" s="783">
        <v>69658</v>
      </c>
      <c r="AV21" s="784">
        <v>3217</v>
      </c>
      <c r="AW21" s="344"/>
      <c r="AX21" s="151">
        <v>67</v>
      </c>
      <c r="AY21" s="151">
        <v>55</v>
      </c>
      <c r="AZ21" s="151">
        <v>-12</v>
      </c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42765</v>
      </c>
      <c r="S22" s="121">
        <v>4752</v>
      </c>
      <c r="T22" s="118"/>
      <c r="U22" s="118"/>
      <c r="V22" s="122"/>
      <c r="W22" s="121"/>
      <c r="X22" s="119"/>
      <c r="Y22" s="121"/>
      <c r="Z22" s="118"/>
      <c r="AA22" s="121"/>
      <c r="AB22" s="118"/>
      <c r="AC22" s="118"/>
      <c r="AD22" s="121"/>
      <c r="AE22" s="123"/>
      <c r="AF22" s="124"/>
      <c r="AG22" s="125"/>
      <c r="AH22" s="117"/>
      <c r="AI22" s="124"/>
      <c r="AJ22" s="117"/>
      <c r="AK22" s="126"/>
      <c r="AL22" s="127"/>
      <c r="AM22" s="125">
        <v>217643</v>
      </c>
      <c r="AN22" s="128"/>
      <c r="AO22" s="125"/>
      <c r="AP22" s="126">
        <v>0</v>
      </c>
      <c r="AQ22" s="125"/>
      <c r="AR22" s="126"/>
      <c r="AS22" s="126"/>
      <c r="AT22" s="125">
        <v>16410</v>
      </c>
      <c r="AU22" s="779">
        <v>260174</v>
      </c>
      <c r="AV22" s="780">
        <v>20069</v>
      </c>
      <c r="AW22" s="344"/>
      <c r="AX22" s="119">
        <v>569</v>
      </c>
      <c r="AY22" s="119">
        <v>544</v>
      </c>
      <c r="AZ22" s="119">
        <v>-25</v>
      </c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424394</v>
      </c>
      <c r="S23" s="139">
        <v>47155</v>
      </c>
      <c r="T23" s="136"/>
      <c r="U23" s="136"/>
      <c r="V23" s="140"/>
      <c r="W23" s="139"/>
      <c r="X23" s="137"/>
      <c r="Y23" s="139"/>
      <c r="Z23" s="136"/>
      <c r="AA23" s="139"/>
      <c r="AB23" s="136"/>
      <c r="AC23" s="136"/>
      <c r="AD23" s="139"/>
      <c r="AE23" s="142"/>
      <c r="AF23" s="143"/>
      <c r="AG23" s="144"/>
      <c r="AH23" s="135"/>
      <c r="AI23" s="143"/>
      <c r="AJ23" s="135"/>
      <c r="AK23" s="145"/>
      <c r="AL23" s="146"/>
      <c r="AM23" s="144">
        <v>676908</v>
      </c>
      <c r="AN23" s="147"/>
      <c r="AO23" s="144"/>
      <c r="AP23" s="145">
        <v>3474</v>
      </c>
      <c r="AQ23" s="144"/>
      <c r="AR23" s="145"/>
      <c r="AS23" s="145"/>
      <c r="AT23" s="144">
        <v>43187</v>
      </c>
      <c r="AU23" s="781">
        <v>1054627</v>
      </c>
      <c r="AV23" s="782">
        <v>66329</v>
      </c>
      <c r="AW23" s="344"/>
      <c r="AX23" s="137">
        <v>1893</v>
      </c>
      <c r="AY23" s="137">
        <v>1692</v>
      </c>
      <c r="AZ23" s="137">
        <v>-201</v>
      </c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14559</v>
      </c>
      <c r="S24" s="139">
        <v>1618</v>
      </c>
      <c r="T24" s="136"/>
      <c r="U24" s="136"/>
      <c r="V24" s="140"/>
      <c r="W24" s="139"/>
      <c r="X24" s="137"/>
      <c r="Y24" s="139"/>
      <c r="Z24" s="136"/>
      <c r="AA24" s="139"/>
      <c r="AB24" s="136"/>
      <c r="AC24" s="136"/>
      <c r="AD24" s="139"/>
      <c r="AE24" s="142"/>
      <c r="AF24" s="143"/>
      <c r="AG24" s="144"/>
      <c r="AH24" s="135"/>
      <c r="AI24" s="143"/>
      <c r="AJ24" s="135"/>
      <c r="AK24" s="145"/>
      <c r="AL24" s="146"/>
      <c r="AM24" s="144">
        <v>14698</v>
      </c>
      <c r="AN24" s="147"/>
      <c r="AO24" s="144"/>
      <c r="AP24" s="145">
        <v>0</v>
      </c>
      <c r="AQ24" s="144"/>
      <c r="AR24" s="145"/>
      <c r="AS24" s="145"/>
      <c r="AT24" s="144">
        <v>2381</v>
      </c>
      <c r="AU24" s="781">
        <v>44922</v>
      </c>
      <c r="AV24" s="782">
        <v>7526</v>
      </c>
      <c r="AW24" s="344"/>
      <c r="AX24" s="137">
        <v>19</v>
      </c>
      <c r="AY24" s="137">
        <v>37</v>
      </c>
      <c r="AZ24" s="137">
        <v>18</v>
      </c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62238</v>
      </c>
      <c r="S25" s="139">
        <v>6915</v>
      </c>
      <c r="T25" s="136"/>
      <c r="U25" s="136"/>
      <c r="V25" s="140"/>
      <c r="W25" s="139"/>
      <c r="X25" s="137"/>
      <c r="Y25" s="139"/>
      <c r="Z25" s="136"/>
      <c r="AA25" s="139"/>
      <c r="AB25" s="136"/>
      <c r="AC25" s="136"/>
      <c r="AD25" s="139"/>
      <c r="AE25" s="142"/>
      <c r="AF25" s="143"/>
      <c r="AG25" s="144"/>
      <c r="AH25" s="135"/>
      <c r="AI25" s="143"/>
      <c r="AJ25" s="135"/>
      <c r="AK25" s="145"/>
      <c r="AL25" s="146"/>
      <c r="AM25" s="144">
        <v>42164</v>
      </c>
      <c r="AN25" s="147"/>
      <c r="AO25" s="144"/>
      <c r="AP25" s="145">
        <v>0</v>
      </c>
      <c r="AQ25" s="144"/>
      <c r="AR25" s="145"/>
      <c r="AS25" s="145"/>
      <c r="AT25" s="144">
        <v>4079</v>
      </c>
      <c r="AU25" s="781">
        <v>106175</v>
      </c>
      <c r="AV25" s="782">
        <v>9761</v>
      </c>
      <c r="AW25" s="344"/>
      <c r="AX25" s="137">
        <v>97</v>
      </c>
      <c r="AY25" s="137">
        <v>105</v>
      </c>
      <c r="AZ25" s="137">
        <v>8</v>
      </c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106198</v>
      </c>
      <c r="S26" s="153">
        <v>11800</v>
      </c>
      <c r="T26" s="150"/>
      <c r="U26" s="150"/>
      <c r="V26" s="154"/>
      <c r="W26" s="153"/>
      <c r="X26" s="151"/>
      <c r="Y26" s="153"/>
      <c r="Z26" s="150"/>
      <c r="AA26" s="153"/>
      <c r="AB26" s="156"/>
      <c r="AC26" s="150"/>
      <c r="AD26" s="157"/>
      <c r="AE26" s="157"/>
      <c r="AF26" s="158"/>
      <c r="AG26" s="159"/>
      <c r="AH26" s="149"/>
      <c r="AI26" s="158"/>
      <c r="AJ26" s="149"/>
      <c r="AK26" s="160"/>
      <c r="AL26" s="161"/>
      <c r="AM26" s="159">
        <v>45880</v>
      </c>
      <c r="AN26" s="162"/>
      <c r="AO26" s="159"/>
      <c r="AP26" s="160">
        <v>0</v>
      </c>
      <c r="AQ26" s="159"/>
      <c r="AR26" s="160"/>
      <c r="AS26" s="160"/>
      <c r="AT26" s="159">
        <v>4552</v>
      </c>
      <c r="AU26" s="783">
        <v>161571</v>
      </c>
      <c r="AV26" s="784">
        <v>15848</v>
      </c>
      <c r="AW26" s="344"/>
      <c r="AX26" s="151">
        <v>104</v>
      </c>
      <c r="AY26" s="151">
        <v>115</v>
      </c>
      <c r="AZ26" s="151">
        <v>11</v>
      </c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92891</v>
      </c>
      <c r="S27" s="121">
        <v>10321</v>
      </c>
      <c r="T27" s="118"/>
      <c r="U27" s="118"/>
      <c r="V27" s="122"/>
      <c r="W27" s="121"/>
      <c r="X27" s="119"/>
      <c r="Y27" s="121"/>
      <c r="Z27" s="118"/>
      <c r="AA27" s="121"/>
      <c r="AB27" s="118"/>
      <c r="AC27" s="118"/>
      <c r="AD27" s="121"/>
      <c r="AE27" s="123"/>
      <c r="AF27" s="124"/>
      <c r="AG27" s="125"/>
      <c r="AH27" s="117"/>
      <c r="AI27" s="124"/>
      <c r="AJ27" s="117"/>
      <c r="AK27" s="126"/>
      <c r="AL27" s="127"/>
      <c r="AM27" s="125">
        <v>20395</v>
      </c>
      <c r="AN27" s="128"/>
      <c r="AO27" s="125"/>
      <c r="AP27" s="126">
        <v>0</v>
      </c>
      <c r="AQ27" s="125"/>
      <c r="AR27" s="126"/>
      <c r="AS27" s="126"/>
      <c r="AT27" s="125">
        <v>-1398</v>
      </c>
      <c r="AU27" s="779">
        <v>63764</v>
      </c>
      <c r="AV27" s="780">
        <v>-5987</v>
      </c>
      <c r="AW27" s="344"/>
      <c r="AX27" s="119">
        <v>98</v>
      </c>
      <c r="AY27" s="119">
        <v>51</v>
      </c>
      <c r="AZ27" s="119">
        <v>-47</v>
      </c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32835</v>
      </c>
      <c r="S28" s="139">
        <v>3648</v>
      </c>
      <c r="T28" s="136"/>
      <c r="U28" s="136"/>
      <c r="V28" s="140"/>
      <c r="W28" s="139"/>
      <c r="X28" s="137"/>
      <c r="Y28" s="139"/>
      <c r="Z28" s="136"/>
      <c r="AA28" s="139"/>
      <c r="AB28" s="136"/>
      <c r="AC28" s="136"/>
      <c r="AD28" s="139"/>
      <c r="AE28" s="142"/>
      <c r="AF28" s="143"/>
      <c r="AG28" s="144"/>
      <c r="AH28" s="135"/>
      <c r="AI28" s="143"/>
      <c r="AJ28" s="135"/>
      <c r="AK28" s="145"/>
      <c r="AL28" s="146"/>
      <c r="AM28" s="144">
        <v>18136</v>
      </c>
      <c r="AN28" s="147"/>
      <c r="AO28" s="144"/>
      <c r="AP28" s="145">
        <v>0</v>
      </c>
      <c r="AQ28" s="144"/>
      <c r="AR28" s="145"/>
      <c r="AS28" s="145"/>
      <c r="AT28" s="144">
        <v>2839</v>
      </c>
      <c r="AU28" s="781">
        <v>76092</v>
      </c>
      <c r="AV28" s="782">
        <v>11881</v>
      </c>
      <c r="AW28" s="344"/>
      <c r="AX28" s="137">
        <v>25</v>
      </c>
      <c r="AY28" s="137">
        <v>45</v>
      </c>
      <c r="AZ28" s="137">
        <v>20</v>
      </c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165168</v>
      </c>
      <c r="S29" s="139">
        <v>18352</v>
      </c>
      <c r="T29" s="136"/>
      <c r="U29" s="136"/>
      <c r="V29" s="140"/>
      <c r="W29" s="139"/>
      <c r="X29" s="137"/>
      <c r="Y29" s="139"/>
      <c r="Z29" s="136"/>
      <c r="AA29" s="139"/>
      <c r="AB29" s="136"/>
      <c r="AC29" s="136"/>
      <c r="AD29" s="139"/>
      <c r="AE29" s="142"/>
      <c r="AF29" s="143"/>
      <c r="AG29" s="144"/>
      <c r="AH29" s="135"/>
      <c r="AI29" s="143"/>
      <c r="AJ29" s="135"/>
      <c r="AK29" s="145"/>
      <c r="AL29" s="146"/>
      <c r="AM29" s="144">
        <v>105009</v>
      </c>
      <c r="AN29" s="147"/>
      <c r="AO29" s="144"/>
      <c r="AP29" s="145">
        <v>0</v>
      </c>
      <c r="AQ29" s="144"/>
      <c r="AR29" s="145"/>
      <c r="AS29" s="145"/>
      <c r="AT29" s="144">
        <v>9883</v>
      </c>
      <c r="AU29" s="781">
        <v>276475</v>
      </c>
      <c r="AV29" s="782">
        <v>25356</v>
      </c>
      <c r="AW29" s="344"/>
      <c r="AX29" s="137">
        <v>245</v>
      </c>
      <c r="AY29" s="137">
        <v>263</v>
      </c>
      <c r="AZ29" s="137">
        <v>18</v>
      </c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25494</v>
      </c>
      <c r="S30" s="139">
        <v>2833</v>
      </c>
      <c r="T30" s="136"/>
      <c r="U30" s="136"/>
      <c r="V30" s="140"/>
      <c r="W30" s="139"/>
      <c r="X30" s="137"/>
      <c r="Y30" s="139"/>
      <c r="Z30" s="136"/>
      <c r="AA30" s="139"/>
      <c r="AB30" s="136"/>
      <c r="AC30" s="136"/>
      <c r="AD30" s="139"/>
      <c r="AE30" s="142"/>
      <c r="AF30" s="143"/>
      <c r="AG30" s="144"/>
      <c r="AH30" s="135"/>
      <c r="AI30" s="143"/>
      <c r="AJ30" s="135"/>
      <c r="AK30" s="145"/>
      <c r="AL30" s="146"/>
      <c r="AM30" s="144">
        <v>92549</v>
      </c>
      <c r="AN30" s="147"/>
      <c r="AO30" s="144"/>
      <c r="AP30" s="145">
        <v>0</v>
      </c>
      <c r="AQ30" s="144"/>
      <c r="AR30" s="145"/>
      <c r="AS30" s="145"/>
      <c r="AT30" s="144">
        <v>7968</v>
      </c>
      <c r="AU30" s="781">
        <v>113988</v>
      </c>
      <c r="AV30" s="782">
        <v>9148</v>
      </c>
      <c r="AW30" s="344"/>
      <c r="AX30" s="137">
        <v>227</v>
      </c>
      <c r="AY30" s="137">
        <v>231</v>
      </c>
      <c r="AZ30" s="137">
        <v>4</v>
      </c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42508</v>
      </c>
      <c r="S31" s="153">
        <v>4723</v>
      </c>
      <c r="T31" s="150"/>
      <c r="U31" s="150"/>
      <c r="V31" s="154"/>
      <c r="W31" s="153"/>
      <c r="X31" s="151"/>
      <c r="Y31" s="153"/>
      <c r="Z31" s="150"/>
      <c r="AA31" s="153"/>
      <c r="AB31" s="156"/>
      <c r="AC31" s="150"/>
      <c r="AD31" s="157"/>
      <c r="AE31" s="157"/>
      <c r="AF31" s="158"/>
      <c r="AG31" s="159"/>
      <c r="AH31" s="149"/>
      <c r="AI31" s="158"/>
      <c r="AJ31" s="149"/>
      <c r="AK31" s="160"/>
      <c r="AL31" s="161"/>
      <c r="AM31" s="159">
        <v>57736</v>
      </c>
      <c r="AN31" s="162"/>
      <c r="AO31" s="159"/>
      <c r="AP31" s="160">
        <v>0</v>
      </c>
      <c r="AQ31" s="159"/>
      <c r="AR31" s="160"/>
      <c r="AS31" s="160"/>
      <c r="AT31" s="159">
        <v>8061</v>
      </c>
      <c r="AU31" s="783">
        <v>118168</v>
      </c>
      <c r="AV31" s="784">
        <v>16138</v>
      </c>
      <c r="AW31" s="344"/>
      <c r="AX31" s="151">
        <v>95</v>
      </c>
      <c r="AY31" s="151">
        <v>144</v>
      </c>
      <c r="AZ31" s="151">
        <v>49</v>
      </c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785729</v>
      </c>
      <c r="S32" s="121">
        <v>87303</v>
      </c>
      <c r="T32" s="118"/>
      <c r="U32" s="118"/>
      <c r="V32" s="122"/>
      <c r="W32" s="121"/>
      <c r="X32" s="119"/>
      <c r="Y32" s="121"/>
      <c r="Z32" s="118"/>
      <c r="AA32" s="121"/>
      <c r="AB32" s="118"/>
      <c r="AC32" s="118"/>
      <c r="AD32" s="121"/>
      <c r="AE32" s="123"/>
      <c r="AF32" s="124"/>
      <c r="AG32" s="125"/>
      <c r="AH32" s="117"/>
      <c r="AI32" s="124"/>
      <c r="AJ32" s="117"/>
      <c r="AK32" s="126"/>
      <c r="AL32" s="127"/>
      <c r="AM32" s="125">
        <v>817671</v>
      </c>
      <c r="AN32" s="128"/>
      <c r="AO32" s="125"/>
      <c r="AP32" s="126">
        <v>0</v>
      </c>
      <c r="AQ32" s="125"/>
      <c r="AR32" s="126"/>
      <c r="AS32" s="126"/>
      <c r="AT32" s="125">
        <v>53545</v>
      </c>
      <c r="AU32" s="779">
        <v>1556857</v>
      </c>
      <c r="AV32" s="780">
        <v>108225</v>
      </c>
      <c r="AW32" s="344"/>
      <c r="AX32" s="119">
        <v>2261</v>
      </c>
      <c r="AY32" s="119">
        <v>2044</v>
      </c>
      <c r="AZ32" s="119">
        <v>-217</v>
      </c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95347</v>
      </c>
      <c r="S33" s="139">
        <v>10594</v>
      </c>
      <c r="T33" s="136"/>
      <c r="U33" s="136"/>
      <c r="V33" s="140"/>
      <c r="W33" s="139"/>
      <c r="X33" s="137"/>
      <c r="Y33" s="139"/>
      <c r="Z33" s="136"/>
      <c r="AA33" s="139"/>
      <c r="AB33" s="136"/>
      <c r="AC33" s="136"/>
      <c r="AD33" s="139"/>
      <c r="AE33" s="142"/>
      <c r="AF33" s="143"/>
      <c r="AG33" s="144"/>
      <c r="AH33" s="135"/>
      <c r="AI33" s="143"/>
      <c r="AJ33" s="135"/>
      <c r="AK33" s="145"/>
      <c r="AL33" s="146"/>
      <c r="AM33" s="144">
        <v>47032</v>
      </c>
      <c r="AN33" s="147"/>
      <c r="AO33" s="144"/>
      <c r="AP33" s="145">
        <v>0</v>
      </c>
      <c r="AQ33" s="144"/>
      <c r="AR33" s="145"/>
      <c r="AS33" s="145"/>
      <c r="AT33" s="144">
        <v>3599</v>
      </c>
      <c r="AU33" s="781">
        <v>130281</v>
      </c>
      <c r="AV33" s="782">
        <v>8589</v>
      </c>
      <c r="AW33" s="344"/>
      <c r="AX33" s="137">
        <v>122</v>
      </c>
      <c r="AY33" s="137">
        <v>118</v>
      </c>
      <c r="AZ33" s="137">
        <v>-4</v>
      </c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220163</v>
      </c>
      <c r="S34" s="139">
        <v>24463</v>
      </c>
      <c r="T34" s="136"/>
      <c r="U34" s="136"/>
      <c r="V34" s="140"/>
      <c r="W34" s="139"/>
      <c r="X34" s="137"/>
      <c r="Y34" s="139"/>
      <c r="Z34" s="136"/>
      <c r="AA34" s="139"/>
      <c r="AB34" s="136"/>
      <c r="AC34" s="136"/>
      <c r="AD34" s="139"/>
      <c r="AE34" s="142"/>
      <c r="AF34" s="143"/>
      <c r="AG34" s="144"/>
      <c r="AH34" s="135"/>
      <c r="AI34" s="143"/>
      <c r="AJ34" s="135"/>
      <c r="AK34" s="145"/>
      <c r="AL34" s="146"/>
      <c r="AM34" s="144">
        <v>348957</v>
      </c>
      <c r="AN34" s="147"/>
      <c r="AO34" s="144"/>
      <c r="AP34" s="145">
        <v>0</v>
      </c>
      <c r="AQ34" s="144"/>
      <c r="AR34" s="145"/>
      <c r="AS34" s="145"/>
      <c r="AT34" s="144">
        <v>38027</v>
      </c>
      <c r="AU34" s="781">
        <v>604105</v>
      </c>
      <c r="AV34" s="782">
        <v>65430</v>
      </c>
      <c r="AW34" s="344"/>
      <c r="AX34" s="137">
        <v>737</v>
      </c>
      <c r="AY34" s="137">
        <v>872</v>
      </c>
      <c r="AZ34" s="137">
        <v>135</v>
      </c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140107</v>
      </c>
      <c r="S35" s="139">
        <v>15567</v>
      </c>
      <c r="T35" s="136"/>
      <c r="U35" s="136"/>
      <c r="V35" s="140"/>
      <c r="W35" s="139"/>
      <c r="X35" s="137"/>
      <c r="Y35" s="139"/>
      <c r="Z35" s="136"/>
      <c r="AA35" s="139"/>
      <c r="AB35" s="136"/>
      <c r="AC35" s="136"/>
      <c r="AD35" s="139"/>
      <c r="AE35" s="142"/>
      <c r="AF35" s="143"/>
      <c r="AG35" s="144"/>
      <c r="AH35" s="135"/>
      <c r="AI35" s="143"/>
      <c r="AJ35" s="135"/>
      <c r="AK35" s="145"/>
      <c r="AL35" s="146"/>
      <c r="AM35" s="144">
        <v>130657</v>
      </c>
      <c r="AN35" s="147"/>
      <c r="AO35" s="144"/>
      <c r="AP35" s="145">
        <v>-2267</v>
      </c>
      <c r="AQ35" s="144"/>
      <c r="AR35" s="145"/>
      <c r="AS35" s="145"/>
      <c r="AT35" s="144">
        <v>9900</v>
      </c>
      <c r="AU35" s="781">
        <v>256280</v>
      </c>
      <c r="AV35" s="782">
        <v>18724</v>
      </c>
      <c r="AW35" s="344"/>
      <c r="AX35" s="137">
        <v>338</v>
      </c>
      <c r="AY35" s="137">
        <v>327</v>
      </c>
      <c r="AZ35" s="137">
        <v>-11</v>
      </c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0</v>
      </c>
      <c r="S36" s="153">
        <v>0</v>
      </c>
      <c r="T36" s="150"/>
      <c r="U36" s="150"/>
      <c r="V36" s="154"/>
      <c r="W36" s="153"/>
      <c r="X36" s="151"/>
      <c r="Y36" s="153"/>
      <c r="Z36" s="150"/>
      <c r="AA36" s="153"/>
      <c r="AB36" s="156"/>
      <c r="AC36" s="150"/>
      <c r="AD36" s="157"/>
      <c r="AE36" s="157"/>
      <c r="AF36" s="158"/>
      <c r="AG36" s="159"/>
      <c r="AH36" s="149"/>
      <c r="AI36" s="158"/>
      <c r="AJ36" s="149"/>
      <c r="AK36" s="160"/>
      <c r="AL36" s="161"/>
      <c r="AM36" s="159">
        <v>6726</v>
      </c>
      <c r="AN36" s="162"/>
      <c r="AO36" s="159"/>
      <c r="AP36" s="160">
        <v>0</v>
      </c>
      <c r="AQ36" s="159"/>
      <c r="AR36" s="160"/>
      <c r="AS36" s="160"/>
      <c r="AT36" s="159">
        <v>1677</v>
      </c>
      <c r="AU36" s="783">
        <v>14881</v>
      </c>
      <c r="AV36" s="784">
        <v>3720</v>
      </c>
      <c r="AW36" s="344"/>
      <c r="AX36" s="151">
        <v>0</v>
      </c>
      <c r="AY36" s="151">
        <v>17</v>
      </c>
      <c r="AZ36" s="151">
        <v>17</v>
      </c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47393</v>
      </c>
      <c r="S37" s="121">
        <v>5266</v>
      </c>
      <c r="T37" s="118"/>
      <c r="U37" s="118"/>
      <c r="V37" s="122"/>
      <c r="W37" s="121"/>
      <c r="X37" s="119"/>
      <c r="Y37" s="121"/>
      <c r="Z37" s="118"/>
      <c r="AA37" s="121"/>
      <c r="AB37" s="118"/>
      <c r="AC37" s="118"/>
      <c r="AD37" s="121"/>
      <c r="AE37" s="123"/>
      <c r="AF37" s="124"/>
      <c r="AG37" s="125"/>
      <c r="AH37" s="117"/>
      <c r="AI37" s="124"/>
      <c r="AJ37" s="117"/>
      <c r="AK37" s="126"/>
      <c r="AL37" s="127"/>
      <c r="AM37" s="125">
        <v>68198</v>
      </c>
      <c r="AN37" s="128"/>
      <c r="AO37" s="125"/>
      <c r="AP37" s="126">
        <v>0</v>
      </c>
      <c r="AQ37" s="125"/>
      <c r="AR37" s="126"/>
      <c r="AS37" s="126"/>
      <c r="AT37" s="125">
        <v>5889</v>
      </c>
      <c r="AU37" s="779">
        <v>122427</v>
      </c>
      <c r="AV37" s="780">
        <v>11609</v>
      </c>
      <c r="AW37" s="344"/>
      <c r="AX37" s="119">
        <v>167</v>
      </c>
      <c r="AY37" s="119">
        <v>170</v>
      </c>
      <c r="AZ37" s="119">
        <v>3</v>
      </c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537501</v>
      </c>
      <c r="S38" s="139">
        <v>59722</v>
      </c>
      <c r="T38" s="136"/>
      <c r="U38" s="136"/>
      <c r="V38" s="140"/>
      <c r="W38" s="139"/>
      <c r="X38" s="137"/>
      <c r="Y38" s="139"/>
      <c r="Z38" s="136"/>
      <c r="AA38" s="139"/>
      <c r="AB38" s="136"/>
      <c r="AC38" s="136"/>
      <c r="AD38" s="139"/>
      <c r="AE38" s="142"/>
      <c r="AF38" s="143"/>
      <c r="AG38" s="144"/>
      <c r="AH38" s="135"/>
      <c r="AI38" s="143"/>
      <c r="AJ38" s="135"/>
      <c r="AK38" s="145"/>
      <c r="AL38" s="146"/>
      <c r="AM38" s="144">
        <v>210037</v>
      </c>
      <c r="AN38" s="147"/>
      <c r="AO38" s="144"/>
      <c r="AP38" s="145">
        <v>0</v>
      </c>
      <c r="AQ38" s="144"/>
      <c r="AR38" s="145"/>
      <c r="AS38" s="145"/>
      <c r="AT38" s="144">
        <v>18179</v>
      </c>
      <c r="AU38" s="781">
        <v>751083</v>
      </c>
      <c r="AV38" s="782">
        <v>64212</v>
      </c>
      <c r="AW38" s="344"/>
      <c r="AX38" s="137">
        <v>514</v>
      </c>
      <c r="AY38" s="137">
        <v>525</v>
      </c>
      <c r="AZ38" s="137">
        <v>11</v>
      </c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14010</v>
      </c>
      <c r="S39" s="139">
        <v>1557</v>
      </c>
      <c r="T39" s="136"/>
      <c r="U39" s="136"/>
      <c r="V39" s="140"/>
      <c r="W39" s="139"/>
      <c r="X39" s="137"/>
      <c r="Y39" s="139"/>
      <c r="Z39" s="136"/>
      <c r="AA39" s="139"/>
      <c r="AB39" s="136"/>
      <c r="AC39" s="136"/>
      <c r="AD39" s="139"/>
      <c r="AE39" s="142"/>
      <c r="AF39" s="143"/>
      <c r="AG39" s="144"/>
      <c r="AH39" s="135"/>
      <c r="AI39" s="143"/>
      <c r="AJ39" s="135"/>
      <c r="AK39" s="145"/>
      <c r="AL39" s="146"/>
      <c r="AM39" s="144">
        <v>8948</v>
      </c>
      <c r="AN39" s="147"/>
      <c r="AO39" s="144"/>
      <c r="AP39" s="145">
        <v>0</v>
      </c>
      <c r="AQ39" s="144"/>
      <c r="AR39" s="145"/>
      <c r="AS39" s="145"/>
      <c r="AT39" s="144">
        <v>1013</v>
      </c>
      <c r="AU39" s="781">
        <v>25352</v>
      </c>
      <c r="AV39" s="782">
        <v>2790</v>
      </c>
      <c r="AW39" s="344"/>
      <c r="AX39" s="137">
        <v>18</v>
      </c>
      <c r="AY39" s="137">
        <v>22</v>
      </c>
      <c r="AZ39" s="137">
        <v>4</v>
      </c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324283</v>
      </c>
      <c r="S40" s="139">
        <v>36031</v>
      </c>
      <c r="T40" s="136"/>
      <c r="U40" s="136"/>
      <c r="V40" s="140"/>
      <c r="W40" s="139"/>
      <c r="X40" s="137"/>
      <c r="Y40" s="139"/>
      <c r="Z40" s="136"/>
      <c r="AA40" s="139"/>
      <c r="AB40" s="136"/>
      <c r="AC40" s="136"/>
      <c r="AD40" s="139"/>
      <c r="AE40" s="142"/>
      <c r="AF40" s="143"/>
      <c r="AG40" s="144"/>
      <c r="AH40" s="135"/>
      <c r="AI40" s="143"/>
      <c r="AJ40" s="135"/>
      <c r="AK40" s="145"/>
      <c r="AL40" s="146"/>
      <c r="AM40" s="144">
        <v>113233</v>
      </c>
      <c r="AN40" s="147"/>
      <c r="AO40" s="144"/>
      <c r="AP40" s="145">
        <v>0</v>
      </c>
      <c r="AQ40" s="144"/>
      <c r="AR40" s="145"/>
      <c r="AS40" s="145"/>
      <c r="AT40" s="144">
        <v>6311</v>
      </c>
      <c r="AU40" s="781">
        <v>371295</v>
      </c>
      <c r="AV40" s="782">
        <v>16985</v>
      </c>
      <c r="AW40" s="344"/>
      <c r="AX40" s="137">
        <v>330</v>
      </c>
      <c r="AY40" s="137">
        <v>283</v>
      </c>
      <c r="AZ40" s="137">
        <v>-47</v>
      </c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107896</v>
      </c>
      <c r="S41" s="153">
        <v>11988</v>
      </c>
      <c r="T41" s="150"/>
      <c r="U41" s="150"/>
      <c r="V41" s="154"/>
      <c r="W41" s="153"/>
      <c r="X41" s="151"/>
      <c r="Y41" s="153"/>
      <c r="Z41" s="150"/>
      <c r="AA41" s="153"/>
      <c r="AB41" s="156"/>
      <c r="AC41" s="150"/>
      <c r="AD41" s="157"/>
      <c r="AE41" s="157"/>
      <c r="AF41" s="158"/>
      <c r="AG41" s="159"/>
      <c r="AH41" s="149"/>
      <c r="AI41" s="158"/>
      <c r="AJ41" s="149"/>
      <c r="AK41" s="160"/>
      <c r="AL41" s="161"/>
      <c r="AM41" s="159">
        <v>67443</v>
      </c>
      <c r="AN41" s="162"/>
      <c r="AO41" s="159"/>
      <c r="AP41" s="160">
        <v>0</v>
      </c>
      <c r="AQ41" s="159"/>
      <c r="AR41" s="160"/>
      <c r="AS41" s="160"/>
      <c r="AT41" s="159">
        <v>4939</v>
      </c>
      <c r="AU41" s="783">
        <v>166562</v>
      </c>
      <c r="AV41" s="784">
        <v>11823</v>
      </c>
      <c r="AW41" s="344"/>
      <c r="AX41" s="151">
        <v>179</v>
      </c>
      <c r="AY41" s="151">
        <v>169</v>
      </c>
      <c r="AZ41" s="151">
        <v>-10</v>
      </c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222545</v>
      </c>
      <c r="S42" s="121">
        <v>24727</v>
      </c>
      <c r="T42" s="118"/>
      <c r="U42" s="118"/>
      <c r="V42" s="122"/>
      <c r="W42" s="121"/>
      <c r="X42" s="119"/>
      <c r="Y42" s="121"/>
      <c r="Z42" s="118"/>
      <c r="AA42" s="121"/>
      <c r="AB42" s="118"/>
      <c r="AC42" s="118"/>
      <c r="AD42" s="121"/>
      <c r="AE42" s="123"/>
      <c r="AF42" s="124"/>
      <c r="AG42" s="125"/>
      <c r="AH42" s="117"/>
      <c r="AI42" s="124"/>
      <c r="AJ42" s="117"/>
      <c r="AK42" s="126"/>
      <c r="AL42" s="127"/>
      <c r="AM42" s="125">
        <v>527699</v>
      </c>
      <c r="AN42" s="128"/>
      <c r="AO42" s="125"/>
      <c r="AP42" s="126">
        <v>2768</v>
      </c>
      <c r="AQ42" s="125"/>
      <c r="AR42" s="126"/>
      <c r="AS42" s="126"/>
      <c r="AT42" s="125">
        <v>74489</v>
      </c>
      <c r="AU42" s="779">
        <v>868886</v>
      </c>
      <c r="AV42" s="780">
        <v>122138</v>
      </c>
      <c r="AW42" s="344"/>
      <c r="AX42" s="119">
        <v>862</v>
      </c>
      <c r="AY42" s="119">
        <v>1319</v>
      </c>
      <c r="AZ42" s="119">
        <v>457</v>
      </c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307727</v>
      </c>
      <c r="S43" s="139">
        <v>34192</v>
      </c>
      <c r="T43" s="136"/>
      <c r="U43" s="136"/>
      <c r="V43" s="140"/>
      <c r="W43" s="139"/>
      <c r="X43" s="137"/>
      <c r="Y43" s="139"/>
      <c r="Z43" s="136"/>
      <c r="AA43" s="139"/>
      <c r="AB43" s="136"/>
      <c r="AC43" s="136"/>
      <c r="AD43" s="139"/>
      <c r="AE43" s="142"/>
      <c r="AF43" s="143"/>
      <c r="AG43" s="144"/>
      <c r="AH43" s="135"/>
      <c r="AI43" s="143"/>
      <c r="AJ43" s="135"/>
      <c r="AK43" s="145"/>
      <c r="AL43" s="146"/>
      <c r="AM43" s="144">
        <v>197902</v>
      </c>
      <c r="AN43" s="147"/>
      <c r="AO43" s="144"/>
      <c r="AP43" s="145">
        <v>0</v>
      </c>
      <c r="AQ43" s="144"/>
      <c r="AR43" s="145"/>
      <c r="AS43" s="145"/>
      <c r="AT43" s="144">
        <v>19816</v>
      </c>
      <c r="AU43" s="781">
        <v>529711</v>
      </c>
      <c r="AV43" s="782">
        <v>51732</v>
      </c>
      <c r="AW43" s="344"/>
      <c r="AX43" s="137">
        <v>444</v>
      </c>
      <c r="AY43" s="137">
        <v>495</v>
      </c>
      <c r="AZ43" s="137">
        <v>51</v>
      </c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12416</v>
      </c>
      <c r="S44" s="139">
        <v>1380</v>
      </c>
      <c r="T44" s="136"/>
      <c r="U44" s="136"/>
      <c r="V44" s="140"/>
      <c r="W44" s="139"/>
      <c r="X44" s="137"/>
      <c r="Y44" s="139"/>
      <c r="Z44" s="136"/>
      <c r="AA44" s="139"/>
      <c r="AB44" s="136"/>
      <c r="AC44" s="136"/>
      <c r="AD44" s="139"/>
      <c r="AE44" s="142"/>
      <c r="AF44" s="143"/>
      <c r="AG44" s="144"/>
      <c r="AH44" s="135"/>
      <c r="AI44" s="143"/>
      <c r="AJ44" s="135"/>
      <c r="AK44" s="145"/>
      <c r="AL44" s="146"/>
      <c r="AM44" s="144">
        <v>103601</v>
      </c>
      <c r="AN44" s="147"/>
      <c r="AO44" s="144"/>
      <c r="AP44" s="145">
        <v>0</v>
      </c>
      <c r="AQ44" s="144"/>
      <c r="AR44" s="145"/>
      <c r="AS44" s="145"/>
      <c r="AT44" s="144">
        <v>17718</v>
      </c>
      <c r="AU44" s="781">
        <v>126791</v>
      </c>
      <c r="AV44" s="782">
        <v>21516</v>
      </c>
      <c r="AW44" s="344"/>
      <c r="AX44" s="137">
        <v>122</v>
      </c>
      <c r="AY44" s="137">
        <v>259</v>
      </c>
      <c r="AZ44" s="137">
        <v>137</v>
      </c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26612</v>
      </c>
      <c r="S45" s="139">
        <v>2957</v>
      </c>
      <c r="T45" s="136"/>
      <c r="U45" s="136"/>
      <c r="V45" s="140"/>
      <c r="W45" s="139"/>
      <c r="X45" s="137"/>
      <c r="Y45" s="139"/>
      <c r="Z45" s="136"/>
      <c r="AA45" s="139"/>
      <c r="AB45" s="136"/>
      <c r="AC45" s="136"/>
      <c r="AD45" s="139"/>
      <c r="AE45" s="142"/>
      <c r="AF45" s="143"/>
      <c r="AG45" s="144"/>
      <c r="AH45" s="135"/>
      <c r="AI45" s="143"/>
      <c r="AJ45" s="135"/>
      <c r="AK45" s="145"/>
      <c r="AL45" s="146"/>
      <c r="AM45" s="144">
        <v>60783</v>
      </c>
      <c r="AN45" s="147"/>
      <c r="AO45" s="144"/>
      <c r="AP45" s="145">
        <v>0</v>
      </c>
      <c r="AQ45" s="144"/>
      <c r="AR45" s="145"/>
      <c r="AS45" s="145"/>
      <c r="AT45" s="144">
        <v>8430</v>
      </c>
      <c r="AU45" s="781">
        <v>98019</v>
      </c>
      <c r="AV45" s="782">
        <v>13353</v>
      </c>
      <c r="AW45" s="344"/>
      <c r="AX45" s="137">
        <v>101</v>
      </c>
      <c r="AY45" s="137">
        <v>152</v>
      </c>
      <c r="AZ45" s="137">
        <v>51</v>
      </c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295179</v>
      </c>
      <c r="S46" s="153">
        <v>32798</v>
      </c>
      <c r="T46" s="150"/>
      <c r="U46" s="150"/>
      <c r="V46" s="154"/>
      <c r="W46" s="153"/>
      <c r="X46" s="151"/>
      <c r="Y46" s="153"/>
      <c r="Z46" s="150"/>
      <c r="AA46" s="153"/>
      <c r="AB46" s="156"/>
      <c r="AC46" s="150"/>
      <c r="AD46" s="157"/>
      <c r="AE46" s="157"/>
      <c r="AF46" s="158"/>
      <c r="AG46" s="159"/>
      <c r="AH46" s="149"/>
      <c r="AI46" s="158"/>
      <c r="AJ46" s="149"/>
      <c r="AK46" s="160"/>
      <c r="AL46" s="161"/>
      <c r="AM46" s="159">
        <v>213418</v>
      </c>
      <c r="AN46" s="162"/>
      <c r="AO46" s="159"/>
      <c r="AP46" s="160">
        <v>0</v>
      </c>
      <c r="AQ46" s="159"/>
      <c r="AR46" s="160"/>
      <c r="AS46" s="160"/>
      <c r="AT46" s="159">
        <v>19473</v>
      </c>
      <c r="AU46" s="783">
        <v>538844</v>
      </c>
      <c r="AV46" s="784">
        <v>51889</v>
      </c>
      <c r="AW46" s="344"/>
      <c r="AX46" s="151">
        <v>508</v>
      </c>
      <c r="AY46" s="151">
        <v>534</v>
      </c>
      <c r="AZ46" s="151">
        <v>26</v>
      </c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8646</v>
      </c>
      <c r="S47" s="121">
        <v>961</v>
      </c>
      <c r="T47" s="118"/>
      <c r="U47" s="118"/>
      <c r="V47" s="122"/>
      <c r="W47" s="121"/>
      <c r="X47" s="119"/>
      <c r="Y47" s="121"/>
      <c r="Z47" s="118"/>
      <c r="AA47" s="121"/>
      <c r="AB47" s="118"/>
      <c r="AC47" s="118"/>
      <c r="AD47" s="121"/>
      <c r="AE47" s="123"/>
      <c r="AF47" s="124"/>
      <c r="AG47" s="125"/>
      <c r="AH47" s="117"/>
      <c r="AI47" s="124"/>
      <c r="AJ47" s="117"/>
      <c r="AK47" s="126"/>
      <c r="AL47" s="127"/>
      <c r="AM47" s="125">
        <v>11548</v>
      </c>
      <c r="AN47" s="128"/>
      <c r="AO47" s="125"/>
      <c r="AP47" s="126">
        <v>0</v>
      </c>
      <c r="AQ47" s="125"/>
      <c r="AR47" s="126"/>
      <c r="AS47" s="126"/>
      <c r="AT47" s="125">
        <v>-2142</v>
      </c>
      <c r="AU47" s="779">
        <v>14545</v>
      </c>
      <c r="AV47" s="780">
        <v>-2823</v>
      </c>
      <c r="AW47" s="344"/>
      <c r="AX47" s="119">
        <v>76</v>
      </c>
      <c r="AY47" s="119">
        <v>29</v>
      </c>
      <c r="AZ47" s="119">
        <v>-47</v>
      </c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36961</v>
      </c>
      <c r="S48" s="139">
        <v>4107</v>
      </c>
      <c r="T48" s="136"/>
      <c r="U48" s="136"/>
      <c r="V48" s="140"/>
      <c r="W48" s="139"/>
      <c r="X48" s="137"/>
      <c r="Y48" s="139"/>
      <c r="Z48" s="136"/>
      <c r="AA48" s="139"/>
      <c r="AB48" s="136"/>
      <c r="AC48" s="136"/>
      <c r="AD48" s="139"/>
      <c r="AE48" s="142"/>
      <c r="AF48" s="143"/>
      <c r="AG48" s="144"/>
      <c r="AH48" s="135"/>
      <c r="AI48" s="143"/>
      <c r="AJ48" s="135"/>
      <c r="AK48" s="145"/>
      <c r="AL48" s="146"/>
      <c r="AM48" s="144">
        <v>15126</v>
      </c>
      <c r="AN48" s="147"/>
      <c r="AO48" s="144"/>
      <c r="AP48" s="145">
        <v>0</v>
      </c>
      <c r="AQ48" s="144"/>
      <c r="AR48" s="145"/>
      <c r="AS48" s="145"/>
      <c r="AT48" s="144">
        <v>-1940</v>
      </c>
      <c r="AU48" s="781">
        <v>33297</v>
      </c>
      <c r="AV48" s="782">
        <v>-3532</v>
      </c>
      <c r="AW48" s="344"/>
      <c r="AX48" s="137">
        <v>86</v>
      </c>
      <c r="AY48" s="137">
        <v>38</v>
      </c>
      <c r="AZ48" s="137">
        <v>-48</v>
      </c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45785</v>
      </c>
      <c r="S49" s="139">
        <v>5087</v>
      </c>
      <c r="T49" s="136"/>
      <c r="U49" s="136"/>
      <c r="V49" s="140"/>
      <c r="W49" s="139"/>
      <c r="X49" s="137"/>
      <c r="Y49" s="139"/>
      <c r="Z49" s="136"/>
      <c r="AA49" s="139"/>
      <c r="AB49" s="136"/>
      <c r="AC49" s="136"/>
      <c r="AD49" s="139"/>
      <c r="AE49" s="142"/>
      <c r="AF49" s="143"/>
      <c r="AG49" s="144"/>
      <c r="AH49" s="135"/>
      <c r="AI49" s="143"/>
      <c r="AJ49" s="135"/>
      <c r="AK49" s="145"/>
      <c r="AL49" s="146"/>
      <c r="AM49" s="144">
        <v>33507</v>
      </c>
      <c r="AN49" s="147"/>
      <c r="AO49" s="144"/>
      <c r="AP49" s="145">
        <v>0</v>
      </c>
      <c r="AQ49" s="144"/>
      <c r="AR49" s="145"/>
      <c r="AS49" s="145"/>
      <c r="AT49" s="144">
        <v>3509</v>
      </c>
      <c r="AU49" s="781">
        <v>76896</v>
      </c>
      <c r="AV49" s="782">
        <v>6765</v>
      </c>
      <c r="AW49" s="344"/>
      <c r="AX49" s="137">
        <v>73</v>
      </c>
      <c r="AY49" s="137">
        <v>84</v>
      </c>
      <c r="AZ49" s="137">
        <v>11</v>
      </c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130060</v>
      </c>
      <c r="S50" s="139">
        <v>14451</v>
      </c>
      <c r="T50" s="136"/>
      <c r="U50" s="136"/>
      <c r="V50" s="140"/>
      <c r="W50" s="139"/>
      <c r="X50" s="137"/>
      <c r="Y50" s="139"/>
      <c r="Z50" s="136"/>
      <c r="AA50" s="139"/>
      <c r="AB50" s="136"/>
      <c r="AC50" s="136"/>
      <c r="AD50" s="139"/>
      <c r="AE50" s="142"/>
      <c r="AF50" s="143"/>
      <c r="AG50" s="144"/>
      <c r="AH50" s="135"/>
      <c r="AI50" s="143"/>
      <c r="AJ50" s="135"/>
      <c r="AK50" s="145"/>
      <c r="AL50" s="146"/>
      <c r="AM50" s="144">
        <v>98946</v>
      </c>
      <c r="AN50" s="147"/>
      <c r="AO50" s="144"/>
      <c r="AP50" s="145">
        <v>0</v>
      </c>
      <c r="AQ50" s="144"/>
      <c r="AR50" s="145"/>
      <c r="AS50" s="145"/>
      <c r="AT50" s="144">
        <v>10289</v>
      </c>
      <c r="AU50" s="781">
        <v>254508</v>
      </c>
      <c r="AV50" s="782">
        <v>27619</v>
      </c>
      <c r="AW50" s="344"/>
      <c r="AX50" s="137">
        <v>216</v>
      </c>
      <c r="AY50" s="137">
        <v>247</v>
      </c>
      <c r="AZ50" s="137">
        <v>31</v>
      </c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48242</v>
      </c>
      <c r="S51" s="153">
        <v>5360</v>
      </c>
      <c r="T51" s="150"/>
      <c r="U51" s="150"/>
      <c r="V51" s="154"/>
      <c r="W51" s="153"/>
      <c r="X51" s="151"/>
      <c r="Y51" s="153"/>
      <c r="Z51" s="150"/>
      <c r="AA51" s="153"/>
      <c r="AB51" s="156"/>
      <c r="AC51" s="150"/>
      <c r="AD51" s="157"/>
      <c r="AE51" s="157"/>
      <c r="AF51" s="158"/>
      <c r="AG51" s="159"/>
      <c r="AH51" s="149"/>
      <c r="AI51" s="158"/>
      <c r="AJ51" s="149"/>
      <c r="AK51" s="160"/>
      <c r="AL51" s="161"/>
      <c r="AM51" s="159">
        <v>277402</v>
      </c>
      <c r="AN51" s="162"/>
      <c r="AO51" s="159"/>
      <c r="AP51" s="160">
        <v>0</v>
      </c>
      <c r="AQ51" s="159"/>
      <c r="AR51" s="160"/>
      <c r="AS51" s="160"/>
      <c r="AT51" s="159">
        <v>30696</v>
      </c>
      <c r="AU51" s="783">
        <v>336888</v>
      </c>
      <c r="AV51" s="784">
        <v>37721</v>
      </c>
      <c r="AW51" s="344"/>
      <c r="AX51" s="151">
        <v>579</v>
      </c>
      <c r="AY51" s="151">
        <v>694</v>
      </c>
      <c r="AZ51" s="151">
        <v>115</v>
      </c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56375</v>
      </c>
      <c r="S52" s="121">
        <v>6264</v>
      </c>
      <c r="T52" s="118"/>
      <c r="U52" s="118"/>
      <c r="V52" s="122"/>
      <c r="W52" s="121"/>
      <c r="X52" s="119"/>
      <c r="Y52" s="121"/>
      <c r="Z52" s="118"/>
      <c r="AA52" s="121"/>
      <c r="AB52" s="118"/>
      <c r="AC52" s="118"/>
      <c r="AD52" s="121"/>
      <c r="AE52" s="123"/>
      <c r="AF52" s="124"/>
      <c r="AG52" s="125"/>
      <c r="AH52" s="117"/>
      <c r="AI52" s="124"/>
      <c r="AJ52" s="117"/>
      <c r="AK52" s="126"/>
      <c r="AL52" s="127"/>
      <c r="AM52" s="125">
        <v>29541</v>
      </c>
      <c r="AN52" s="128"/>
      <c r="AO52" s="125"/>
      <c r="AP52" s="126">
        <v>0</v>
      </c>
      <c r="AQ52" s="125"/>
      <c r="AR52" s="126"/>
      <c r="AS52" s="126"/>
      <c r="AT52" s="125">
        <v>3201</v>
      </c>
      <c r="AU52" s="779">
        <v>97026</v>
      </c>
      <c r="AV52" s="780">
        <v>10719</v>
      </c>
      <c r="AW52" s="344"/>
      <c r="AX52" s="119">
        <v>63</v>
      </c>
      <c r="AY52" s="119">
        <v>74</v>
      </c>
      <c r="AZ52" s="119">
        <v>11</v>
      </c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5395</v>
      </c>
      <c r="S53" s="139">
        <v>599</v>
      </c>
      <c r="T53" s="136"/>
      <c r="U53" s="136"/>
      <c r="V53" s="140"/>
      <c r="W53" s="139"/>
      <c r="X53" s="137"/>
      <c r="Y53" s="139"/>
      <c r="Z53" s="136"/>
      <c r="AA53" s="139"/>
      <c r="AB53" s="136"/>
      <c r="AC53" s="136"/>
      <c r="AD53" s="139"/>
      <c r="AE53" s="142"/>
      <c r="AF53" s="143"/>
      <c r="AG53" s="144"/>
      <c r="AH53" s="135"/>
      <c r="AI53" s="143"/>
      <c r="AJ53" s="135"/>
      <c r="AK53" s="145"/>
      <c r="AL53" s="146"/>
      <c r="AM53" s="144">
        <v>40683</v>
      </c>
      <c r="AN53" s="147"/>
      <c r="AO53" s="144"/>
      <c r="AP53" s="145">
        <v>0</v>
      </c>
      <c r="AQ53" s="144"/>
      <c r="AR53" s="145"/>
      <c r="AS53" s="145"/>
      <c r="AT53" s="144">
        <v>5899</v>
      </c>
      <c r="AU53" s="781">
        <v>50475</v>
      </c>
      <c r="AV53" s="782">
        <v>7475</v>
      </c>
      <c r="AW53" s="344"/>
      <c r="AX53" s="137">
        <v>64</v>
      </c>
      <c r="AY53" s="137">
        <v>102</v>
      </c>
      <c r="AZ53" s="137">
        <v>38</v>
      </c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85530</v>
      </c>
      <c r="S54" s="139">
        <v>9503</v>
      </c>
      <c r="T54" s="136"/>
      <c r="U54" s="136"/>
      <c r="V54" s="140"/>
      <c r="W54" s="139"/>
      <c r="X54" s="137"/>
      <c r="Y54" s="139"/>
      <c r="Z54" s="136"/>
      <c r="AA54" s="139"/>
      <c r="AB54" s="136"/>
      <c r="AC54" s="136"/>
      <c r="AD54" s="139"/>
      <c r="AE54" s="142"/>
      <c r="AF54" s="143"/>
      <c r="AG54" s="144"/>
      <c r="AH54" s="135"/>
      <c r="AI54" s="143"/>
      <c r="AJ54" s="135"/>
      <c r="AK54" s="145"/>
      <c r="AL54" s="146"/>
      <c r="AM54" s="144">
        <v>126501</v>
      </c>
      <c r="AN54" s="147"/>
      <c r="AO54" s="144"/>
      <c r="AP54" s="145">
        <v>0</v>
      </c>
      <c r="AQ54" s="144"/>
      <c r="AR54" s="145"/>
      <c r="AS54" s="145"/>
      <c r="AT54" s="144">
        <v>13951</v>
      </c>
      <c r="AU54" s="781">
        <v>228553</v>
      </c>
      <c r="AV54" s="782">
        <v>25324</v>
      </c>
      <c r="AW54" s="344"/>
      <c r="AX54" s="137">
        <v>265</v>
      </c>
      <c r="AY54" s="137">
        <v>316</v>
      </c>
      <c r="AZ54" s="137">
        <v>51</v>
      </c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294033</v>
      </c>
      <c r="S55" s="139">
        <v>32670</v>
      </c>
      <c r="T55" s="136"/>
      <c r="U55" s="136"/>
      <c r="V55" s="140"/>
      <c r="W55" s="139"/>
      <c r="X55" s="137"/>
      <c r="Y55" s="139"/>
      <c r="Z55" s="136"/>
      <c r="AA55" s="139"/>
      <c r="AB55" s="136"/>
      <c r="AC55" s="136"/>
      <c r="AD55" s="139"/>
      <c r="AE55" s="142"/>
      <c r="AF55" s="143"/>
      <c r="AG55" s="144"/>
      <c r="AH55" s="135"/>
      <c r="AI55" s="143"/>
      <c r="AJ55" s="135"/>
      <c r="AK55" s="145"/>
      <c r="AL55" s="146"/>
      <c r="AM55" s="144">
        <v>167341</v>
      </c>
      <c r="AN55" s="147"/>
      <c r="AO55" s="144"/>
      <c r="AP55" s="145">
        <v>0</v>
      </c>
      <c r="AQ55" s="144"/>
      <c r="AR55" s="145"/>
      <c r="AS55" s="145"/>
      <c r="AT55" s="144">
        <v>16558</v>
      </c>
      <c r="AU55" s="781">
        <v>507383</v>
      </c>
      <c r="AV55" s="782">
        <v>52790</v>
      </c>
      <c r="AW55" s="344"/>
      <c r="AX55" s="137">
        <v>379</v>
      </c>
      <c r="AY55" s="137">
        <v>418</v>
      </c>
      <c r="AZ55" s="137">
        <v>39</v>
      </c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196763</v>
      </c>
      <c r="S56" s="153">
        <v>21863</v>
      </c>
      <c r="T56" s="150"/>
      <c r="U56" s="150"/>
      <c r="V56" s="154"/>
      <c r="W56" s="153"/>
      <c r="X56" s="151"/>
      <c r="Y56" s="153"/>
      <c r="Z56" s="150"/>
      <c r="AA56" s="153"/>
      <c r="AB56" s="156"/>
      <c r="AC56" s="150"/>
      <c r="AD56" s="157"/>
      <c r="AE56" s="157"/>
      <c r="AF56" s="158"/>
      <c r="AG56" s="159"/>
      <c r="AH56" s="149"/>
      <c r="AI56" s="158"/>
      <c r="AJ56" s="149"/>
      <c r="AK56" s="160"/>
      <c r="AL56" s="161"/>
      <c r="AM56" s="159">
        <v>86108</v>
      </c>
      <c r="AN56" s="162"/>
      <c r="AO56" s="159"/>
      <c r="AP56" s="160">
        <v>0</v>
      </c>
      <c r="AQ56" s="159"/>
      <c r="AR56" s="160"/>
      <c r="AS56" s="160"/>
      <c r="AT56" s="159">
        <v>3595</v>
      </c>
      <c r="AU56" s="783">
        <v>243483</v>
      </c>
      <c r="AV56" s="784">
        <v>10281</v>
      </c>
      <c r="AW56" s="344"/>
      <c r="AX56" s="151">
        <v>269</v>
      </c>
      <c r="AY56" s="151">
        <v>215</v>
      </c>
      <c r="AZ56" s="151">
        <v>-54</v>
      </c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70168</v>
      </c>
      <c r="S57" s="121">
        <v>7796</v>
      </c>
      <c r="T57" s="118"/>
      <c r="U57" s="118"/>
      <c r="V57" s="122"/>
      <c r="W57" s="121"/>
      <c r="X57" s="119"/>
      <c r="Y57" s="121"/>
      <c r="Z57" s="118"/>
      <c r="AA57" s="121"/>
      <c r="AB57" s="118"/>
      <c r="AC57" s="118"/>
      <c r="AD57" s="121"/>
      <c r="AE57" s="123"/>
      <c r="AF57" s="124"/>
      <c r="AG57" s="125"/>
      <c r="AH57" s="117"/>
      <c r="AI57" s="124"/>
      <c r="AJ57" s="117"/>
      <c r="AK57" s="126"/>
      <c r="AL57" s="127"/>
      <c r="AM57" s="125">
        <v>40932</v>
      </c>
      <c r="AN57" s="128"/>
      <c r="AO57" s="125"/>
      <c r="AP57" s="126">
        <v>0</v>
      </c>
      <c r="AQ57" s="125"/>
      <c r="AR57" s="126"/>
      <c r="AS57" s="126"/>
      <c r="AT57" s="125">
        <v>808</v>
      </c>
      <c r="AU57" s="779">
        <v>89096</v>
      </c>
      <c r="AV57" s="780">
        <v>1209</v>
      </c>
      <c r="AW57" s="344"/>
      <c r="AX57" s="119">
        <v>141</v>
      </c>
      <c r="AY57" s="119">
        <v>102</v>
      </c>
      <c r="AZ57" s="119">
        <v>-39</v>
      </c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520092</v>
      </c>
      <c r="S58" s="139">
        <v>57788</v>
      </c>
      <c r="T58" s="136"/>
      <c r="U58" s="136"/>
      <c r="V58" s="140"/>
      <c r="W58" s="139"/>
      <c r="X58" s="137"/>
      <c r="Y58" s="139"/>
      <c r="Z58" s="136"/>
      <c r="AA58" s="139"/>
      <c r="AB58" s="136"/>
      <c r="AC58" s="136"/>
      <c r="AD58" s="139"/>
      <c r="AE58" s="142"/>
      <c r="AF58" s="143"/>
      <c r="AG58" s="144"/>
      <c r="AH58" s="135"/>
      <c r="AI58" s="143"/>
      <c r="AJ58" s="135"/>
      <c r="AK58" s="145"/>
      <c r="AL58" s="146"/>
      <c r="AM58" s="144">
        <v>611734</v>
      </c>
      <c r="AN58" s="147"/>
      <c r="AO58" s="144"/>
      <c r="AP58" s="145">
        <v>0</v>
      </c>
      <c r="AQ58" s="144"/>
      <c r="AR58" s="145"/>
      <c r="AS58" s="145"/>
      <c r="AT58" s="144">
        <v>58889</v>
      </c>
      <c r="AU58" s="781">
        <v>1166438</v>
      </c>
      <c r="AV58" s="782">
        <v>111482</v>
      </c>
      <c r="AW58" s="344"/>
      <c r="AX58" s="137">
        <v>1408</v>
      </c>
      <c r="AY58" s="137">
        <v>1529</v>
      </c>
      <c r="AZ58" s="137">
        <v>121</v>
      </c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403381</v>
      </c>
      <c r="S59" s="139">
        <v>44820</v>
      </c>
      <c r="T59" s="136"/>
      <c r="U59" s="136"/>
      <c r="V59" s="140"/>
      <c r="W59" s="139"/>
      <c r="X59" s="137"/>
      <c r="Y59" s="139"/>
      <c r="Z59" s="136"/>
      <c r="AA59" s="139"/>
      <c r="AB59" s="136"/>
      <c r="AC59" s="136"/>
      <c r="AD59" s="139"/>
      <c r="AE59" s="142"/>
      <c r="AF59" s="143"/>
      <c r="AG59" s="144"/>
      <c r="AH59" s="135"/>
      <c r="AI59" s="143"/>
      <c r="AJ59" s="135"/>
      <c r="AK59" s="145"/>
      <c r="AL59" s="146"/>
      <c r="AM59" s="144">
        <v>184202</v>
      </c>
      <c r="AN59" s="147"/>
      <c r="AO59" s="144"/>
      <c r="AP59" s="145">
        <v>0</v>
      </c>
      <c r="AQ59" s="144"/>
      <c r="AR59" s="145"/>
      <c r="AS59" s="145"/>
      <c r="AT59" s="144">
        <v>15647</v>
      </c>
      <c r="AU59" s="781">
        <v>587998</v>
      </c>
      <c r="AV59" s="782">
        <v>49649</v>
      </c>
      <c r="AW59" s="344"/>
      <c r="AX59" s="137">
        <v>455</v>
      </c>
      <c r="AY59" s="137">
        <v>461</v>
      </c>
      <c r="AZ59" s="137">
        <v>6</v>
      </c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17466</v>
      </c>
      <c r="S60" s="139">
        <v>1941</v>
      </c>
      <c r="T60" s="136"/>
      <c r="U60" s="136"/>
      <c r="V60" s="140"/>
      <c r="W60" s="139"/>
      <c r="X60" s="137"/>
      <c r="Y60" s="139"/>
      <c r="Z60" s="136"/>
      <c r="AA60" s="139"/>
      <c r="AB60" s="136"/>
      <c r="AC60" s="136"/>
      <c r="AD60" s="139"/>
      <c r="AE60" s="142"/>
      <c r="AF60" s="143"/>
      <c r="AG60" s="144"/>
      <c r="AH60" s="135"/>
      <c r="AI60" s="143"/>
      <c r="AJ60" s="135"/>
      <c r="AK60" s="145"/>
      <c r="AL60" s="146"/>
      <c r="AM60" s="144">
        <v>28350</v>
      </c>
      <c r="AN60" s="147"/>
      <c r="AO60" s="144"/>
      <c r="AP60" s="145">
        <v>0</v>
      </c>
      <c r="AQ60" s="144"/>
      <c r="AR60" s="145"/>
      <c r="AS60" s="145"/>
      <c r="AT60" s="144">
        <v>4610</v>
      </c>
      <c r="AU60" s="781">
        <v>49496</v>
      </c>
      <c r="AV60" s="782">
        <v>7010</v>
      </c>
      <c r="AW60" s="344"/>
      <c r="AX60" s="137">
        <v>37</v>
      </c>
      <c r="AY60" s="137">
        <v>71</v>
      </c>
      <c r="AZ60" s="137">
        <v>34</v>
      </c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330096</v>
      </c>
      <c r="S61" s="153">
        <v>36677</v>
      </c>
      <c r="T61" s="150"/>
      <c r="U61" s="150"/>
      <c r="V61" s="154"/>
      <c r="W61" s="153"/>
      <c r="X61" s="151"/>
      <c r="Y61" s="153"/>
      <c r="Z61" s="150"/>
      <c r="AA61" s="153"/>
      <c r="AB61" s="156"/>
      <c r="AC61" s="150"/>
      <c r="AD61" s="157"/>
      <c r="AE61" s="157"/>
      <c r="AF61" s="158"/>
      <c r="AG61" s="159"/>
      <c r="AH61" s="149"/>
      <c r="AI61" s="158"/>
      <c r="AJ61" s="149"/>
      <c r="AK61" s="160"/>
      <c r="AL61" s="161"/>
      <c r="AM61" s="159">
        <v>204072</v>
      </c>
      <c r="AN61" s="162"/>
      <c r="AO61" s="159"/>
      <c r="AP61" s="160">
        <v>0</v>
      </c>
      <c r="AQ61" s="159"/>
      <c r="AR61" s="160"/>
      <c r="AS61" s="160"/>
      <c r="AT61" s="159">
        <v>13545</v>
      </c>
      <c r="AU61" s="783">
        <v>506746</v>
      </c>
      <c r="AV61" s="784">
        <v>34463</v>
      </c>
      <c r="AW61" s="344"/>
      <c r="AX61" s="151">
        <v>562</v>
      </c>
      <c r="AY61" s="151">
        <v>510</v>
      </c>
      <c r="AZ61" s="151">
        <v>-52</v>
      </c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77356</v>
      </c>
      <c r="S62" s="121">
        <v>8595</v>
      </c>
      <c r="T62" s="118"/>
      <c r="U62" s="118"/>
      <c r="V62" s="122"/>
      <c r="W62" s="121"/>
      <c r="X62" s="119"/>
      <c r="Y62" s="121"/>
      <c r="Z62" s="118"/>
      <c r="AA62" s="121"/>
      <c r="AB62" s="118"/>
      <c r="AC62" s="118"/>
      <c r="AD62" s="121"/>
      <c r="AE62" s="123"/>
      <c r="AF62" s="124"/>
      <c r="AG62" s="125"/>
      <c r="AH62" s="117"/>
      <c r="AI62" s="124"/>
      <c r="AJ62" s="117"/>
      <c r="AK62" s="126"/>
      <c r="AL62" s="127"/>
      <c r="AM62" s="125">
        <v>34158</v>
      </c>
      <c r="AN62" s="128"/>
      <c r="AO62" s="125"/>
      <c r="AP62" s="126">
        <v>0</v>
      </c>
      <c r="AQ62" s="125"/>
      <c r="AR62" s="126"/>
      <c r="AS62" s="126"/>
      <c r="AT62" s="125">
        <v>-1276</v>
      </c>
      <c r="AU62" s="779">
        <v>80050</v>
      </c>
      <c r="AV62" s="780">
        <v>-2642</v>
      </c>
      <c r="AW62" s="344"/>
      <c r="AX62" s="119">
        <v>147</v>
      </c>
      <c r="AY62" s="119">
        <v>85</v>
      </c>
      <c r="AZ62" s="119">
        <v>-62</v>
      </c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146680</v>
      </c>
      <c r="S63" s="139">
        <v>16298</v>
      </c>
      <c r="T63" s="136"/>
      <c r="U63" s="136"/>
      <c r="V63" s="140"/>
      <c r="W63" s="139"/>
      <c r="X63" s="137"/>
      <c r="Y63" s="139"/>
      <c r="Z63" s="136"/>
      <c r="AA63" s="139"/>
      <c r="AB63" s="136"/>
      <c r="AC63" s="136"/>
      <c r="AD63" s="139"/>
      <c r="AE63" s="142"/>
      <c r="AF63" s="143"/>
      <c r="AG63" s="144"/>
      <c r="AH63" s="135"/>
      <c r="AI63" s="143"/>
      <c r="AJ63" s="135"/>
      <c r="AK63" s="145"/>
      <c r="AL63" s="146"/>
      <c r="AM63" s="144">
        <v>63204</v>
      </c>
      <c r="AN63" s="147"/>
      <c r="AO63" s="144"/>
      <c r="AP63" s="145">
        <v>0</v>
      </c>
      <c r="AQ63" s="144"/>
      <c r="AR63" s="145"/>
      <c r="AS63" s="145"/>
      <c r="AT63" s="144">
        <v>4668</v>
      </c>
      <c r="AU63" s="781">
        <v>215932</v>
      </c>
      <c r="AV63" s="782">
        <v>18504</v>
      </c>
      <c r="AW63" s="344"/>
      <c r="AX63" s="137">
        <v>167</v>
      </c>
      <c r="AY63" s="137">
        <v>158</v>
      </c>
      <c r="AZ63" s="137">
        <v>-9</v>
      </c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205850</v>
      </c>
      <c r="S64" s="139">
        <v>22872</v>
      </c>
      <c r="T64" s="136"/>
      <c r="U64" s="136"/>
      <c r="V64" s="140"/>
      <c r="W64" s="139"/>
      <c r="X64" s="137"/>
      <c r="Y64" s="139"/>
      <c r="Z64" s="136"/>
      <c r="AA64" s="139"/>
      <c r="AB64" s="136"/>
      <c r="AC64" s="136"/>
      <c r="AD64" s="139"/>
      <c r="AE64" s="142"/>
      <c r="AF64" s="143"/>
      <c r="AG64" s="144"/>
      <c r="AH64" s="135"/>
      <c r="AI64" s="143"/>
      <c r="AJ64" s="135"/>
      <c r="AK64" s="145"/>
      <c r="AL64" s="146"/>
      <c r="AM64" s="144">
        <v>53031</v>
      </c>
      <c r="AN64" s="147"/>
      <c r="AO64" s="144"/>
      <c r="AP64" s="145">
        <v>0</v>
      </c>
      <c r="AQ64" s="144"/>
      <c r="AR64" s="145"/>
      <c r="AS64" s="145"/>
      <c r="AT64" s="144">
        <v>1562</v>
      </c>
      <c r="AU64" s="781">
        <v>212260</v>
      </c>
      <c r="AV64" s="782">
        <v>7180</v>
      </c>
      <c r="AW64" s="344"/>
      <c r="AX64" s="137">
        <v>175</v>
      </c>
      <c r="AY64" s="137">
        <v>133</v>
      </c>
      <c r="AZ64" s="137">
        <v>-42</v>
      </c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65764</v>
      </c>
      <c r="S65" s="139">
        <v>7307</v>
      </c>
      <c r="T65" s="136"/>
      <c r="U65" s="136"/>
      <c r="V65" s="140"/>
      <c r="W65" s="139"/>
      <c r="X65" s="137"/>
      <c r="Y65" s="139"/>
      <c r="Z65" s="136"/>
      <c r="AA65" s="139"/>
      <c r="AB65" s="136"/>
      <c r="AC65" s="136"/>
      <c r="AD65" s="139"/>
      <c r="AE65" s="142"/>
      <c r="AF65" s="143"/>
      <c r="AG65" s="144"/>
      <c r="AH65" s="135"/>
      <c r="AI65" s="143"/>
      <c r="AJ65" s="135"/>
      <c r="AK65" s="145"/>
      <c r="AL65" s="146"/>
      <c r="AM65" s="144">
        <v>27624</v>
      </c>
      <c r="AN65" s="147"/>
      <c r="AO65" s="144"/>
      <c r="AP65" s="145">
        <v>0</v>
      </c>
      <c r="AQ65" s="144"/>
      <c r="AR65" s="145"/>
      <c r="AS65" s="145"/>
      <c r="AT65" s="144">
        <v>4399</v>
      </c>
      <c r="AU65" s="781">
        <v>148729</v>
      </c>
      <c r="AV65" s="782">
        <v>23759</v>
      </c>
      <c r="AW65" s="344"/>
      <c r="AX65" s="137">
        <v>37</v>
      </c>
      <c r="AY65" s="137">
        <v>69</v>
      </c>
      <c r="AZ65" s="137">
        <v>32</v>
      </c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67590</v>
      </c>
      <c r="S66" s="153">
        <v>7510</v>
      </c>
      <c r="T66" s="150"/>
      <c r="U66" s="150"/>
      <c r="V66" s="154"/>
      <c r="W66" s="153"/>
      <c r="X66" s="151"/>
      <c r="Y66" s="153"/>
      <c r="Z66" s="150"/>
      <c r="AA66" s="153"/>
      <c r="AB66" s="156"/>
      <c r="AC66" s="150"/>
      <c r="AD66" s="157"/>
      <c r="AE66" s="157"/>
      <c r="AF66" s="158"/>
      <c r="AG66" s="159"/>
      <c r="AH66" s="149"/>
      <c r="AI66" s="158"/>
      <c r="AJ66" s="149"/>
      <c r="AK66" s="160"/>
      <c r="AL66" s="161"/>
      <c r="AM66" s="159">
        <v>57227</v>
      </c>
      <c r="AN66" s="162"/>
      <c r="AO66" s="159"/>
      <c r="AP66" s="160">
        <v>0</v>
      </c>
      <c r="AQ66" s="159"/>
      <c r="AR66" s="160"/>
      <c r="AS66" s="160"/>
      <c r="AT66" s="159">
        <v>7030</v>
      </c>
      <c r="AU66" s="783">
        <v>143494</v>
      </c>
      <c r="AV66" s="784">
        <v>17396</v>
      </c>
      <c r="AW66" s="344"/>
      <c r="AX66" s="151">
        <v>109</v>
      </c>
      <c r="AY66" s="151">
        <v>143</v>
      </c>
      <c r="AZ66" s="151">
        <v>34</v>
      </c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28921</v>
      </c>
      <c r="S67" s="121">
        <v>3213</v>
      </c>
      <c r="T67" s="118"/>
      <c r="U67" s="118"/>
      <c r="V67" s="122"/>
      <c r="W67" s="121"/>
      <c r="X67" s="119"/>
      <c r="Y67" s="121"/>
      <c r="Z67" s="118"/>
      <c r="AA67" s="121"/>
      <c r="AB67" s="118"/>
      <c r="AC67" s="118"/>
      <c r="AD67" s="121"/>
      <c r="AE67" s="123"/>
      <c r="AF67" s="124"/>
      <c r="AG67" s="125"/>
      <c r="AH67" s="117"/>
      <c r="AI67" s="124"/>
      <c r="AJ67" s="117"/>
      <c r="AK67" s="126"/>
      <c r="AL67" s="127"/>
      <c r="AM67" s="125">
        <v>107326</v>
      </c>
      <c r="AN67" s="128"/>
      <c r="AO67" s="125"/>
      <c r="AP67" s="126">
        <v>0</v>
      </c>
      <c r="AQ67" s="125"/>
      <c r="AR67" s="126"/>
      <c r="AS67" s="126"/>
      <c r="AT67" s="125">
        <v>11817</v>
      </c>
      <c r="AU67" s="779">
        <v>140208</v>
      </c>
      <c r="AV67" s="780">
        <v>15297</v>
      </c>
      <c r="AW67" s="344"/>
      <c r="AX67" s="119">
        <v>225</v>
      </c>
      <c r="AY67" s="119">
        <v>268</v>
      </c>
      <c r="AZ67" s="119">
        <v>43</v>
      </c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9630</v>
      </c>
      <c r="S68" s="139">
        <v>1070</v>
      </c>
      <c r="T68" s="136"/>
      <c r="U68" s="136"/>
      <c r="V68" s="140"/>
      <c r="W68" s="139"/>
      <c r="X68" s="137"/>
      <c r="Y68" s="139"/>
      <c r="Z68" s="136"/>
      <c r="AA68" s="139"/>
      <c r="AB68" s="136"/>
      <c r="AC68" s="136"/>
      <c r="AD68" s="139"/>
      <c r="AE68" s="142"/>
      <c r="AF68" s="143"/>
      <c r="AG68" s="144"/>
      <c r="AH68" s="135"/>
      <c r="AI68" s="143"/>
      <c r="AJ68" s="135"/>
      <c r="AK68" s="145"/>
      <c r="AL68" s="146"/>
      <c r="AM68" s="144">
        <v>9372</v>
      </c>
      <c r="AN68" s="147"/>
      <c r="AO68" s="144"/>
      <c r="AP68" s="145">
        <v>0</v>
      </c>
      <c r="AQ68" s="144"/>
      <c r="AR68" s="145"/>
      <c r="AS68" s="145"/>
      <c r="AT68" s="144">
        <v>2009</v>
      </c>
      <c r="AU68" s="781">
        <v>32216</v>
      </c>
      <c r="AV68" s="782">
        <v>6124</v>
      </c>
      <c r="AW68" s="344"/>
      <c r="AX68" s="137">
        <v>5</v>
      </c>
      <c r="AY68" s="137">
        <v>23</v>
      </c>
      <c r="AZ68" s="137">
        <v>18</v>
      </c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18864</v>
      </c>
      <c r="S69" s="139">
        <v>2096</v>
      </c>
      <c r="T69" s="136"/>
      <c r="U69" s="136"/>
      <c r="V69" s="140"/>
      <c r="W69" s="139"/>
      <c r="X69" s="137"/>
      <c r="Y69" s="139"/>
      <c r="Z69" s="136"/>
      <c r="AA69" s="139"/>
      <c r="AB69" s="136"/>
      <c r="AC69" s="136"/>
      <c r="AD69" s="139"/>
      <c r="AE69" s="142"/>
      <c r="AF69" s="143"/>
      <c r="AG69" s="144"/>
      <c r="AH69" s="135"/>
      <c r="AI69" s="143"/>
      <c r="AJ69" s="135"/>
      <c r="AK69" s="145"/>
      <c r="AL69" s="146"/>
      <c r="AM69" s="144">
        <v>25866</v>
      </c>
      <c r="AN69" s="147"/>
      <c r="AO69" s="144"/>
      <c r="AP69" s="145">
        <v>0</v>
      </c>
      <c r="AQ69" s="144"/>
      <c r="AR69" s="145"/>
      <c r="AS69" s="145"/>
      <c r="AT69" s="144">
        <v>987</v>
      </c>
      <c r="AU69" s="781">
        <v>38627</v>
      </c>
      <c r="AV69" s="782">
        <v>1058</v>
      </c>
      <c r="AW69" s="344"/>
      <c r="AX69" s="137">
        <v>82</v>
      </c>
      <c r="AY69" s="137">
        <v>65</v>
      </c>
      <c r="AZ69" s="137">
        <v>-17</v>
      </c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21532</v>
      </c>
      <c r="S70" s="139">
        <v>2392</v>
      </c>
      <c r="T70" s="136"/>
      <c r="U70" s="136"/>
      <c r="V70" s="140"/>
      <c r="W70" s="139"/>
      <c r="X70" s="137"/>
      <c r="Y70" s="139"/>
      <c r="Z70" s="136"/>
      <c r="AA70" s="139"/>
      <c r="AB70" s="136"/>
      <c r="AC70" s="136"/>
      <c r="AD70" s="139"/>
      <c r="AE70" s="142"/>
      <c r="AF70" s="143"/>
      <c r="AG70" s="144"/>
      <c r="AH70" s="135"/>
      <c r="AI70" s="143"/>
      <c r="AJ70" s="135"/>
      <c r="AK70" s="145"/>
      <c r="AL70" s="146"/>
      <c r="AM70" s="144">
        <v>15597</v>
      </c>
      <c r="AN70" s="147"/>
      <c r="AO70" s="144"/>
      <c r="AP70" s="145">
        <v>0</v>
      </c>
      <c r="AQ70" s="144"/>
      <c r="AR70" s="145"/>
      <c r="AS70" s="145"/>
      <c r="AT70" s="144">
        <v>1838</v>
      </c>
      <c r="AU70" s="781">
        <v>42341</v>
      </c>
      <c r="AV70" s="782">
        <v>4954</v>
      </c>
      <c r="AW70" s="344"/>
      <c r="AX70" s="137">
        <v>31</v>
      </c>
      <c r="AY70" s="137">
        <v>39</v>
      </c>
      <c r="AZ70" s="137">
        <v>8</v>
      </c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38200</v>
      </c>
      <c r="S71" s="153">
        <v>4244</v>
      </c>
      <c r="T71" s="150"/>
      <c r="U71" s="150"/>
      <c r="V71" s="154"/>
      <c r="W71" s="153"/>
      <c r="X71" s="151"/>
      <c r="Y71" s="153"/>
      <c r="Z71" s="150"/>
      <c r="AA71" s="153"/>
      <c r="AB71" s="156"/>
      <c r="AC71" s="150"/>
      <c r="AD71" s="157"/>
      <c r="AE71" s="157"/>
      <c r="AF71" s="158"/>
      <c r="AG71" s="159"/>
      <c r="AH71" s="149"/>
      <c r="AI71" s="158"/>
      <c r="AJ71" s="149"/>
      <c r="AK71" s="160"/>
      <c r="AL71" s="161"/>
      <c r="AM71" s="159">
        <v>43983</v>
      </c>
      <c r="AN71" s="162"/>
      <c r="AO71" s="159"/>
      <c r="AP71" s="160">
        <v>0</v>
      </c>
      <c r="AQ71" s="159"/>
      <c r="AR71" s="160"/>
      <c r="AS71" s="160"/>
      <c r="AT71" s="159">
        <v>5937</v>
      </c>
      <c r="AU71" s="783">
        <v>95029</v>
      </c>
      <c r="AV71" s="784">
        <v>12376</v>
      </c>
      <c r="AW71" s="344"/>
      <c r="AX71" s="151">
        <v>76</v>
      </c>
      <c r="AY71" s="151">
        <v>110</v>
      </c>
      <c r="AZ71" s="151">
        <v>34</v>
      </c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62486</v>
      </c>
      <c r="S72" s="121">
        <v>6943</v>
      </c>
      <c r="T72" s="118"/>
      <c r="U72" s="118"/>
      <c r="V72" s="122"/>
      <c r="W72" s="121"/>
      <c r="X72" s="119"/>
      <c r="Y72" s="121"/>
      <c r="Z72" s="118"/>
      <c r="AA72" s="121"/>
      <c r="AB72" s="118"/>
      <c r="AC72" s="118"/>
      <c r="AD72" s="121"/>
      <c r="AE72" s="123"/>
      <c r="AF72" s="124"/>
      <c r="AG72" s="125"/>
      <c r="AH72" s="117"/>
      <c r="AI72" s="124"/>
      <c r="AJ72" s="117"/>
      <c r="AK72" s="126"/>
      <c r="AL72" s="127"/>
      <c r="AM72" s="125">
        <v>63950</v>
      </c>
      <c r="AN72" s="128"/>
      <c r="AO72" s="125"/>
      <c r="AP72" s="126">
        <v>0</v>
      </c>
      <c r="AQ72" s="125"/>
      <c r="AR72" s="126"/>
      <c r="AS72" s="126"/>
      <c r="AT72" s="125">
        <v>8732</v>
      </c>
      <c r="AU72" s="779">
        <v>158348</v>
      </c>
      <c r="AV72" s="780">
        <v>21984</v>
      </c>
      <c r="AW72" s="344"/>
      <c r="AX72" s="785">
        <v>109</v>
      </c>
      <c r="AY72" s="785">
        <v>160</v>
      </c>
      <c r="AZ72" s="785">
        <v>51</v>
      </c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61746</v>
      </c>
      <c r="S73" s="139">
        <v>6861</v>
      </c>
      <c r="T73" s="136"/>
      <c r="U73" s="136"/>
      <c r="V73" s="140"/>
      <c r="W73" s="139"/>
      <c r="X73" s="137"/>
      <c r="Y73" s="139"/>
      <c r="Z73" s="136"/>
      <c r="AA73" s="139"/>
      <c r="AB73" s="136"/>
      <c r="AC73" s="136"/>
      <c r="AD73" s="139"/>
      <c r="AE73" s="142"/>
      <c r="AF73" s="143"/>
      <c r="AG73" s="144"/>
      <c r="AH73" s="135"/>
      <c r="AI73" s="143"/>
      <c r="AJ73" s="135"/>
      <c r="AK73" s="145"/>
      <c r="AL73" s="146"/>
      <c r="AM73" s="144">
        <v>67961</v>
      </c>
      <c r="AN73" s="147"/>
      <c r="AO73" s="144"/>
      <c r="AP73" s="145">
        <v>0</v>
      </c>
      <c r="AQ73" s="144"/>
      <c r="AR73" s="145"/>
      <c r="AS73" s="145"/>
      <c r="AT73" s="144">
        <v>6770</v>
      </c>
      <c r="AU73" s="781">
        <v>136762</v>
      </c>
      <c r="AV73" s="782">
        <v>13747</v>
      </c>
      <c r="AW73" s="344"/>
      <c r="AX73" s="785">
        <v>153</v>
      </c>
      <c r="AY73" s="785">
        <v>170</v>
      </c>
      <c r="AZ73" s="785">
        <v>17</v>
      </c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28828</v>
      </c>
      <c r="S74" s="139">
        <v>3203</v>
      </c>
      <c r="T74" s="136"/>
      <c r="U74" s="136"/>
      <c r="V74" s="140"/>
      <c r="W74" s="139"/>
      <c r="X74" s="137"/>
      <c r="Y74" s="139"/>
      <c r="Z74" s="136"/>
      <c r="AA74" s="139"/>
      <c r="AB74" s="136"/>
      <c r="AC74" s="136"/>
      <c r="AD74" s="139"/>
      <c r="AE74" s="142"/>
      <c r="AF74" s="143"/>
      <c r="AG74" s="144"/>
      <c r="AH74" s="135"/>
      <c r="AI74" s="143"/>
      <c r="AJ74" s="135"/>
      <c r="AK74" s="145"/>
      <c r="AL74" s="146"/>
      <c r="AM74" s="144">
        <v>13797</v>
      </c>
      <c r="AN74" s="147"/>
      <c r="AO74" s="144"/>
      <c r="AP74" s="145">
        <v>0</v>
      </c>
      <c r="AQ74" s="144"/>
      <c r="AR74" s="145"/>
      <c r="AS74" s="145"/>
      <c r="AT74" s="144">
        <v>1277</v>
      </c>
      <c r="AU74" s="781">
        <v>46951</v>
      </c>
      <c r="AV74" s="782">
        <v>4782</v>
      </c>
      <c r="AW74" s="344"/>
      <c r="AX74" s="785">
        <v>33</v>
      </c>
      <c r="AY74" s="785">
        <v>34</v>
      </c>
      <c r="AZ74" s="785">
        <v>1</v>
      </c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46229</v>
      </c>
      <c r="S75" s="139">
        <v>5137</v>
      </c>
      <c r="T75" s="136"/>
      <c r="U75" s="136"/>
      <c r="V75" s="140"/>
      <c r="W75" s="139"/>
      <c r="X75" s="137"/>
      <c r="Y75" s="139"/>
      <c r="Z75" s="136"/>
      <c r="AA75" s="139"/>
      <c r="AB75" s="136"/>
      <c r="AC75" s="136"/>
      <c r="AD75" s="139"/>
      <c r="AE75" s="142"/>
      <c r="AF75" s="143"/>
      <c r="AG75" s="144"/>
      <c r="AH75" s="135"/>
      <c r="AI75" s="143"/>
      <c r="AJ75" s="135"/>
      <c r="AK75" s="145"/>
      <c r="AL75" s="146"/>
      <c r="AM75" s="144">
        <v>29292</v>
      </c>
      <c r="AN75" s="147"/>
      <c r="AO75" s="144"/>
      <c r="AP75" s="145">
        <v>0</v>
      </c>
      <c r="AQ75" s="144"/>
      <c r="AR75" s="145"/>
      <c r="AS75" s="145"/>
      <c r="AT75" s="144">
        <v>2731</v>
      </c>
      <c r="AU75" s="781">
        <v>79035</v>
      </c>
      <c r="AV75" s="782">
        <v>7499</v>
      </c>
      <c r="AW75" s="344"/>
      <c r="AX75" s="786">
        <v>69</v>
      </c>
      <c r="AY75" s="786">
        <v>73</v>
      </c>
      <c r="AZ75" s="786">
        <v>4</v>
      </c>
    </row>
    <row r="76" spans="1:52" s="16" customFormat="1" ht="15" customHeight="1" thickBot="1" x14ac:dyDescent="0.25">
      <c r="A76" s="1493" t="s">
        <v>397</v>
      </c>
      <c r="B76" s="1494"/>
      <c r="C76" s="1021">
        <v>1911</v>
      </c>
      <c r="D76" s="1022">
        <v>3830.1946329323391</v>
      </c>
      <c r="E76" s="1023">
        <v>7503893.4008335685</v>
      </c>
      <c r="F76" s="1024">
        <v>1599</v>
      </c>
      <c r="G76" s="1025">
        <v>512.64871144009294</v>
      </c>
      <c r="H76" s="1026">
        <v>849451.25011197233</v>
      </c>
      <c r="I76" s="1024">
        <v>575.5</v>
      </c>
      <c r="J76" s="1025">
        <v>142.76439673276815</v>
      </c>
      <c r="K76" s="1026">
        <v>82849.085701654985</v>
      </c>
      <c r="L76" s="1024">
        <v>255</v>
      </c>
      <c r="M76" s="1025">
        <v>3541.6820794202499</v>
      </c>
      <c r="N76" s="1026">
        <v>939636.85396715207</v>
      </c>
      <c r="O76" s="1024">
        <v>47</v>
      </c>
      <c r="P76" s="1025">
        <v>1372.94295435559</v>
      </c>
      <c r="Q76" s="1026">
        <v>67835.661565471601</v>
      </c>
      <c r="R76" s="1027">
        <v>9443668</v>
      </c>
      <c r="S76" s="1027">
        <v>1049294</v>
      </c>
      <c r="T76" s="1025">
        <v>63350</v>
      </c>
      <c r="U76" s="1025">
        <v>14215</v>
      </c>
      <c r="V76" s="1028">
        <v>77565</v>
      </c>
      <c r="W76" s="1027">
        <v>9521233</v>
      </c>
      <c r="X76" s="1026">
        <v>-23801</v>
      </c>
      <c r="Y76" s="1027">
        <v>9497432</v>
      </c>
      <c r="Z76" s="1026">
        <v>6791</v>
      </c>
      <c r="AA76" s="1027">
        <v>9504223</v>
      </c>
      <c r="AB76" s="1025">
        <v>6284598</v>
      </c>
      <c r="AC76" s="1025">
        <v>3219625</v>
      </c>
      <c r="AD76" s="1027">
        <v>804917</v>
      </c>
      <c r="AE76" s="1029">
        <v>9504223</v>
      </c>
      <c r="AF76" s="1025">
        <v>4880.7</v>
      </c>
      <c r="AG76" s="1030">
        <v>8697169</v>
      </c>
      <c r="AH76" s="1024">
        <v>9</v>
      </c>
      <c r="AI76" s="1025">
        <v>24898</v>
      </c>
      <c r="AJ76" s="1024">
        <v>0</v>
      </c>
      <c r="AK76" s="1025">
        <v>20405</v>
      </c>
      <c r="AL76" s="1028">
        <v>45303</v>
      </c>
      <c r="AM76" s="1030">
        <v>8742472</v>
      </c>
      <c r="AN76" s="1025">
        <v>-21854</v>
      </c>
      <c r="AO76" s="1030">
        <v>8720618</v>
      </c>
      <c r="AP76" s="1025">
        <v>7814</v>
      </c>
      <c r="AQ76" s="1030">
        <v>8728432</v>
      </c>
      <c r="AR76" s="1025">
        <v>5736384</v>
      </c>
      <c r="AS76" s="1025">
        <v>2992048</v>
      </c>
      <c r="AT76" s="1030">
        <v>748020</v>
      </c>
      <c r="AU76" s="787">
        <v>18232655</v>
      </c>
      <c r="AV76" s="787">
        <v>1552937</v>
      </c>
      <c r="AW76" s="516"/>
      <c r="AX76" s="165">
        <v>21546</v>
      </c>
      <c r="AY76" s="165">
        <v>21854</v>
      </c>
      <c r="AZ76" s="165">
        <v>308</v>
      </c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110645</v>
      </c>
      <c r="S77" s="975"/>
      <c r="T77" s="975"/>
      <c r="U77" s="975"/>
      <c r="V77" s="975"/>
      <c r="W77" s="976">
        <v>110645</v>
      </c>
      <c r="X77" s="1018">
        <v>-277</v>
      </c>
      <c r="Y77" s="976">
        <v>110368</v>
      </c>
      <c r="Z77" s="975"/>
      <c r="AA77" s="976">
        <v>110368</v>
      </c>
      <c r="AB77" s="975">
        <v>66482</v>
      </c>
      <c r="AC77" s="975">
        <v>43886</v>
      </c>
      <c r="AD77" s="976">
        <v>10972</v>
      </c>
      <c r="AE77" s="1020">
        <v>110368</v>
      </c>
      <c r="AF77" s="975"/>
      <c r="AG77" s="975"/>
      <c r="AH77" s="1019"/>
      <c r="AI77" s="975"/>
      <c r="AJ77" s="1019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1179">
        <v>110368</v>
      </c>
      <c r="AV77" s="1032">
        <v>10972</v>
      </c>
      <c r="AW77" s="1033"/>
      <c r="AX77" s="1034"/>
      <c r="AY77" s="1034">
        <v>0</v>
      </c>
      <c r="AZ77" s="788">
        <v>0</v>
      </c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0"/>
      <c r="AA78" s="791"/>
      <c r="AB78" s="791"/>
      <c r="AC78" s="790"/>
      <c r="AD78" s="791"/>
      <c r="AE78" s="791"/>
      <c r="AF78" s="791"/>
      <c r="AG78" s="791"/>
      <c r="AH78" s="789"/>
      <c r="AI78" s="791"/>
      <c r="AJ78" s="789"/>
      <c r="AK78" s="791"/>
      <c r="AL78" s="791"/>
      <c r="AM78" s="791"/>
      <c r="AN78" s="791"/>
      <c r="AO78" s="791"/>
      <c r="AP78" s="791"/>
      <c r="AQ78" s="791"/>
      <c r="AR78" s="791"/>
      <c r="AS78" s="791"/>
      <c r="AT78" s="791"/>
      <c r="AU78" s="1035">
        <v>0</v>
      </c>
      <c r="AV78" s="1035">
        <v>0</v>
      </c>
      <c r="AW78" s="516"/>
      <c r="AX78" s="788"/>
      <c r="AY78" s="788"/>
      <c r="AZ78" s="788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790"/>
      <c r="AA79" s="142">
        <v>0</v>
      </c>
      <c r="AB79" s="791">
        <v>0</v>
      </c>
      <c r="AC79" s="790">
        <v>0</v>
      </c>
      <c r="AD79" s="142">
        <v>0</v>
      </c>
      <c r="AE79" s="142">
        <v>0</v>
      </c>
      <c r="AF79" s="790"/>
      <c r="AG79" s="790"/>
      <c r="AH79" s="789"/>
      <c r="AI79" s="790"/>
      <c r="AJ79" s="789"/>
      <c r="AK79" s="790"/>
      <c r="AL79" s="790"/>
      <c r="AM79" s="790"/>
      <c r="AN79" s="790"/>
      <c r="AO79" s="790"/>
      <c r="AP79" s="790"/>
      <c r="AQ79" s="790"/>
      <c r="AR79" s="790"/>
      <c r="AS79" s="790"/>
      <c r="AT79" s="790"/>
      <c r="AU79" s="792">
        <v>0</v>
      </c>
      <c r="AV79" s="792">
        <v>0</v>
      </c>
      <c r="AW79" s="516"/>
      <c r="AX79" s="516"/>
      <c r="AY79" s="516"/>
      <c r="AZ79" s="516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0"/>
      <c r="AA80" s="793"/>
      <c r="AB80" s="791"/>
      <c r="AC80" s="790"/>
      <c r="AD80" s="793"/>
      <c r="AE80" s="142">
        <v>0</v>
      </c>
      <c r="AF80" s="790"/>
      <c r="AG80" s="790"/>
      <c r="AH80" s="789"/>
      <c r="AI80" s="790"/>
      <c r="AJ80" s="789"/>
      <c r="AK80" s="790"/>
      <c r="AL80" s="790"/>
      <c r="AM80" s="790"/>
      <c r="AN80" s="790"/>
      <c r="AO80" s="790"/>
      <c r="AP80" s="790"/>
      <c r="AQ80" s="790"/>
      <c r="AR80" s="790"/>
      <c r="AS80" s="790"/>
      <c r="AT80" s="790"/>
      <c r="AU80" s="792">
        <v>0</v>
      </c>
      <c r="AV80" s="790"/>
      <c r="AW80" s="516"/>
      <c r="AX80" s="516"/>
      <c r="AY80" s="516"/>
      <c r="AZ80" s="516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0"/>
      <c r="AA81" s="791"/>
      <c r="AB81" s="791"/>
      <c r="AC81" s="790"/>
      <c r="AD81" s="791"/>
      <c r="AE81" s="142">
        <v>10000</v>
      </c>
      <c r="AF81" s="790"/>
      <c r="AG81" s="790"/>
      <c r="AH81" s="789"/>
      <c r="AI81" s="790"/>
      <c r="AJ81" s="789"/>
      <c r="AK81" s="790"/>
      <c r="AL81" s="790"/>
      <c r="AM81" s="790"/>
      <c r="AN81" s="790"/>
      <c r="AO81" s="790"/>
      <c r="AP81" s="790"/>
      <c r="AQ81" s="790"/>
      <c r="AR81" s="790"/>
      <c r="AS81" s="790"/>
      <c r="AT81" s="790"/>
      <c r="AU81" s="792">
        <v>0</v>
      </c>
      <c r="AV81" s="790"/>
      <c r="AW81" s="344"/>
      <c r="AX81" s="344"/>
      <c r="AY81" s="344"/>
      <c r="AZ81" s="344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3"/>
      <c r="AB82" s="791"/>
      <c r="AC82" s="790"/>
      <c r="AD82" s="793"/>
      <c r="AE82" s="142">
        <v>0</v>
      </c>
      <c r="AF82" s="790"/>
      <c r="AG82" s="790"/>
      <c r="AH82" s="789"/>
      <c r="AI82" s="790"/>
      <c r="AJ82" s="789"/>
      <c r="AK82" s="790"/>
      <c r="AL82" s="790"/>
      <c r="AM82" s="790"/>
      <c r="AN82" s="790"/>
      <c r="AO82" s="790"/>
      <c r="AP82" s="790"/>
      <c r="AQ82" s="790"/>
      <c r="AR82" s="790"/>
      <c r="AS82" s="790"/>
      <c r="AT82" s="790"/>
      <c r="AU82" s="792">
        <v>0</v>
      </c>
      <c r="AV82" s="790"/>
      <c r="AW82" s="516"/>
      <c r="AX82" s="516"/>
      <c r="AY82" s="516"/>
      <c r="AZ82" s="516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795"/>
      <c r="AA83" s="157">
        <v>62599</v>
      </c>
      <c r="AB83" s="156">
        <v>41734</v>
      </c>
      <c r="AC83" s="795">
        <v>20865</v>
      </c>
      <c r="AD83" s="157">
        <v>5216</v>
      </c>
      <c r="AE83" s="157">
        <v>62599</v>
      </c>
      <c r="AF83" s="795"/>
      <c r="AG83" s="795"/>
      <c r="AH83" s="794"/>
      <c r="AI83" s="795"/>
      <c r="AJ83" s="794"/>
      <c r="AK83" s="795"/>
      <c r="AL83" s="795"/>
      <c r="AM83" s="795"/>
      <c r="AN83" s="795"/>
      <c r="AO83" s="795"/>
      <c r="AP83" s="795"/>
      <c r="AQ83" s="795"/>
      <c r="AR83" s="795"/>
      <c r="AS83" s="795"/>
      <c r="AT83" s="795"/>
      <c r="AU83" s="796">
        <v>62599</v>
      </c>
      <c r="AV83" s="796">
        <v>5216</v>
      </c>
      <c r="AW83" s="516"/>
      <c r="AX83" s="516"/>
      <c r="AY83" s="516"/>
      <c r="AZ83" s="516"/>
    </row>
    <row r="84" spans="1:52" s="16" customFormat="1" ht="15" customHeight="1" thickBot="1" x14ac:dyDescent="0.25">
      <c r="A84" s="1493" t="s">
        <v>398</v>
      </c>
      <c r="B84" s="1494"/>
      <c r="C84" s="1021">
        <v>1911</v>
      </c>
      <c r="D84" s="1022">
        <v>3830.1946329323391</v>
      </c>
      <c r="E84" s="1023">
        <v>7503893.4008335685</v>
      </c>
      <c r="F84" s="1024">
        <v>1599</v>
      </c>
      <c r="G84" s="1025">
        <v>512.64871144009294</v>
      </c>
      <c r="H84" s="1026">
        <v>849451.25011197233</v>
      </c>
      <c r="I84" s="1024">
        <v>575.5</v>
      </c>
      <c r="J84" s="1025">
        <v>142.76439673276815</v>
      </c>
      <c r="K84" s="1026">
        <v>82849.085701654985</v>
      </c>
      <c r="L84" s="1024">
        <v>255</v>
      </c>
      <c r="M84" s="1025">
        <v>3541.6820794202499</v>
      </c>
      <c r="N84" s="1026">
        <v>939636.85396715207</v>
      </c>
      <c r="O84" s="1024">
        <v>47</v>
      </c>
      <c r="P84" s="1025">
        <v>1372.94295435559</v>
      </c>
      <c r="Q84" s="1026">
        <v>67835.661565471601</v>
      </c>
      <c r="R84" s="1027">
        <v>9554313</v>
      </c>
      <c r="S84" s="1027">
        <v>1049294</v>
      </c>
      <c r="T84" s="1025">
        <v>63350</v>
      </c>
      <c r="U84" s="1025">
        <v>14215</v>
      </c>
      <c r="V84" s="1028">
        <v>77565</v>
      </c>
      <c r="W84" s="1027">
        <v>9631878</v>
      </c>
      <c r="X84" s="1026">
        <v>-24078</v>
      </c>
      <c r="Y84" s="1027">
        <v>9607800</v>
      </c>
      <c r="Z84" s="1026">
        <v>6791</v>
      </c>
      <c r="AA84" s="1027">
        <v>9677190</v>
      </c>
      <c r="AB84" s="1025">
        <v>6392814</v>
      </c>
      <c r="AC84" s="1025">
        <v>3284376</v>
      </c>
      <c r="AD84" s="1027">
        <v>821105</v>
      </c>
      <c r="AE84" s="1029">
        <v>9687190</v>
      </c>
      <c r="AF84" s="1025">
        <v>4880.7</v>
      </c>
      <c r="AG84" s="1030">
        <v>8697169</v>
      </c>
      <c r="AH84" s="1024">
        <v>9</v>
      </c>
      <c r="AI84" s="1025">
        <v>24898</v>
      </c>
      <c r="AJ84" s="1024">
        <v>0</v>
      </c>
      <c r="AK84" s="1025">
        <v>20405</v>
      </c>
      <c r="AL84" s="1028">
        <v>45303</v>
      </c>
      <c r="AM84" s="1030">
        <v>8742472</v>
      </c>
      <c r="AN84" s="1025">
        <v>-21854</v>
      </c>
      <c r="AO84" s="1030">
        <v>8720618</v>
      </c>
      <c r="AP84" s="1025">
        <v>7814</v>
      </c>
      <c r="AQ84" s="1030">
        <v>8728432</v>
      </c>
      <c r="AR84" s="1025">
        <v>5736384</v>
      </c>
      <c r="AS84" s="1025">
        <v>2992048</v>
      </c>
      <c r="AT84" s="1030">
        <v>748020</v>
      </c>
      <c r="AU84" s="787">
        <v>18405622</v>
      </c>
      <c r="AV84" s="787">
        <v>1569125</v>
      </c>
      <c r="AW84" s="516"/>
      <c r="AX84" s="165">
        <v>21546</v>
      </c>
      <c r="AY84" s="165">
        <v>21854</v>
      </c>
      <c r="AZ84" s="165">
        <v>308</v>
      </c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05"/>
      <c r="Z85" s="12"/>
      <c r="AA85" s="12"/>
      <c r="AB85" s="12"/>
      <c r="AC85" s="12"/>
      <c r="AD85" s="12"/>
      <c r="AE85" s="12"/>
      <c r="AF85" s="12"/>
      <c r="AG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05"/>
      <c r="Z86" s="12"/>
      <c r="AA86" s="12"/>
      <c r="AB86" s="12"/>
      <c r="AC86" s="12"/>
      <c r="AD86" s="12"/>
      <c r="AE86" s="12"/>
      <c r="AF86" s="12"/>
      <c r="AG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2"/>
      <c r="Y87" s="105"/>
      <c r="Z87" s="12"/>
      <c r="AA87" s="12"/>
      <c r="AB87" s="12"/>
      <c r="AC87" s="12"/>
      <c r="AD87" s="12"/>
      <c r="AE87" s="12"/>
      <c r="AF87" s="12"/>
      <c r="AG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D89" s="5">
        <v>4</v>
      </c>
      <c r="AT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 t="s">
        <v>464</v>
      </c>
    </row>
    <row r="92" spans="1:52" x14ac:dyDescent="0.2">
      <c r="B92" s="857" t="s">
        <v>1462</v>
      </c>
    </row>
    <row r="93" spans="1:52" x14ac:dyDescent="0.2">
      <c r="B93" s="857" t="s">
        <v>1166</v>
      </c>
    </row>
    <row r="94" spans="1:52" x14ac:dyDescent="0.2">
      <c r="B94" s="857" t="s">
        <v>1501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84:B84"/>
    <mergeCell ref="J88:J89"/>
    <mergeCell ref="P88:P89"/>
    <mergeCell ref="M88:M89"/>
    <mergeCell ref="F2:H2"/>
    <mergeCell ref="I2:K2"/>
    <mergeCell ref="L2:N2"/>
    <mergeCell ref="A82:B82"/>
    <mergeCell ref="A83:B83"/>
    <mergeCell ref="A77:B77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U1:AU3"/>
    <mergeCell ref="AV1:AV3"/>
    <mergeCell ref="A81:B81"/>
    <mergeCell ref="A80:B80"/>
    <mergeCell ref="A1:B3"/>
    <mergeCell ref="L1:V1"/>
    <mergeCell ref="A76:B76"/>
    <mergeCell ref="A78:B78"/>
    <mergeCell ref="A79:B79"/>
    <mergeCell ref="S2:S3"/>
    <mergeCell ref="O2:Q2"/>
    <mergeCell ref="C1:K1"/>
    <mergeCell ref="C2:C3"/>
    <mergeCell ref="D2:E2"/>
    <mergeCell ref="W1:AE1"/>
    <mergeCell ref="R2:R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A94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5" customWidth="1"/>
    <col min="2" max="2" width="26.140625" style="5" customWidth="1"/>
    <col min="3" max="3" width="13.140625" style="5" customWidth="1"/>
    <col min="4" max="4" width="14.7109375" style="5" customWidth="1"/>
    <col min="5" max="5" width="12.42578125" style="5" customWidth="1"/>
    <col min="6" max="6" width="11.28515625" style="5" customWidth="1"/>
    <col min="7" max="7" width="9.7109375" style="5" customWidth="1"/>
    <col min="8" max="8" width="10.7109375" style="5" customWidth="1"/>
    <col min="9" max="9" width="11.28515625" style="5" customWidth="1"/>
    <col min="10" max="10" width="9.7109375" style="5" customWidth="1"/>
    <col min="11" max="11" width="10.7109375" style="5" customWidth="1"/>
    <col min="12" max="12" width="11.28515625" style="5" customWidth="1"/>
    <col min="13" max="13" width="9.140625" style="5" customWidth="1"/>
    <col min="14" max="14" width="10.7109375" style="5" bestFit="1" customWidth="1"/>
    <col min="15" max="15" width="11.28515625" style="5" customWidth="1"/>
    <col min="16" max="16" width="9.140625" style="5" bestFit="1" customWidth="1"/>
    <col min="17" max="17" width="10.28515625" style="5" bestFit="1" customWidth="1"/>
    <col min="18" max="18" width="11.7109375" style="5" customWidth="1"/>
    <col min="19" max="19" width="12.42578125" style="5" bestFit="1" customWidth="1"/>
    <col min="20" max="22" width="12.140625" style="5" customWidth="1"/>
    <col min="23" max="23" width="12.5703125" style="5" customWidth="1"/>
    <col min="24" max="24" width="11.7109375" style="5" customWidth="1"/>
    <col min="25" max="25" width="13" style="5" customWidth="1"/>
    <col min="26" max="26" width="14.140625" style="5" customWidth="1"/>
    <col min="27" max="27" width="18" style="5" customWidth="1"/>
    <col min="28" max="29" width="11.7109375" style="5" customWidth="1"/>
    <col min="30" max="30" width="11.28515625" style="5" customWidth="1"/>
    <col min="31" max="31" width="16.5703125" style="5" customWidth="1"/>
    <col min="32" max="32" width="15.85546875" style="5" customWidth="1"/>
    <col min="33" max="33" width="16.85546875" style="5" customWidth="1"/>
    <col min="34" max="38" width="16.28515625" style="5" customWidth="1"/>
    <col min="39" max="39" width="16.140625" style="5" customWidth="1"/>
    <col min="40" max="40" width="12" style="5" customWidth="1"/>
    <col min="41" max="41" width="16.140625" style="5" customWidth="1"/>
    <col min="42" max="42" width="14.42578125" style="5" customWidth="1"/>
    <col min="43" max="46" width="16.140625" style="5" customWidth="1"/>
    <col min="47" max="47" width="14.28515625" style="5" customWidth="1"/>
    <col min="48" max="48" width="14.42578125" style="5" bestFit="1" customWidth="1"/>
    <col min="49" max="49" width="3" style="5" bestFit="1" customWidth="1"/>
    <col min="50" max="50" width="16.28515625" style="5" customWidth="1"/>
    <col min="51" max="51" width="11.5703125" style="5" customWidth="1"/>
    <col min="52" max="52" width="12.85546875" style="5" customWidth="1"/>
    <col min="53" max="16384" width="8.85546875" style="5"/>
  </cols>
  <sheetData>
    <row r="1" spans="1:53" ht="19.899999999999999" customHeight="1" x14ac:dyDescent="0.2">
      <c r="A1" s="1495" t="s">
        <v>1110</v>
      </c>
      <c r="B1" s="1495"/>
      <c r="C1" s="1404" t="s">
        <v>310</v>
      </c>
      <c r="D1" s="1405"/>
      <c r="E1" s="1405"/>
      <c r="F1" s="1405"/>
      <c r="G1" s="1405"/>
      <c r="H1" s="1405"/>
      <c r="I1" s="1405"/>
      <c r="J1" s="1405"/>
      <c r="K1" s="1406"/>
      <c r="L1" s="1432" t="s">
        <v>310</v>
      </c>
      <c r="M1" s="1433"/>
      <c r="N1" s="1433"/>
      <c r="O1" s="1433"/>
      <c r="P1" s="1433"/>
      <c r="Q1" s="1433"/>
      <c r="R1" s="1433"/>
      <c r="S1" s="1433"/>
      <c r="T1" s="1433"/>
      <c r="U1" s="1433"/>
      <c r="V1" s="1434"/>
      <c r="W1" s="1404" t="s">
        <v>310</v>
      </c>
      <c r="X1" s="1405"/>
      <c r="Y1" s="1405"/>
      <c r="Z1" s="1405"/>
      <c r="AA1" s="1405"/>
      <c r="AB1" s="1405"/>
      <c r="AC1" s="1405"/>
      <c r="AD1" s="1405"/>
      <c r="AE1" s="1406"/>
      <c r="AF1" s="1519" t="s">
        <v>389</v>
      </c>
      <c r="AG1" s="1520"/>
      <c r="AH1" s="1520"/>
      <c r="AI1" s="1520"/>
      <c r="AJ1" s="1520"/>
      <c r="AK1" s="1520"/>
      <c r="AL1" s="1521"/>
      <c r="AM1" s="1519" t="s">
        <v>389</v>
      </c>
      <c r="AN1" s="1520"/>
      <c r="AO1" s="1520"/>
      <c r="AP1" s="1520"/>
      <c r="AQ1" s="1520"/>
      <c r="AR1" s="1520"/>
      <c r="AS1" s="1520"/>
      <c r="AT1" s="1521"/>
      <c r="AU1" s="1501" t="s">
        <v>321</v>
      </c>
      <c r="AV1" s="1501" t="s">
        <v>322</v>
      </c>
      <c r="AX1" s="110"/>
      <c r="AY1" s="110"/>
      <c r="AZ1" s="110"/>
    </row>
    <row r="2" spans="1:53" ht="30" customHeight="1" x14ac:dyDescent="0.2">
      <c r="A2" s="1495"/>
      <c r="B2" s="1495"/>
      <c r="C2" s="1412" t="s">
        <v>1196</v>
      </c>
      <c r="D2" s="1500" t="s">
        <v>550</v>
      </c>
      <c r="E2" s="1500"/>
      <c r="F2" s="1401" t="s">
        <v>964</v>
      </c>
      <c r="G2" s="1416"/>
      <c r="H2" s="1417"/>
      <c r="I2" s="1499" t="s">
        <v>961</v>
      </c>
      <c r="J2" s="1499"/>
      <c r="K2" s="1499"/>
      <c r="L2" s="1499" t="s">
        <v>962</v>
      </c>
      <c r="M2" s="1499"/>
      <c r="N2" s="1499"/>
      <c r="O2" s="1499" t="s">
        <v>963</v>
      </c>
      <c r="P2" s="1499"/>
      <c r="Q2" s="1499"/>
      <c r="R2" s="1412" t="s">
        <v>432</v>
      </c>
      <c r="S2" s="1412" t="s">
        <v>395</v>
      </c>
      <c r="T2" s="1298" t="s">
        <v>228</v>
      </c>
      <c r="U2" s="1298"/>
      <c r="V2" s="1298"/>
      <c r="W2" s="1412" t="s">
        <v>433</v>
      </c>
      <c r="X2" s="1412" t="s">
        <v>391</v>
      </c>
      <c r="Y2" s="1412" t="s">
        <v>434</v>
      </c>
      <c r="Z2" s="1415" t="s">
        <v>1431</v>
      </c>
      <c r="AA2" s="1412" t="s">
        <v>970</v>
      </c>
      <c r="AB2" s="1412" t="s">
        <v>268</v>
      </c>
      <c r="AC2" s="1412" t="s">
        <v>269</v>
      </c>
      <c r="AD2" s="1412" t="s">
        <v>231</v>
      </c>
      <c r="AE2" s="1412" t="s">
        <v>971</v>
      </c>
      <c r="AF2" s="1502" t="s">
        <v>1445</v>
      </c>
      <c r="AG2" s="1496" t="s">
        <v>1018</v>
      </c>
      <c r="AH2" s="1497" t="s">
        <v>228</v>
      </c>
      <c r="AI2" s="1497"/>
      <c r="AJ2" s="1497"/>
      <c r="AK2" s="1497"/>
      <c r="AL2" s="1497"/>
      <c r="AM2" s="1496" t="s">
        <v>1019</v>
      </c>
      <c r="AN2" s="1496" t="s">
        <v>1023</v>
      </c>
      <c r="AO2" s="1496" t="s">
        <v>1020</v>
      </c>
      <c r="AP2" s="1415" t="s">
        <v>1431</v>
      </c>
      <c r="AQ2" s="1496" t="s">
        <v>1021</v>
      </c>
      <c r="AR2" s="1496" t="s">
        <v>290</v>
      </c>
      <c r="AS2" s="1496" t="s">
        <v>269</v>
      </c>
      <c r="AT2" s="1496" t="s">
        <v>428</v>
      </c>
      <c r="AU2" s="1501"/>
      <c r="AV2" s="1501"/>
      <c r="AX2" s="111"/>
      <c r="AY2" s="111"/>
      <c r="AZ2" s="111"/>
    </row>
    <row r="3" spans="1:53" ht="95.25" customHeight="1" x14ac:dyDescent="0.2">
      <c r="A3" s="1495"/>
      <c r="B3" s="1495"/>
      <c r="C3" s="1412"/>
      <c r="D3" s="478" t="s">
        <v>552</v>
      </c>
      <c r="E3" s="478" t="s">
        <v>320</v>
      </c>
      <c r="F3" s="886" t="s">
        <v>1197</v>
      </c>
      <c r="G3" s="478" t="s">
        <v>551</v>
      </c>
      <c r="H3" s="478" t="s">
        <v>320</v>
      </c>
      <c r="I3" s="886" t="s">
        <v>1198</v>
      </c>
      <c r="J3" s="478" t="s">
        <v>551</v>
      </c>
      <c r="K3" s="478" t="s">
        <v>320</v>
      </c>
      <c r="L3" s="886" t="s">
        <v>1199</v>
      </c>
      <c r="M3" s="478" t="s">
        <v>551</v>
      </c>
      <c r="N3" s="478" t="s">
        <v>320</v>
      </c>
      <c r="O3" s="886" t="s">
        <v>1199</v>
      </c>
      <c r="P3" s="478" t="s">
        <v>551</v>
      </c>
      <c r="Q3" s="478" t="s">
        <v>320</v>
      </c>
      <c r="R3" s="1412"/>
      <c r="S3" s="1412"/>
      <c r="T3" s="854" t="s">
        <v>1186</v>
      </c>
      <c r="U3" s="854" t="s">
        <v>1187</v>
      </c>
      <c r="V3" s="854" t="s">
        <v>230</v>
      </c>
      <c r="W3" s="1412"/>
      <c r="X3" s="1412"/>
      <c r="Y3" s="1412"/>
      <c r="Z3" s="1415"/>
      <c r="AA3" s="1412"/>
      <c r="AB3" s="1412"/>
      <c r="AC3" s="1412"/>
      <c r="AD3" s="1412"/>
      <c r="AE3" s="1412"/>
      <c r="AF3" s="1503"/>
      <c r="AG3" s="1496"/>
      <c r="AH3" s="854" t="s">
        <v>1202</v>
      </c>
      <c r="AI3" s="854" t="s">
        <v>1203</v>
      </c>
      <c r="AJ3" s="854" t="s">
        <v>1204</v>
      </c>
      <c r="AK3" s="887" t="s">
        <v>1206</v>
      </c>
      <c r="AL3" s="854" t="s">
        <v>230</v>
      </c>
      <c r="AM3" s="1496"/>
      <c r="AN3" s="1496"/>
      <c r="AO3" s="1496"/>
      <c r="AP3" s="1415"/>
      <c r="AQ3" s="1496"/>
      <c r="AR3" s="1496"/>
      <c r="AS3" s="1496"/>
      <c r="AT3" s="1496"/>
      <c r="AU3" s="1501"/>
      <c r="AV3" s="1501"/>
      <c r="AX3" s="535" t="s">
        <v>440</v>
      </c>
      <c r="AY3" s="535" t="s">
        <v>441</v>
      </c>
      <c r="AZ3" s="535" t="s">
        <v>375</v>
      </c>
    </row>
    <row r="4" spans="1:53" ht="14.25" customHeight="1" x14ac:dyDescent="0.2">
      <c r="A4" s="112"/>
      <c r="B4" s="113"/>
      <c r="C4" s="114">
        <v>1</v>
      </c>
      <c r="D4" s="114">
        <v>2</v>
      </c>
      <c r="E4" s="114">
        <v>3</v>
      </c>
      <c r="F4" s="114">
        <v>4</v>
      </c>
      <c r="G4" s="114">
        <v>5</v>
      </c>
      <c r="H4" s="114">
        <v>6</v>
      </c>
      <c r="I4" s="114">
        <v>7</v>
      </c>
      <c r="J4" s="114">
        <v>8</v>
      </c>
      <c r="K4" s="114">
        <v>9</v>
      </c>
      <c r="L4" s="114">
        <v>10</v>
      </c>
      <c r="M4" s="114">
        <v>11</v>
      </c>
      <c r="N4" s="114">
        <v>12</v>
      </c>
      <c r="O4" s="114">
        <v>13</v>
      </c>
      <c r="P4" s="114">
        <v>14</v>
      </c>
      <c r="Q4" s="114">
        <v>15</v>
      </c>
      <c r="R4" s="114">
        <v>16</v>
      </c>
      <c r="S4" s="114">
        <v>17</v>
      </c>
      <c r="T4" s="114">
        <v>18</v>
      </c>
      <c r="U4" s="114">
        <v>19</v>
      </c>
      <c r="V4" s="114">
        <v>20</v>
      </c>
      <c r="W4" s="114">
        <v>21</v>
      </c>
      <c r="X4" s="114">
        <v>22</v>
      </c>
      <c r="Y4" s="114">
        <v>23</v>
      </c>
      <c r="Z4" s="114">
        <v>24</v>
      </c>
      <c r="AA4" s="114">
        <v>25</v>
      </c>
      <c r="AB4" s="114">
        <v>26</v>
      </c>
      <c r="AC4" s="114">
        <v>27</v>
      </c>
      <c r="AD4" s="114">
        <v>28</v>
      </c>
      <c r="AE4" s="114">
        <v>29</v>
      </c>
      <c r="AF4" s="114">
        <v>30</v>
      </c>
      <c r="AG4" s="114">
        <v>31</v>
      </c>
      <c r="AH4" s="114">
        <v>32</v>
      </c>
      <c r="AI4" s="114">
        <v>33</v>
      </c>
      <c r="AJ4" s="114">
        <v>34</v>
      </c>
      <c r="AK4" s="114">
        <v>35</v>
      </c>
      <c r="AL4" s="114">
        <v>36</v>
      </c>
      <c r="AM4" s="114">
        <v>37</v>
      </c>
      <c r="AN4" s="114">
        <v>38</v>
      </c>
      <c r="AO4" s="114">
        <v>39</v>
      </c>
      <c r="AP4" s="114">
        <v>40</v>
      </c>
      <c r="AQ4" s="114">
        <v>41</v>
      </c>
      <c r="AR4" s="114">
        <v>42</v>
      </c>
      <c r="AS4" s="114">
        <v>43</v>
      </c>
      <c r="AT4" s="114">
        <v>44</v>
      </c>
      <c r="AU4" s="114">
        <v>45</v>
      </c>
      <c r="AV4" s="114">
        <v>46</v>
      </c>
      <c r="AW4" s="114">
        <v>47</v>
      </c>
      <c r="AX4" s="114">
        <v>48</v>
      </c>
      <c r="AY4" s="114">
        <v>49</v>
      </c>
      <c r="AZ4" s="114">
        <v>50</v>
      </c>
    </row>
    <row r="5" spans="1:53" ht="33.75" x14ac:dyDescent="0.2">
      <c r="A5" s="112"/>
      <c r="B5" s="113"/>
      <c r="C5" s="760" t="s">
        <v>813</v>
      </c>
      <c r="D5" s="599" t="s">
        <v>1007</v>
      </c>
      <c r="E5" s="599" t="s">
        <v>814</v>
      </c>
      <c r="F5" s="760" t="s">
        <v>960</v>
      </c>
      <c r="G5" s="760" t="s">
        <v>1008</v>
      </c>
      <c r="H5" s="760" t="s">
        <v>859</v>
      </c>
      <c r="I5" s="760" t="s">
        <v>959</v>
      </c>
      <c r="J5" s="760" t="s">
        <v>1009</v>
      </c>
      <c r="K5" s="760" t="s">
        <v>860</v>
      </c>
      <c r="L5" s="760" t="s">
        <v>957</v>
      </c>
      <c r="M5" s="760" t="s">
        <v>1010</v>
      </c>
      <c r="N5" s="760" t="s">
        <v>861</v>
      </c>
      <c r="O5" s="760" t="s">
        <v>958</v>
      </c>
      <c r="P5" s="760" t="s">
        <v>1011</v>
      </c>
      <c r="Q5" s="760" t="s">
        <v>862</v>
      </c>
      <c r="R5" s="760" t="s">
        <v>1405</v>
      </c>
      <c r="S5" s="760"/>
      <c r="T5" s="760" t="s">
        <v>951</v>
      </c>
      <c r="U5" s="760" t="s">
        <v>952</v>
      </c>
      <c r="V5" s="760" t="s">
        <v>876</v>
      </c>
      <c r="W5" s="760" t="s">
        <v>877</v>
      </c>
      <c r="X5" s="760" t="s">
        <v>878</v>
      </c>
      <c r="Y5" s="760" t="s">
        <v>879</v>
      </c>
      <c r="Z5" s="760" t="s">
        <v>818</v>
      </c>
      <c r="AA5" s="598" t="s">
        <v>1408</v>
      </c>
      <c r="AB5" s="598" t="s">
        <v>1013</v>
      </c>
      <c r="AC5" s="598" t="s">
        <v>880</v>
      </c>
      <c r="AD5" s="598" t="s">
        <v>1014</v>
      </c>
      <c r="AE5" s="598" t="s">
        <v>1409</v>
      </c>
      <c r="AF5" s="598" t="s">
        <v>1012</v>
      </c>
      <c r="AG5" s="598" t="s">
        <v>881</v>
      </c>
      <c r="AH5" s="598" t="s">
        <v>951</v>
      </c>
      <c r="AI5" s="598" t="s">
        <v>882</v>
      </c>
      <c r="AJ5" s="598" t="s">
        <v>952</v>
      </c>
      <c r="AK5" s="598" t="s">
        <v>883</v>
      </c>
      <c r="AL5" s="598" t="s">
        <v>884</v>
      </c>
      <c r="AM5" s="598" t="s">
        <v>885</v>
      </c>
      <c r="AN5" s="598" t="s">
        <v>886</v>
      </c>
      <c r="AO5" s="598" t="s">
        <v>887</v>
      </c>
      <c r="AP5" s="598" t="s">
        <v>818</v>
      </c>
      <c r="AQ5" s="598" t="s">
        <v>847</v>
      </c>
      <c r="AR5" s="598" t="s">
        <v>1015</v>
      </c>
      <c r="AS5" s="598" t="s">
        <v>888</v>
      </c>
      <c r="AT5" s="598" t="s">
        <v>1016</v>
      </c>
      <c r="AU5" s="45"/>
      <c r="AV5" s="45"/>
      <c r="AW5" s="45"/>
      <c r="AX5" s="45"/>
      <c r="AY5" s="45"/>
      <c r="AZ5" s="45"/>
      <c r="BA5" s="45"/>
    </row>
    <row r="6" spans="1:53" ht="51" hidden="1" x14ac:dyDescent="0.2">
      <c r="A6" s="115"/>
      <c r="B6" s="109"/>
      <c r="C6" s="545" t="s">
        <v>603</v>
      </c>
      <c r="D6" s="545" t="s">
        <v>603</v>
      </c>
      <c r="E6" s="545" t="s">
        <v>604</v>
      </c>
      <c r="F6" s="545" t="s">
        <v>694</v>
      </c>
      <c r="G6" s="545" t="s">
        <v>603</v>
      </c>
      <c r="H6" s="545" t="s">
        <v>604</v>
      </c>
      <c r="I6" s="545" t="s">
        <v>694</v>
      </c>
      <c r="J6" s="545" t="s">
        <v>603</v>
      </c>
      <c r="K6" s="545" t="s">
        <v>604</v>
      </c>
      <c r="L6" s="545" t="s">
        <v>694</v>
      </c>
      <c r="M6" s="545" t="s">
        <v>603</v>
      </c>
      <c r="N6" s="545" t="s">
        <v>604</v>
      </c>
      <c r="O6" s="545" t="s">
        <v>694</v>
      </c>
      <c r="P6" s="545" t="s">
        <v>603</v>
      </c>
      <c r="Q6" s="545" t="s">
        <v>604</v>
      </c>
      <c r="R6" s="545" t="s">
        <v>604</v>
      </c>
      <c r="S6" s="109"/>
      <c r="T6" s="545" t="s">
        <v>817</v>
      </c>
      <c r="U6" s="545" t="s">
        <v>817</v>
      </c>
      <c r="V6" s="545" t="s">
        <v>604</v>
      </c>
      <c r="W6" s="545" t="s">
        <v>604</v>
      </c>
      <c r="X6" s="545" t="s">
        <v>604</v>
      </c>
      <c r="Y6" s="545" t="s">
        <v>604</v>
      </c>
      <c r="Z6" s="545" t="s">
        <v>818</v>
      </c>
      <c r="AA6" s="545" t="s">
        <v>836</v>
      </c>
      <c r="AB6" s="545" t="s">
        <v>844</v>
      </c>
      <c r="AC6" s="545" t="s">
        <v>604</v>
      </c>
      <c r="AD6" s="545" t="s">
        <v>604</v>
      </c>
      <c r="AE6" s="545" t="s">
        <v>837</v>
      </c>
      <c r="AF6" s="545" t="s">
        <v>603</v>
      </c>
      <c r="AG6" s="545" t="s">
        <v>604</v>
      </c>
      <c r="AH6" s="545" t="s">
        <v>817</v>
      </c>
      <c r="AI6" s="545" t="s">
        <v>604</v>
      </c>
      <c r="AJ6" s="545" t="s">
        <v>817</v>
      </c>
      <c r="AK6" s="545" t="s">
        <v>604</v>
      </c>
      <c r="AL6" s="545" t="s">
        <v>604</v>
      </c>
      <c r="AM6" s="545" t="s">
        <v>604</v>
      </c>
      <c r="AN6" s="545" t="s">
        <v>604</v>
      </c>
      <c r="AO6" s="545" t="s">
        <v>604</v>
      </c>
      <c r="AP6" s="545" t="s">
        <v>818</v>
      </c>
      <c r="AQ6" s="545" t="s">
        <v>604</v>
      </c>
      <c r="AR6" s="545" t="s">
        <v>844</v>
      </c>
      <c r="AS6" s="545" t="s">
        <v>604</v>
      </c>
      <c r="AT6" s="545" t="s">
        <v>604</v>
      </c>
      <c r="AU6" s="545" t="s">
        <v>604</v>
      </c>
      <c r="AV6" s="545" t="s">
        <v>604</v>
      </c>
      <c r="AW6" s="545"/>
      <c r="AX6" s="545" t="s">
        <v>843</v>
      </c>
      <c r="AY6" s="545" t="s">
        <v>604</v>
      </c>
      <c r="AZ6" s="545" t="s">
        <v>604</v>
      </c>
    </row>
    <row r="7" spans="1:53" ht="15" customHeight="1" x14ac:dyDescent="0.2">
      <c r="A7" s="378">
        <v>1</v>
      </c>
      <c r="B7" s="116" t="s">
        <v>5</v>
      </c>
      <c r="C7" s="117"/>
      <c r="D7" s="118"/>
      <c r="E7" s="119"/>
      <c r="F7" s="120"/>
      <c r="G7" s="118"/>
      <c r="H7" s="119"/>
      <c r="I7" s="120"/>
      <c r="J7" s="118"/>
      <c r="K7" s="119"/>
      <c r="L7" s="120"/>
      <c r="M7" s="118"/>
      <c r="N7" s="119"/>
      <c r="O7" s="120"/>
      <c r="P7" s="118"/>
      <c r="Q7" s="119"/>
      <c r="R7" s="121">
        <v>172424</v>
      </c>
      <c r="S7" s="121">
        <v>19158</v>
      </c>
      <c r="T7" s="118"/>
      <c r="U7" s="118"/>
      <c r="V7" s="122"/>
      <c r="W7" s="121"/>
      <c r="X7" s="119"/>
      <c r="Y7" s="121"/>
      <c r="Z7" s="118"/>
      <c r="AA7" s="121"/>
      <c r="AB7" s="118"/>
      <c r="AC7" s="118"/>
      <c r="AD7" s="121"/>
      <c r="AE7" s="123"/>
      <c r="AF7" s="124"/>
      <c r="AG7" s="125"/>
      <c r="AH7" s="117"/>
      <c r="AI7" s="124"/>
      <c r="AJ7" s="117"/>
      <c r="AK7" s="126"/>
      <c r="AL7" s="127"/>
      <c r="AM7" s="125">
        <v>89362</v>
      </c>
      <c r="AN7" s="128"/>
      <c r="AO7" s="125"/>
      <c r="AP7" s="126">
        <v>-3351</v>
      </c>
      <c r="AQ7" s="125"/>
      <c r="AR7" s="126"/>
      <c r="AS7" s="126"/>
      <c r="AT7" s="125">
        <v>10259</v>
      </c>
      <c r="AU7" s="779">
        <v>291141</v>
      </c>
      <c r="AV7" s="780">
        <v>34021</v>
      </c>
      <c r="AW7" s="344"/>
      <c r="AX7" s="119">
        <v>177</v>
      </c>
      <c r="AY7" s="119">
        <v>223</v>
      </c>
      <c r="AZ7" s="119">
        <v>46</v>
      </c>
    </row>
    <row r="8" spans="1:53" ht="15" customHeight="1" x14ac:dyDescent="0.2">
      <c r="A8" s="383">
        <v>2</v>
      </c>
      <c r="B8" s="134" t="s">
        <v>6</v>
      </c>
      <c r="C8" s="135"/>
      <c r="D8" s="136"/>
      <c r="E8" s="137"/>
      <c r="F8" s="138"/>
      <c r="G8" s="136"/>
      <c r="H8" s="137"/>
      <c r="I8" s="138"/>
      <c r="J8" s="136"/>
      <c r="K8" s="137"/>
      <c r="L8" s="138"/>
      <c r="M8" s="136"/>
      <c r="N8" s="137"/>
      <c r="O8" s="138"/>
      <c r="P8" s="136"/>
      <c r="Q8" s="137"/>
      <c r="R8" s="139">
        <v>51798</v>
      </c>
      <c r="S8" s="139">
        <v>5755</v>
      </c>
      <c r="T8" s="136"/>
      <c r="U8" s="136"/>
      <c r="V8" s="140"/>
      <c r="W8" s="139"/>
      <c r="X8" s="137"/>
      <c r="Y8" s="139"/>
      <c r="Z8" s="136"/>
      <c r="AA8" s="139"/>
      <c r="AB8" s="136"/>
      <c r="AC8" s="136"/>
      <c r="AD8" s="139"/>
      <c r="AE8" s="142"/>
      <c r="AF8" s="143"/>
      <c r="AG8" s="144"/>
      <c r="AH8" s="135"/>
      <c r="AI8" s="143"/>
      <c r="AJ8" s="135"/>
      <c r="AK8" s="145"/>
      <c r="AL8" s="146"/>
      <c r="AM8" s="144">
        <v>45738</v>
      </c>
      <c r="AN8" s="147"/>
      <c r="AO8" s="144"/>
      <c r="AP8" s="145">
        <v>0</v>
      </c>
      <c r="AQ8" s="144"/>
      <c r="AR8" s="145"/>
      <c r="AS8" s="145"/>
      <c r="AT8" s="144">
        <v>8303</v>
      </c>
      <c r="AU8" s="781">
        <v>152807</v>
      </c>
      <c r="AV8" s="782">
        <v>26487</v>
      </c>
      <c r="AW8" s="344"/>
      <c r="AX8" s="137">
        <v>47</v>
      </c>
      <c r="AY8" s="137">
        <v>114</v>
      </c>
      <c r="AZ8" s="137">
        <v>67</v>
      </c>
    </row>
    <row r="9" spans="1:53" ht="15" customHeight="1" x14ac:dyDescent="0.2">
      <c r="A9" s="383">
        <v>3</v>
      </c>
      <c r="B9" s="134" t="s">
        <v>7</v>
      </c>
      <c r="C9" s="135"/>
      <c r="D9" s="136"/>
      <c r="E9" s="137"/>
      <c r="F9" s="138"/>
      <c r="G9" s="136"/>
      <c r="H9" s="137"/>
      <c r="I9" s="138"/>
      <c r="J9" s="136"/>
      <c r="K9" s="137"/>
      <c r="L9" s="138"/>
      <c r="M9" s="136"/>
      <c r="N9" s="137"/>
      <c r="O9" s="138"/>
      <c r="P9" s="136"/>
      <c r="Q9" s="137"/>
      <c r="R9" s="139">
        <v>414020</v>
      </c>
      <c r="S9" s="139">
        <v>46002</v>
      </c>
      <c r="T9" s="136"/>
      <c r="U9" s="136"/>
      <c r="V9" s="140"/>
      <c r="W9" s="139"/>
      <c r="X9" s="137"/>
      <c r="Y9" s="139"/>
      <c r="Z9" s="136"/>
      <c r="AA9" s="139"/>
      <c r="AB9" s="136"/>
      <c r="AC9" s="136"/>
      <c r="AD9" s="139"/>
      <c r="AE9" s="142"/>
      <c r="AF9" s="143"/>
      <c r="AG9" s="144"/>
      <c r="AH9" s="135"/>
      <c r="AI9" s="143"/>
      <c r="AJ9" s="135"/>
      <c r="AK9" s="145"/>
      <c r="AL9" s="146"/>
      <c r="AM9" s="144">
        <v>510516</v>
      </c>
      <c r="AN9" s="147"/>
      <c r="AO9" s="144"/>
      <c r="AP9" s="145">
        <v>-5665</v>
      </c>
      <c r="AQ9" s="144"/>
      <c r="AR9" s="145"/>
      <c r="AS9" s="145"/>
      <c r="AT9" s="144">
        <v>28428</v>
      </c>
      <c r="AU9" s="781">
        <v>862011</v>
      </c>
      <c r="AV9" s="782">
        <v>49802</v>
      </c>
      <c r="AW9" s="344"/>
      <c r="AX9" s="137">
        <v>1480</v>
      </c>
      <c r="AY9" s="137">
        <v>1276</v>
      </c>
      <c r="AZ9" s="137">
        <v>-204</v>
      </c>
    </row>
    <row r="10" spans="1:53" ht="15" customHeight="1" x14ac:dyDescent="0.2">
      <c r="A10" s="383">
        <v>4</v>
      </c>
      <c r="B10" s="134" t="s">
        <v>8</v>
      </c>
      <c r="C10" s="135"/>
      <c r="D10" s="136"/>
      <c r="E10" s="137"/>
      <c r="F10" s="138"/>
      <c r="G10" s="136"/>
      <c r="H10" s="137"/>
      <c r="I10" s="138"/>
      <c r="J10" s="136"/>
      <c r="K10" s="137"/>
      <c r="L10" s="138"/>
      <c r="M10" s="136"/>
      <c r="N10" s="137"/>
      <c r="O10" s="138"/>
      <c r="P10" s="136"/>
      <c r="Q10" s="137"/>
      <c r="R10" s="139">
        <v>76756</v>
      </c>
      <c r="S10" s="139">
        <v>8528</v>
      </c>
      <c r="T10" s="136"/>
      <c r="U10" s="136"/>
      <c r="V10" s="140"/>
      <c r="W10" s="139"/>
      <c r="X10" s="137"/>
      <c r="Y10" s="139"/>
      <c r="Z10" s="136"/>
      <c r="AA10" s="139"/>
      <c r="AB10" s="136"/>
      <c r="AC10" s="136"/>
      <c r="AD10" s="139"/>
      <c r="AE10" s="142"/>
      <c r="AF10" s="143"/>
      <c r="AG10" s="144"/>
      <c r="AH10" s="135"/>
      <c r="AI10" s="143"/>
      <c r="AJ10" s="135"/>
      <c r="AK10" s="145"/>
      <c r="AL10" s="146"/>
      <c r="AM10" s="144">
        <v>32325</v>
      </c>
      <c r="AN10" s="147"/>
      <c r="AO10" s="144"/>
      <c r="AP10" s="145">
        <v>-1734</v>
      </c>
      <c r="AQ10" s="144"/>
      <c r="AR10" s="145"/>
      <c r="AS10" s="145"/>
      <c r="AT10" s="144">
        <v>-714</v>
      </c>
      <c r="AU10" s="781">
        <v>68521</v>
      </c>
      <c r="AV10" s="782">
        <v>-3589</v>
      </c>
      <c r="AW10" s="344"/>
      <c r="AX10" s="137">
        <v>130</v>
      </c>
      <c r="AY10" s="137">
        <v>81</v>
      </c>
      <c r="AZ10" s="137">
        <v>-49</v>
      </c>
    </row>
    <row r="11" spans="1:53" ht="15" customHeight="1" x14ac:dyDescent="0.2">
      <c r="A11" s="388">
        <v>5</v>
      </c>
      <c r="B11" s="148" t="s">
        <v>9</v>
      </c>
      <c r="C11" s="149"/>
      <c r="D11" s="150"/>
      <c r="E11" s="151"/>
      <c r="F11" s="152"/>
      <c r="G11" s="150"/>
      <c r="H11" s="151"/>
      <c r="I11" s="152"/>
      <c r="J11" s="150"/>
      <c r="K11" s="151"/>
      <c r="L11" s="152"/>
      <c r="M11" s="150"/>
      <c r="N11" s="151"/>
      <c r="O11" s="152"/>
      <c r="P11" s="150"/>
      <c r="Q11" s="151"/>
      <c r="R11" s="153">
        <v>191674</v>
      </c>
      <c r="S11" s="153">
        <v>21297</v>
      </c>
      <c r="T11" s="150"/>
      <c r="U11" s="150"/>
      <c r="V11" s="154"/>
      <c r="W11" s="153"/>
      <c r="X11" s="151"/>
      <c r="Y11" s="153"/>
      <c r="Z11" s="150"/>
      <c r="AA11" s="153"/>
      <c r="AB11" s="156"/>
      <c r="AC11" s="150"/>
      <c r="AD11" s="157"/>
      <c r="AE11" s="157"/>
      <c r="AF11" s="158"/>
      <c r="AG11" s="159"/>
      <c r="AH11" s="149"/>
      <c r="AI11" s="158"/>
      <c r="AJ11" s="149"/>
      <c r="AK11" s="160"/>
      <c r="AL11" s="161"/>
      <c r="AM11" s="159">
        <v>90194</v>
      </c>
      <c r="AN11" s="162"/>
      <c r="AO11" s="159"/>
      <c r="AP11" s="160">
        <v>-4770</v>
      </c>
      <c r="AQ11" s="159"/>
      <c r="AR11" s="160"/>
      <c r="AS11" s="160"/>
      <c r="AT11" s="159">
        <v>9140</v>
      </c>
      <c r="AU11" s="783">
        <v>310909</v>
      </c>
      <c r="AV11" s="784">
        <v>35637</v>
      </c>
      <c r="AW11" s="344"/>
      <c r="AX11" s="151">
        <v>195</v>
      </c>
      <c r="AY11" s="151">
        <v>225</v>
      </c>
      <c r="AZ11" s="151">
        <v>30</v>
      </c>
    </row>
    <row r="12" spans="1:53" ht="15" customHeight="1" x14ac:dyDescent="0.2">
      <c r="A12" s="378">
        <v>6</v>
      </c>
      <c r="B12" s="116" t="s">
        <v>10</v>
      </c>
      <c r="C12" s="117"/>
      <c r="D12" s="118"/>
      <c r="E12" s="119"/>
      <c r="F12" s="120"/>
      <c r="G12" s="118"/>
      <c r="H12" s="119"/>
      <c r="I12" s="120"/>
      <c r="J12" s="118"/>
      <c r="K12" s="119"/>
      <c r="L12" s="120"/>
      <c r="M12" s="118"/>
      <c r="N12" s="119"/>
      <c r="O12" s="120"/>
      <c r="P12" s="118"/>
      <c r="Q12" s="119"/>
      <c r="R12" s="121">
        <v>45069</v>
      </c>
      <c r="S12" s="121">
        <v>5008</v>
      </c>
      <c r="T12" s="118"/>
      <c r="U12" s="118"/>
      <c r="V12" s="122"/>
      <c r="W12" s="121"/>
      <c r="X12" s="119"/>
      <c r="Y12" s="121"/>
      <c r="Z12" s="118"/>
      <c r="AA12" s="121"/>
      <c r="AB12" s="118"/>
      <c r="AC12" s="118"/>
      <c r="AD12" s="121"/>
      <c r="AE12" s="123"/>
      <c r="AF12" s="124"/>
      <c r="AG12" s="125"/>
      <c r="AH12" s="117"/>
      <c r="AI12" s="124"/>
      <c r="AJ12" s="117"/>
      <c r="AK12" s="126"/>
      <c r="AL12" s="127"/>
      <c r="AM12" s="125">
        <v>49865</v>
      </c>
      <c r="AN12" s="128"/>
      <c r="AO12" s="125"/>
      <c r="AP12" s="126">
        <v>0</v>
      </c>
      <c r="AQ12" s="125"/>
      <c r="AR12" s="126"/>
      <c r="AS12" s="126"/>
      <c r="AT12" s="125">
        <v>7379</v>
      </c>
      <c r="AU12" s="779">
        <v>122324</v>
      </c>
      <c r="AV12" s="780">
        <v>18033</v>
      </c>
      <c r="AW12" s="344"/>
      <c r="AX12" s="119">
        <v>76</v>
      </c>
      <c r="AY12" s="119">
        <v>125</v>
      </c>
      <c r="AZ12" s="119">
        <v>49</v>
      </c>
    </row>
    <row r="13" spans="1:53" ht="15" customHeight="1" x14ac:dyDescent="0.2">
      <c r="A13" s="383">
        <v>7</v>
      </c>
      <c r="B13" s="134" t="s">
        <v>11</v>
      </c>
      <c r="C13" s="135"/>
      <c r="D13" s="136"/>
      <c r="E13" s="137"/>
      <c r="F13" s="138"/>
      <c r="G13" s="136"/>
      <c r="H13" s="137"/>
      <c r="I13" s="138"/>
      <c r="J13" s="136"/>
      <c r="K13" s="137"/>
      <c r="L13" s="138"/>
      <c r="M13" s="136"/>
      <c r="N13" s="137"/>
      <c r="O13" s="138"/>
      <c r="P13" s="136"/>
      <c r="Q13" s="137"/>
      <c r="R13" s="139">
        <v>2915</v>
      </c>
      <c r="S13" s="139">
        <v>324</v>
      </c>
      <c r="T13" s="136"/>
      <c r="U13" s="136"/>
      <c r="V13" s="140"/>
      <c r="W13" s="139"/>
      <c r="X13" s="137"/>
      <c r="Y13" s="139"/>
      <c r="Z13" s="136"/>
      <c r="AA13" s="139"/>
      <c r="AB13" s="136"/>
      <c r="AC13" s="136"/>
      <c r="AD13" s="139"/>
      <c r="AE13" s="142"/>
      <c r="AF13" s="143"/>
      <c r="AG13" s="144"/>
      <c r="AH13" s="135"/>
      <c r="AI13" s="143"/>
      <c r="AJ13" s="135"/>
      <c r="AK13" s="145"/>
      <c r="AL13" s="146"/>
      <c r="AM13" s="144">
        <v>55251</v>
      </c>
      <c r="AN13" s="147"/>
      <c r="AO13" s="144"/>
      <c r="AP13" s="145">
        <v>0</v>
      </c>
      <c r="AQ13" s="144"/>
      <c r="AR13" s="145"/>
      <c r="AS13" s="145"/>
      <c r="AT13" s="144">
        <v>11909</v>
      </c>
      <c r="AU13" s="781">
        <v>69808</v>
      </c>
      <c r="AV13" s="782">
        <v>15013</v>
      </c>
      <c r="AW13" s="344"/>
      <c r="AX13" s="137">
        <v>28</v>
      </c>
      <c r="AY13" s="137">
        <v>138</v>
      </c>
      <c r="AZ13" s="137">
        <v>110</v>
      </c>
    </row>
    <row r="14" spans="1:53" ht="15" customHeight="1" x14ac:dyDescent="0.2">
      <c r="A14" s="383">
        <v>8</v>
      </c>
      <c r="B14" s="134" t="s">
        <v>12</v>
      </c>
      <c r="C14" s="135"/>
      <c r="D14" s="136"/>
      <c r="E14" s="137"/>
      <c r="F14" s="138"/>
      <c r="G14" s="136"/>
      <c r="H14" s="137"/>
      <c r="I14" s="138"/>
      <c r="J14" s="136"/>
      <c r="K14" s="137"/>
      <c r="L14" s="138"/>
      <c r="M14" s="136"/>
      <c r="N14" s="137"/>
      <c r="O14" s="138"/>
      <c r="P14" s="136"/>
      <c r="Q14" s="137"/>
      <c r="R14" s="139">
        <v>266315</v>
      </c>
      <c r="S14" s="139">
        <v>29591</v>
      </c>
      <c r="T14" s="136"/>
      <c r="U14" s="136"/>
      <c r="V14" s="140"/>
      <c r="W14" s="139"/>
      <c r="X14" s="137"/>
      <c r="Y14" s="139"/>
      <c r="Z14" s="136"/>
      <c r="AA14" s="139"/>
      <c r="AB14" s="136"/>
      <c r="AC14" s="136"/>
      <c r="AD14" s="139"/>
      <c r="AE14" s="142"/>
      <c r="AF14" s="143"/>
      <c r="AG14" s="144"/>
      <c r="AH14" s="135"/>
      <c r="AI14" s="143"/>
      <c r="AJ14" s="135"/>
      <c r="AK14" s="145"/>
      <c r="AL14" s="146"/>
      <c r="AM14" s="144">
        <v>170972</v>
      </c>
      <c r="AN14" s="147"/>
      <c r="AO14" s="144"/>
      <c r="AP14" s="145">
        <v>-8471</v>
      </c>
      <c r="AQ14" s="144"/>
      <c r="AR14" s="145"/>
      <c r="AS14" s="145"/>
      <c r="AT14" s="144">
        <v>6679</v>
      </c>
      <c r="AU14" s="781">
        <v>362824</v>
      </c>
      <c r="AV14" s="782">
        <v>14334</v>
      </c>
      <c r="AW14" s="344"/>
      <c r="AX14" s="137">
        <v>530</v>
      </c>
      <c r="AY14" s="137">
        <v>427</v>
      </c>
      <c r="AZ14" s="137">
        <v>-103</v>
      </c>
    </row>
    <row r="15" spans="1:53" ht="15" customHeight="1" x14ac:dyDescent="0.2">
      <c r="A15" s="383">
        <v>9</v>
      </c>
      <c r="B15" s="134" t="s">
        <v>13</v>
      </c>
      <c r="C15" s="135"/>
      <c r="D15" s="136"/>
      <c r="E15" s="137"/>
      <c r="F15" s="138"/>
      <c r="G15" s="136"/>
      <c r="H15" s="137"/>
      <c r="I15" s="138"/>
      <c r="J15" s="136"/>
      <c r="K15" s="137"/>
      <c r="L15" s="138"/>
      <c r="M15" s="136"/>
      <c r="N15" s="137"/>
      <c r="O15" s="138"/>
      <c r="P15" s="136"/>
      <c r="Q15" s="137"/>
      <c r="R15" s="139">
        <v>350722</v>
      </c>
      <c r="S15" s="139">
        <v>38969</v>
      </c>
      <c r="T15" s="136"/>
      <c r="U15" s="136"/>
      <c r="V15" s="140"/>
      <c r="W15" s="139"/>
      <c r="X15" s="137"/>
      <c r="Y15" s="139"/>
      <c r="Z15" s="136"/>
      <c r="AA15" s="139"/>
      <c r="AB15" s="136"/>
      <c r="AC15" s="136"/>
      <c r="AD15" s="139"/>
      <c r="AE15" s="142"/>
      <c r="AF15" s="143"/>
      <c r="AG15" s="144"/>
      <c r="AH15" s="135"/>
      <c r="AI15" s="143"/>
      <c r="AJ15" s="135"/>
      <c r="AK15" s="145"/>
      <c r="AL15" s="146"/>
      <c r="AM15" s="144">
        <v>382509</v>
      </c>
      <c r="AN15" s="147"/>
      <c r="AO15" s="144"/>
      <c r="AP15" s="145">
        <v>-4640</v>
      </c>
      <c r="AQ15" s="144"/>
      <c r="AR15" s="145"/>
      <c r="AS15" s="145"/>
      <c r="AT15" s="144">
        <v>39480</v>
      </c>
      <c r="AU15" s="781">
        <v>762185</v>
      </c>
      <c r="AV15" s="782">
        <v>78258</v>
      </c>
      <c r="AW15" s="344"/>
      <c r="AX15" s="137">
        <v>835</v>
      </c>
      <c r="AY15" s="137">
        <v>956</v>
      </c>
      <c r="AZ15" s="137">
        <v>121</v>
      </c>
    </row>
    <row r="16" spans="1:53" ht="15" customHeight="1" x14ac:dyDescent="0.2">
      <c r="A16" s="388">
        <v>10</v>
      </c>
      <c r="B16" s="148" t="s">
        <v>14</v>
      </c>
      <c r="C16" s="149"/>
      <c r="D16" s="150"/>
      <c r="E16" s="151"/>
      <c r="F16" s="152"/>
      <c r="G16" s="150"/>
      <c r="H16" s="151"/>
      <c r="I16" s="152"/>
      <c r="J16" s="150"/>
      <c r="K16" s="151"/>
      <c r="L16" s="152"/>
      <c r="M16" s="150"/>
      <c r="N16" s="151"/>
      <c r="O16" s="152"/>
      <c r="P16" s="150"/>
      <c r="Q16" s="151"/>
      <c r="R16" s="153">
        <v>281495</v>
      </c>
      <c r="S16" s="153">
        <v>31277</v>
      </c>
      <c r="T16" s="150"/>
      <c r="U16" s="150"/>
      <c r="V16" s="154"/>
      <c r="W16" s="153"/>
      <c r="X16" s="151"/>
      <c r="Y16" s="153"/>
      <c r="Z16" s="150"/>
      <c r="AA16" s="153"/>
      <c r="AB16" s="156"/>
      <c r="AC16" s="150"/>
      <c r="AD16" s="157"/>
      <c r="AE16" s="157"/>
      <c r="AF16" s="158"/>
      <c r="AG16" s="159"/>
      <c r="AH16" s="149"/>
      <c r="AI16" s="158"/>
      <c r="AJ16" s="149"/>
      <c r="AK16" s="160"/>
      <c r="AL16" s="161"/>
      <c r="AM16" s="159">
        <v>620303</v>
      </c>
      <c r="AN16" s="162"/>
      <c r="AO16" s="159"/>
      <c r="AP16" s="160">
        <v>-15106</v>
      </c>
      <c r="AQ16" s="159"/>
      <c r="AR16" s="160"/>
      <c r="AS16" s="160"/>
      <c r="AT16" s="159">
        <v>68095</v>
      </c>
      <c r="AU16" s="783">
        <v>927271</v>
      </c>
      <c r="AV16" s="784">
        <v>103769</v>
      </c>
      <c r="AW16" s="344"/>
      <c r="AX16" s="151">
        <v>1283</v>
      </c>
      <c r="AY16" s="151">
        <v>1551</v>
      </c>
      <c r="AZ16" s="151">
        <v>268</v>
      </c>
    </row>
    <row r="17" spans="1:52" ht="15" customHeight="1" x14ac:dyDescent="0.2">
      <c r="A17" s="378">
        <v>11</v>
      </c>
      <c r="B17" s="116" t="s">
        <v>15</v>
      </c>
      <c r="C17" s="117"/>
      <c r="D17" s="118"/>
      <c r="E17" s="119"/>
      <c r="F17" s="120"/>
      <c r="G17" s="118"/>
      <c r="H17" s="119"/>
      <c r="I17" s="120"/>
      <c r="J17" s="118"/>
      <c r="K17" s="119"/>
      <c r="L17" s="120"/>
      <c r="M17" s="118"/>
      <c r="N17" s="119"/>
      <c r="O17" s="120"/>
      <c r="P17" s="118"/>
      <c r="Q17" s="119"/>
      <c r="R17" s="121">
        <v>21912</v>
      </c>
      <c r="S17" s="121">
        <v>2435</v>
      </c>
      <c r="T17" s="118"/>
      <c r="U17" s="118"/>
      <c r="V17" s="122"/>
      <c r="W17" s="121"/>
      <c r="X17" s="119"/>
      <c r="Y17" s="121"/>
      <c r="Z17" s="118"/>
      <c r="AA17" s="121"/>
      <c r="AB17" s="118"/>
      <c r="AC17" s="118"/>
      <c r="AD17" s="121"/>
      <c r="AE17" s="123"/>
      <c r="AF17" s="124"/>
      <c r="AG17" s="125"/>
      <c r="AH17" s="117"/>
      <c r="AI17" s="124"/>
      <c r="AJ17" s="117"/>
      <c r="AK17" s="126"/>
      <c r="AL17" s="127"/>
      <c r="AM17" s="125">
        <v>18894</v>
      </c>
      <c r="AN17" s="128"/>
      <c r="AO17" s="125"/>
      <c r="AP17" s="126">
        <v>-1541</v>
      </c>
      <c r="AQ17" s="125"/>
      <c r="AR17" s="126"/>
      <c r="AS17" s="126"/>
      <c r="AT17" s="125">
        <v>2684</v>
      </c>
      <c r="AU17" s="779">
        <v>47916</v>
      </c>
      <c r="AV17" s="780">
        <v>7121</v>
      </c>
      <c r="AW17" s="344"/>
      <c r="AX17" s="119">
        <v>29</v>
      </c>
      <c r="AY17" s="119">
        <v>47</v>
      </c>
      <c r="AZ17" s="119">
        <v>18</v>
      </c>
    </row>
    <row r="18" spans="1:52" ht="15" customHeight="1" x14ac:dyDescent="0.2">
      <c r="A18" s="383">
        <v>12</v>
      </c>
      <c r="B18" s="134" t="s">
        <v>16</v>
      </c>
      <c r="C18" s="135"/>
      <c r="D18" s="136"/>
      <c r="E18" s="137"/>
      <c r="F18" s="138"/>
      <c r="G18" s="136"/>
      <c r="H18" s="137"/>
      <c r="I18" s="138"/>
      <c r="J18" s="136"/>
      <c r="K18" s="137"/>
      <c r="L18" s="138"/>
      <c r="M18" s="136"/>
      <c r="N18" s="137"/>
      <c r="O18" s="138"/>
      <c r="P18" s="136"/>
      <c r="Q18" s="137"/>
      <c r="R18" s="139">
        <v>3567</v>
      </c>
      <c r="S18" s="139">
        <v>396</v>
      </c>
      <c r="T18" s="136"/>
      <c r="U18" s="136"/>
      <c r="V18" s="140"/>
      <c r="W18" s="139"/>
      <c r="X18" s="137"/>
      <c r="Y18" s="139"/>
      <c r="Z18" s="136"/>
      <c r="AA18" s="139"/>
      <c r="AB18" s="136"/>
      <c r="AC18" s="136"/>
      <c r="AD18" s="139"/>
      <c r="AE18" s="142"/>
      <c r="AF18" s="143"/>
      <c r="AG18" s="144"/>
      <c r="AH18" s="135"/>
      <c r="AI18" s="143"/>
      <c r="AJ18" s="135"/>
      <c r="AK18" s="145"/>
      <c r="AL18" s="146"/>
      <c r="AM18" s="144">
        <v>7052</v>
      </c>
      <c r="AN18" s="147"/>
      <c r="AO18" s="144"/>
      <c r="AP18" s="145">
        <v>0</v>
      </c>
      <c r="AQ18" s="144"/>
      <c r="AR18" s="145"/>
      <c r="AS18" s="145"/>
      <c r="AT18" s="144">
        <v>693</v>
      </c>
      <c r="AU18" s="781">
        <v>9141</v>
      </c>
      <c r="AV18" s="782">
        <v>626</v>
      </c>
      <c r="AW18" s="344"/>
      <c r="AX18" s="137">
        <v>16</v>
      </c>
      <c r="AY18" s="137">
        <v>18</v>
      </c>
      <c r="AZ18" s="137">
        <v>2</v>
      </c>
    </row>
    <row r="19" spans="1:52" ht="15" customHeight="1" x14ac:dyDescent="0.2">
      <c r="A19" s="383">
        <v>13</v>
      </c>
      <c r="B19" s="134" t="s">
        <v>17</v>
      </c>
      <c r="C19" s="135"/>
      <c r="D19" s="136"/>
      <c r="E19" s="137"/>
      <c r="F19" s="138"/>
      <c r="G19" s="136"/>
      <c r="H19" s="137"/>
      <c r="I19" s="138"/>
      <c r="J19" s="136"/>
      <c r="K19" s="137"/>
      <c r="L19" s="138"/>
      <c r="M19" s="136"/>
      <c r="N19" s="137"/>
      <c r="O19" s="138"/>
      <c r="P19" s="136"/>
      <c r="Q19" s="137"/>
      <c r="R19" s="139">
        <v>25704</v>
      </c>
      <c r="S19" s="139">
        <v>2856</v>
      </c>
      <c r="T19" s="136"/>
      <c r="U19" s="136"/>
      <c r="V19" s="140"/>
      <c r="W19" s="139"/>
      <c r="X19" s="137"/>
      <c r="Y19" s="139"/>
      <c r="Z19" s="136"/>
      <c r="AA19" s="139"/>
      <c r="AB19" s="136"/>
      <c r="AC19" s="136"/>
      <c r="AD19" s="139"/>
      <c r="AE19" s="142"/>
      <c r="AF19" s="143"/>
      <c r="AG19" s="144"/>
      <c r="AH19" s="135"/>
      <c r="AI19" s="143"/>
      <c r="AJ19" s="135"/>
      <c r="AK19" s="145"/>
      <c r="AL19" s="146"/>
      <c r="AM19" s="144">
        <v>18919</v>
      </c>
      <c r="AN19" s="147"/>
      <c r="AO19" s="144"/>
      <c r="AP19" s="145">
        <v>0</v>
      </c>
      <c r="AQ19" s="144"/>
      <c r="AR19" s="145"/>
      <c r="AS19" s="145"/>
      <c r="AT19" s="144">
        <v>2998</v>
      </c>
      <c r="AU19" s="781">
        <v>61368</v>
      </c>
      <c r="AV19" s="782">
        <v>9349</v>
      </c>
      <c r="AW19" s="344"/>
      <c r="AX19" s="137">
        <v>26</v>
      </c>
      <c r="AY19" s="137">
        <v>47</v>
      </c>
      <c r="AZ19" s="137">
        <v>21</v>
      </c>
    </row>
    <row r="20" spans="1:52" ht="15" customHeight="1" x14ac:dyDescent="0.2">
      <c r="A20" s="383">
        <v>14</v>
      </c>
      <c r="B20" s="134" t="s">
        <v>18</v>
      </c>
      <c r="C20" s="135"/>
      <c r="D20" s="136"/>
      <c r="E20" s="137"/>
      <c r="F20" s="138"/>
      <c r="G20" s="136"/>
      <c r="H20" s="137"/>
      <c r="I20" s="138"/>
      <c r="J20" s="136"/>
      <c r="K20" s="137"/>
      <c r="L20" s="138"/>
      <c r="M20" s="136"/>
      <c r="N20" s="137"/>
      <c r="O20" s="138"/>
      <c r="P20" s="136"/>
      <c r="Q20" s="137"/>
      <c r="R20" s="139">
        <v>36963</v>
      </c>
      <c r="S20" s="139">
        <v>4107</v>
      </c>
      <c r="T20" s="136"/>
      <c r="U20" s="136"/>
      <c r="V20" s="140"/>
      <c r="W20" s="139"/>
      <c r="X20" s="137"/>
      <c r="Y20" s="139"/>
      <c r="Z20" s="136"/>
      <c r="AA20" s="139"/>
      <c r="AB20" s="136"/>
      <c r="AC20" s="136"/>
      <c r="AD20" s="139"/>
      <c r="AE20" s="142"/>
      <c r="AF20" s="143"/>
      <c r="AG20" s="144"/>
      <c r="AH20" s="135"/>
      <c r="AI20" s="143"/>
      <c r="AJ20" s="135"/>
      <c r="AK20" s="145"/>
      <c r="AL20" s="146"/>
      <c r="AM20" s="144">
        <v>16520</v>
      </c>
      <c r="AN20" s="147"/>
      <c r="AO20" s="144"/>
      <c r="AP20" s="145">
        <v>0</v>
      </c>
      <c r="AQ20" s="144"/>
      <c r="AR20" s="145"/>
      <c r="AS20" s="145"/>
      <c r="AT20" s="144">
        <v>1136</v>
      </c>
      <c r="AU20" s="781">
        <v>51438</v>
      </c>
      <c r="AV20" s="782">
        <v>3730</v>
      </c>
      <c r="AW20" s="344"/>
      <c r="AX20" s="137">
        <v>45</v>
      </c>
      <c r="AY20" s="137">
        <v>41</v>
      </c>
      <c r="AZ20" s="137">
        <v>-4</v>
      </c>
    </row>
    <row r="21" spans="1:52" ht="15" customHeight="1" x14ac:dyDescent="0.2">
      <c r="A21" s="388">
        <v>15</v>
      </c>
      <c r="B21" s="148" t="s">
        <v>19</v>
      </c>
      <c r="C21" s="149"/>
      <c r="D21" s="150"/>
      <c r="E21" s="151"/>
      <c r="F21" s="152"/>
      <c r="G21" s="150"/>
      <c r="H21" s="151"/>
      <c r="I21" s="152"/>
      <c r="J21" s="150"/>
      <c r="K21" s="151"/>
      <c r="L21" s="152"/>
      <c r="M21" s="150"/>
      <c r="N21" s="151"/>
      <c r="O21" s="152"/>
      <c r="P21" s="150"/>
      <c r="Q21" s="151"/>
      <c r="R21" s="153">
        <v>10610</v>
      </c>
      <c r="S21" s="153">
        <v>1179</v>
      </c>
      <c r="T21" s="150"/>
      <c r="U21" s="150"/>
      <c r="V21" s="154"/>
      <c r="W21" s="153"/>
      <c r="X21" s="151"/>
      <c r="Y21" s="153"/>
      <c r="Z21" s="150"/>
      <c r="AA21" s="153"/>
      <c r="AB21" s="156"/>
      <c r="AC21" s="150"/>
      <c r="AD21" s="157"/>
      <c r="AE21" s="157"/>
      <c r="AF21" s="158"/>
      <c r="AG21" s="159"/>
      <c r="AH21" s="149"/>
      <c r="AI21" s="158"/>
      <c r="AJ21" s="149"/>
      <c r="AK21" s="160"/>
      <c r="AL21" s="161"/>
      <c r="AM21" s="159">
        <v>20635</v>
      </c>
      <c r="AN21" s="162"/>
      <c r="AO21" s="159"/>
      <c r="AP21" s="160">
        <v>0</v>
      </c>
      <c r="AQ21" s="159"/>
      <c r="AR21" s="160"/>
      <c r="AS21" s="160"/>
      <c r="AT21" s="159">
        <v>4248</v>
      </c>
      <c r="AU21" s="783">
        <v>58805</v>
      </c>
      <c r="AV21" s="784">
        <v>12040</v>
      </c>
      <c r="AW21" s="344"/>
      <c r="AX21" s="151">
        <v>13</v>
      </c>
      <c r="AY21" s="151">
        <v>52</v>
      </c>
      <c r="AZ21" s="151">
        <v>39</v>
      </c>
    </row>
    <row r="22" spans="1:52" ht="15" customHeight="1" x14ac:dyDescent="0.2">
      <c r="A22" s="378">
        <v>16</v>
      </c>
      <c r="B22" s="116" t="s">
        <v>20</v>
      </c>
      <c r="C22" s="117"/>
      <c r="D22" s="118"/>
      <c r="E22" s="119"/>
      <c r="F22" s="120"/>
      <c r="G22" s="118"/>
      <c r="H22" s="119"/>
      <c r="I22" s="120"/>
      <c r="J22" s="118"/>
      <c r="K22" s="119"/>
      <c r="L22" s="120"/>
      <c r="M22" s="118"/>
      <c r="N22" s="119"/>
      <c r="O22" s="120"/>
      <c r="P22" s="118"/>
      <c r="Q22" s="119"/>
      <c r="R22" s="121">
        <v>25702</v>
      </c>
      <c r="S22" s="121">
        <v>2856</v>
      </c>
      <c r="T22" s="118"/>
      <c r="U22" s="118"/>
      <c r="V22" s="122"/>
      <c r="W22" s="121"/>
      <c r="X22" s="119"/>
      <c r="Y22" s="121"/>
      <c r="Z22" s="118"/>
      <c r="AA22" s="121"/>
      <c r="AB22" s="118"/>
      <c r="AC22" s="118"/>
      <c r="AD22" s="121"/>
      <c r="AE22" s="123"/>
      <c r="AF22" s="124"/>
      <c r="AG22" s="125"/>
      <c r="AH22" s="117"/>
      <c r="AI22" s="124"/>
      <c r="AJ22" s="117"/>
      <c r="AK22" s="126"/>
      <c r="AL22" s="127"/>
      <c r="AM22" s="125">
        <v>121623</v>
      </c>
      <c r="AN22" s="128"/>
      <c r="AO22" s="125"/>
      <c r="AP22" s="126">
        <v>0</v>
      </c>
      <c r="AQ22" s="125"/>
      <c r="AR22" s="126"/>
      <c r="AS22" s="126"/>
      <c r="AT22" s="125">
        <v>3602</v>
      </c>
      <c r="AU22" s="779">
        <v>143097</v>
      </c>
      <c r="AV22" s="780">
        <v>4749</v>
      </c>
      <c r="AW22" s="344"/>
      <c r="AX22" s="119">
        <v>402</v>
      </c>
      <c r="AY22" s="119">
        <v>304</v>
      </c>
      <c r="AZ22" s="119">
        <v>-98</v>
      </c>
    </row>
    <row r="23" spans="1:52" ht="15" customHeight="1" x14ac:dyDescent="0.2">
      <c r="A23" s="383">
        <v>17</v>
      </c>
      <c r="B23" s="134" t="s">
        <v>21</v>
      </c>
      <c r="C23" s="135"/>
      <c r="D23" s="136"/>
      <c r="E23" s="137"/>
      <c r="F23" s="138"/>
      <c r="G23" s="136"/>
      <c r="H23" s="137"/>
      <c r="I23" s="138"/>
      <c r="J23" s="136"/>
      <c r="K23" s="137"/>
      <c r="L23" s="138"/>
      <c r="M23" s="136"/>
      <c r="N23" s="137"/>
      <c r="O23" s="138"/>
      <c r="P23" s="136"/>
      <c r="Q23" s="137"/>
      <c r="R23" s="139">
        <v>868255</v>
      </c>
      <c r="S23" s="139">
        <v>96473</v>
      </c>
      <c r="T23" s="136"/>
      <c r="U23" s="136"/>
      <c r="V23" s="140"/>
      <c r="W23" s="139"/>
      <c r="X23" s="137"/>
      <c r="Y23" s="139"/>
      <c r="Z23" s="136"/>
      <c r="AA23" s="139"/>
      <c r="AB23" s="136"/>
      <c r="AC23" s="136"/>
      <c r="AD23" s="139"/>
      <c r="AE23" s="142"/>
      <c r="AF23" s="143"/>
      <c r="AG23" s="144"/>
      <c r="AH23" s="135"/>
      <c r="AI23" s="143"/>
      <c r="AJ23" s="135"/>
      <c r="AK23" s="145"/>
      <c r="AL23" s="146"/>
      <c r="AM23" s="144">
        <v>1911672</v>
      </c>
      <c r="AN23" s="147"/>
      <c r="AO23" s="144"/>
      <c r="AP23" s="145">
        <v>-83172</v>
      </c>
      <c r="AQ23" s="144"/>
      <c r="AR23" s="145"/>
      <c r="AS23" s="145"/>
      <c r="AT23" s="144">
        <v>198342</v>
      </c>
      <c r="AU23" s="781">
        <v>2826376</v>
      </c>
      <c r="AV23" s="782">
        <v>310906</v>
      </c>
      <c r="AW23" s="344"/>
      <c r="AX23" s="137">
        <v>4082</v>
      </c>
      <c r="AY23" s="137">
        <v>4779</v>
      </c>
      <c r="AZ23" s="137">
        <v>697</v>
      </c>
    </row>
    <row r="24" spans="1:52" ht="15" customHeight="1" x14ac:dyDescent="0.2">
      <c r="A24" s="383">
        <v>18</v>
      </c>
      <c r="B24" s="134" t="s">
        <v>22</v>
      </c>
      <c r="C24" s="135"/>
      <c r="D24" s="136"/>
      <c r="E24" s="137"/>
      <c r="F24" s="138"/>
      <c r="G24" s="136"/>
      <c r="H24" s="137"/>
      <c r="I24" s="138"/>
      <c r="J24" s="136"/>
      <c r="K24" s="137"/>
      <c r="L24" s="138"/>
      <c r="M24" s="136"/>
      <c r="N24" s="137"/>
      <c r="O24" s="138"/>
      <c r="P24" s="136"/>
      <c r="Q24" s="137"/>
      <c r="R24" s="139">
        <v>14637</v>
      </c>
      <c r="S24" s="139">
        <v>1626</v>
      </c>
      <c r="T24" s="136"/>
      <c r="U24" s="136"/>
      <c r="V24" s="140"/>
      <c r="W24" s="139"/>
      <c r="X24" s="137"/>
      <c r="Y24" s="139"/>
      <c r="Z24" s="136"/>
      <c r="AA24" s="139"/>
      <c r="AB24" s="136"/>
      <c r="AC24" s="136"/>
      <c r="AD24" s="139"/>
      <c r="AE24" s="142"/>
      <c r="AF24" s="143"/>
      <c r="AG24" s="144"/>
      <c r="AH24" s="135"/>
      <c r="AI24" s="143"/>
      <c r="AJ24" s="135"/>
      <c r="AK24" s="145"/>
      <c r="AL24" s="146"/>
      <c r="AM24" s="144">
        <v>4900</v>
      </c>
      <c r="AN24" s="147"/>
      <c r="AO24" s="144"/>
      <c r="AP24" s="145">
        <v>0</v>
      </c>
      <c r="AQ24" s="144"/>
      <c r="AR24" s="145"/>
      <c r="AS24" s="145"/>
      <c r="AT24" s="144">
        <v>366</v>
      </c>
      <c r="AU24" s="781">
        <v>19488</v>
      </c>
      <c r="AV24" s="782">
        <v>1583</v>
      </c>
      <c r="AW24" s="344"/>
      <c r="AX24" s="137">
        <v>13</v>
      </c>
      <c r="AY24" s="137">
        <v>12</v>
      </c>
      <c r="AZ24" s="137">
        <v>-1</v>
      </c>
    </row>
    <row r="25" spans="1:52" ht="15" customHeight="1" x14ac:dyDescent="0.2">
      <c r="A25" s="383">
        <v>19</v>
      </c>
      <c r="B25" s="134" t="s">
        <v>23</v>
      </c>
      <c r="C25" s="135"/>
      <c r="D25" s="136"/>
      <c r="E25" s="137"/>
      <c r="F25" s="138"/>
      <c r="G25" s="136"/>
      <c r="H25" s="137"/>
      <c r="I25" s="138"/>
      <c r="J25" s="136"/>
      <c r="K25" s="137"/>
      <c r="L25" s="138"/>
      <c r="M25" s="136"/>
      <c r="N25" s="137"/>
      <c r="O25" s="138"/>
      <c r="P25" s="136"/>
      <c r="Q25" s="137"/>
      <c r="R25" s="139">
        <v>127203</v>
      </c>
      <c r="S25" s="139">
        <v>14134</v>
      </c>
      <c r="T25" s="136"/>
      <c r="U25" s="136"/>
      <c r="V25" s="140"/>
      <c r="W25" s="139"/>
      <c r="X25" s="137"/>
      <c r="Y25" s="139"/>
      <c r="Z25" s="136"/>
      <c r="AA25" s="139"/>
      <c r="AB25" s="136"/>
      <c r="AC25" s="136"/>
      <c r="AD25" s="139"/>
      <c r="AE25" s="142"/>
      <c r="AF25" s="143"/>
      <c r="AG25" s="144"/>
      <c r="AH25" s="135"/>
      <c r="AI25" s="143"/>
      <c r="AJ25" s="135"/>
      <c r="AK25" s="145"/>
      <c r="AL25" s="146"/>
      <c r="AM25" s="144">
        <v>109244</v>
      </c>
      <c r="AN25" s="147"/>
      <c r="AO25" s="144"/>
      <c r="AP25" s="145">
        <v>1498</v>
      </c>
      <c r="AQ25" s="144"/>
      <c r="AR25" s="145"/>
      <c r="AS25" s="145"/>
      <c r="AT25" s="144">
        <v>12741</v>
      </c>
      <c r="AU25" s="781">
        <v>255033</v>
      </c>
      <c r="AV25" s="782">
        <v>27356</v>
      </c>
      <c r="AW25" s="344"/>
      <c r="AX25" s="137">
        <v>220</v>
      </c>
      <c r="AY25" s="137">
        <v>273</v>
      </c>
      <c r="AZ25" s="137">
        <v>53</v>
      </c>
    </row>
    <row r="26" spans="1:52" ht="15" customHeight="1" x14ac:dyDescent="0.2">
      <c r="A26" s="388">
        <v>20</v>
      </c>
      <c r="B26" s="148" t="s">
        <v>24</v>
      </c>
      <c r="C26" s="149"/>
      <c r="D26" s="150"/>
      <c r="E26" s="151"/>
      <c r="F26" s="152"/>
      <c r="G26" s="150"/>
      <c r="H26" s="151"/>
      <c r="I26" s="152"/>
      <c r="J26" s="150"/>
      <c r="K26" s="151"/>
      <c r="L26" s="152"/>
      <c r="M26" s="150"/>
      <c r="N26" s="151"/>
      <c r="O26" s="152"/>
      <c r="P26" s="150"/>
      <c r="Q26" s="151"/>
      <c r="R26" s="153">
        <v>100455</v>
      </c>
      <c r="S26" s="153">
        <v>11162</v>
      </c>
      <c r="T26" s="150"/>
      <c r="U26" s="150"/>
      <c r="V26" s="154"/>
      <c r="W26" s="153"/>
      <c r="X26" s="151"/>
      <c r="Y26" s="153"/>
      <c r="Z26" s="150"/>
      <c r="AA26" s="153"/>
      <c r="AB26" s="156"/>
      <c r="AC26" s="150"/>
      <c r="AD26" s="157"/>
      <c r="AE26" s="157"/>
      <c r="AF26" s="158"/>
      <c r="AG26" s="159"/>
      <c r="AH26" s="149"/>
      <c r="AI26" s="158"/>
      <c r="AJ26" s="149"/>
      <c r="AK26" s="160"/>
      <c r="AL26" s="161"/>
      <c r="AM26" s="159">
        <v>50709</v>
      </c>
      <c r="AN26" s="162"/>
      <c r="AO26" s="159"/>
      <c r="AP26" s="160">
        <v>0</v>
      </c>
      <c r="AQ26" s="159"/>
      <c r="AR26" s="160"/>
      <c r="AS26" s="160"/>
      <c r="AT26" s="159">
        <v>6139</v>
      </c>
      <c r="AU26" s="783">
        <v>177299</v>
      </c>
      <c r="AV26" s="784">
        <v>21118</v>
      </c>
      <c r="AW26" s="344"/>
      <c r="AX26" s="151">
        <v>98</v>
      </c>
      <c r="AY26" s="151">
        <v>127</v>
      </c>
      <c r="AZ26" s="151">
        <v>29</v>
      </c>
    </row>
    <row r="27" spans="1:52" ht="15" customHeight="1" x14ac:dyDescent="0.2">
      <c r="A27" s="378">
        <v>21</v>
      </c>
      <c r="B27" s="116" t="s">
        <v>25</v>
      </c>
      <c r="C27" s="117"/>
      <c r="D27" s="118"/>
      <c r="E27" s="119"/>
      <c r="F27" s="120"/>
      <c r="G27" s="118"/>
      <c r="H27" s="119"/>
      <c r="I27" s="120"/>
      <c r="J27" s="118"/>
      <c r="K27" s="119"/>
      <c r="L27" s="120"/>
      <c r="M27" s="118"/>
      <c r="N27" s="119"/>
      <c r="O27" s="120"/>
      <c r="P27" s="118"/>
      <c r="Q27" s="119"/>
      <c r="R27" s="121">
        <v>48914</v>
      </c>
      <c r="S27" s="121">
        <v>5435</v>
      </c>
      <c r="T27" s="118"/>
      <c r="U27" s="118"/>
      <c r="V27" s="122"/>
      <c r="W27" s="121"/>
      <c r="X27" s="119"/>
      <c r="Y27" s="121"/>
      <c r="Z27" s="118"/>
      <c r="AA27" s="121"/>
      <c r="AB27" s="118"/>
      <c r="AC27" s="118"/>
      <c r="AD27" s="121"/>
      <c r="AE27" s="123"/>
      <c r="AF27" s="124"/>
      <c r="AG27" s="125"/>
      <c r="AH27" s="117"/>
      <c r="AI27" s="124"/>
      <c r="AJ27" s="117"/>
      <c r="AK27" s="126"/>
      <c r="AL27" s="127"/>
      <c r="AM27" s="125">
        <v>26394</v>
      </c>
      <c r="AN27" s="128"/>
      <c r="AO27" s="125"/>
      <c r="AP27" s="126">
        <v>0</v>
      </c>
      <c r="AQ27" s="125"/>
      <c r="AR27" s="126"/>
      <c r="AS27" s="126"/>
      <c r="AT27" s="125">
        <v>3150</v>
      </c>
      <c r="AU27" s="779">
        <v>84470</v>
      </c>
      <c r="AV27" s="780">
        <v>9554</v>
      </c>
      <c r="AW27" s="344"/>
      <c r="AX27" s="119">
        <v>52</v>
      </c>
      <c r="AY27" s="119">
        <v>66</v>
      </c>
      <c r="AZ27" s="119">
        <v>14</v>
      </c>
    </row>
    <row r="28" spans="1:52" ht="15" customHeight="1" x14ac:dyDescent="0.2">
      <c r="A28" s="383">
        <v>22</v>
      </c>
      <c r="B28" s="134" t="s">
        <v>26</v>
      </c>
      <c r="C28" s="135"/>
      <c r="D28" s="136"/>
      <c r="E28" s="137"/>
      <c r="F28" s="138"/>
      <c r="G28" s="136"/>
      <c r="H28" s="137"/>
      <c r="I28" s="138"/>
      <c r="J28" s="136"/>
      <c r="K28" s="137"/>
      <c r="L28" s="138"/>
      <c r="M28" s="136"/>
      <c r="N28" s="137"/>
      <c r="O28" s="138"/>
      <c r="P28" s="136"/>
      <c r="Q28" s="137"/>
      <c r="R28" s="139">
        <v>105671</v>
      </c>
      <c r="S28" s="139">
        <v>11741</v>
      </c>
      <c r="T28" s="136"/>
      <c r="U28" s="136"/>
      <c r="V28" s="140"/>
      <c r="W28" s="139"/>
      <c r="X28" s="137"/>
      <c r="Y28" s="139"/>
      <c r="Z28" s="136"/>
      <c r="AA28" s="139"/>
      <c r="AB28" s="136"/>
      <c r="AC28" s="136"/>
      <c r="AD28" s="139"/>
      <c r="AE28" s="142"/>
      <c r="AF28" s="143"/>
      <c r="AG28" s="144"/>
      <c r="AH28" s="135"/>
      <c r="AI28" s="143"/>
      <c r="AJ28" s="135"/>
      <c r="AK28" s="145"/>
      <c r="AL28" s="146"/>
      <c r="AM28" s="144">
        <v>33550</v>
      </c>
      <c r="AN28" s="147"/>
      <c r="AO28" s="144"/>
      <c r="AP28" s="145">
        <v>0</v>
      </c>
      <c r="AQ28" s="144"/>
      <c r="AR28" s="145"/>
      <c r="AS28" s="145"/>
      <c r="AT28" s="144">
        <v>3314</v>
      </c>
      <c r="AU28" s="781">
        <v>146842</v>
      </c>
      <c r="AV28" s="782">
        <v>14033</v>
      </c>
      <c r="AW28" s="344"/>
      <c r="AX28" s="137">
        <v>76</v>
      </c>
      <c r="AY28" s="137">
        <v>84</v>
      </c>
      <c r="AZ28" s="137">
        <v>8</v>
      </c>
    </row>
    <row r="29" spans="1:52" ht="15" customHeight="1" x14ac:dyDescent="0.2">
      <c r="A29" s="383">
        <v>23</v>
      </c>
      <c r="B29" s="134" t="s">
        <v>27</v>
      </c>
      <c r="C29" s="135"/>
      <c r="D29" s="136"/>
      <c r="E29" s="137"/>
      <c r="F29" s="138"/>
      <c r="G29" s="136"/>
      <c r="H29" s="137"/>
      <c r="I29" s="138"/>
      <c r="J29" s="136"/>
      <c r="K29" s="137"/>
      <c r="L29" s="138"/>
      <c r="M29" s="136"/>
      <c r="N29" s="137"/>
      <c r="O29" s="138"/>
      <c r="P29" s="136"/>
      <c r="Q29" s="137"/>
      <c r="R29" s="139">
        <v>184215</v>
      </c>
      <c r="S29" s="139">
        <v>20468</v>
      </c>
      <c r="T29" s="136"/>
      <c r="U29" s="136"/>
      <c r="V29" s="140"/>
      <c r="W29" s="139"/>
      <c r="X29" s="137"/>
      <c r="Y29" s="139"/>
      <c r="Z29" s="136"/>
      <c r="AA29" s="139"/>
      <c r="AB29" s="136"/>
      <c r="AC29" s="136"/>
      <c r="AD29" s="139"/>
      <c r="AE29" s="142"/>
      <c r="AF29" s="143"/>
      <c r="AG29" s="144"/>
      <c r="AH29" s="135"/>
      <c r="AI29" s="143"/>
      <c r="AJ29" s="135"/>
      <c r="AK29" s="145"/>
      <c r="AL29" s="146"/>
      <c r="AM29" s="144">
        <v>138344</v>
      </c>
      <c r="AN29" s="147"/>
      <c r="AO29" s="144"/>
      <c r="AP29" s="145">
        <v>0</v>
      </c>
      <c r="AQ29" s="144"/>
      <c r="AR29" s="145"/>
      <c r="AS29" s="145"/>
      <c r="AT29" s="144">
        <v>17110</v>
      </c>
      <c r="AU29" s="781">
        <v>368286</v>
      </c>
      <c r="AV29" s="782">
        <v>44056</v>
      </c>
      <c r="AW29" s="344"/>
      <c r="AX29" s="137">
        <v>262</v>
      </c>
      <c r="AY29" s="137">
        <v>346</v>
      </c>
      <c r="AZ29" s="137">
        <v>84</v>
      </c>
    </row>
    <row r="30" spans="1:52" ht="15" customHeight="1" x14ac:dyDescent="0.2">
      <c r="A30" s="383">
        <v>24</v>
      </c>
      <c r="B30" s="134" t="s">
        <v>28</v>
      </c>
      <c r="C30" s="135"/>
      <c r="D30" s="136"/>
      <c r="E30" s="137"/>
      <c r="F30" s="138"/>
      <c r="G30" s="136"/>
      <c r="H30" s="137"/>
      <c r="I30" s="138"/>
      <c r="J30" s="136"/>
      <c r="K30" s="137"/>
      <c r="L30" s="138"/>
      <c r="M30" s="136"/>
      <c r="N30" s="137"/>
      <c r="O30" s="138"/>
      <c r="P30" s="136"/>
      <c r="Q30" s="137"/>
      <c r="R30" s="139">
        <v>28227</v>
      </c>
      <c r="S30" s="139">
        <v>3136</v>
      </c>
      <c r="T30" s="136"/>
      <c r="U30" s="136"/>
      <c r="V30" s="140"/>
      <c r="W30" s="139"/>
      <c r="X30" s="137"/>
      <c r="Y30" s="139"/>
      <c r="Z30" s="136"/>
      <c r="AA30" s="139"/>
      <c r="AB30" s="136"/>
      <c r="AC30" s="136"/>
      <c r="AD30" s="139"/>
      <c r="AE30" s="142"/>
      <c r="AF30" s="143"/>
      <c r="AG30" s="144"/>
      <c r="AH30" s="135"/>
      <c r="AI30" s="143"/>
      <c r="AJ30" s="135"/>
      <c r="AK30" s="145"/>
      <c r="AL30" s="146"/>
      <c r="AM30" s="144">
        <v>191268</v>
      </c>
      <c r="AN30" s="147"/>
      <c r="AO30" s="144"/>
      <c r="AP30" s="145">
        <v>-6117</v>
      </c>
      <c r="AQ30" s="144"/>
      <c r="AR30" s="145"/>
      <c r="AS30" s="145"/>
      <c r="AT30" s="144">
        <v>28299</v>
      </c>
      <c r="AU30" s="781">
        <v>225053</v>
      </c>
      <c r="AV30" s="782">
        <v>33914</v>
      </c>
      <c r="AW30" s="344"/>
      <c r="AX30" s="137">
        <v>284</v>
      </c>
      <c r="AY30" s="137">
        <v>478</v>
      </c>
      <c r="AZ30" s="137">
        <v>194</v>
      </c>
    </row>
    <row r="31" spans="1:52" ht="15" customHeight="1" x14ac:dyDescent="0.2">
      <c r="A31" s="388">
        <v>25</v>
      </c>
      <c r="B31" s="148" t="s">
        <v>29</v>
      </c>
      <c r="C31" s="149"/>
      <c r="D31" s="150"/>
      <c r="E31" s="151"/>
      <c r="F31" s="152"/>
      <c r="G31" s="150"/>
      <c r="H31" s="151"/>
      <c r="I31" s="152"/>
      <c r="J31" s="150"/>
      <c r="K31" s="151"/>
      <c r="L31" s="152"/>
      <c r="M31" s="150"/>
      <c r="N31" s="151"/>
      <c r="O31" s="152"/>
      <c r="P31" s="150"/>
      <c r="Q31" s="151"/>
      <c r="R31" s="153">
        <v>17518</v>
      </c>
      <c r="S31" s="153">
        <v>1946</v>
      </c>
      <c r="T31" s="150"/>
      <c r="U31" s="150"/>
      <c r="V31" s="154"/>
      <c r="W31" s="153"/>
      <c r="X31" s="151"/>
      <c r="Y31" s="153"/>
      <c r="Z31" s="150"/>
      <c r="AA31" s="153"/>
      <c r="AB31" s="156"/>
      <c r="AC31" s="150"/>
      <c r="AD31" s="157"/>
      <c r="AE31" s="157"/>
      <c r="AF31" s="158"/>
      <c r="AG31" s="159"/>
      <c r="AH31" s="149"/>
      <c r="AI31" s="158"/>
      <c r="AJ31" s="149"/>
      <c r="AK31" s="160"/>
      <c r="AL31" s="161"/>
      <c r="AM31" s="159">
        <v>27799</v>
      </c>
      <c r="AN31" s="162"/>
      <c r="AO31" s="159"/>
      <c r="AP31" s="160">
        <v>-2368</v>
      </c>
      <c r="AQ31" s="159"/>
      <c r="AR31" s="160"/>
      <c r="AS31" s="160"/>
      <c r="AT31" s="159">
        <v>3919</v>
      </c>
      <c r="AU31" s="783">
        <v>51038</v>
      </c>
      <c r="AV31" s="784">
        <v>7751</v>
      </c>
      <c r="AW31" s="344"/>
      <c r="AX31" s="151">
        <v>42</v>
      </c>
      <c r="AY31" s="151">
        <v>69</v>
      </c>
      <c r="AZ31" s="151">
        <v>27</v>
      </c>
    </row>
    <row r="32" spans="1:52" ht="15" customHeight="1" x14ac:dyDescent="0.2">
      <c r="A32" s="378">
        <v>26</v>
      </c>
      <c r="B32" s="116" t="s">
        <v>30</v>
      </c>
      <c r="C32" s="117"/>
      <c r="D32" s="118"/>
      <c r="E32" s="119"/>
      <c r="F32" s="120"/>
      <c r="G32" s="118"/>
      <c r="H32" s="119"/>
      <c r="I32" s="120"/>
      <c r="J32" s="118"/>
      <c r="K32" s="119"/>
      <c r="L32" s="120"/>
      <c r="M32" s="118"/>
      <c r="N32" s="119"/>
      <c r="O32" s="120"/>
      <c r="P32" s="118"/>
      <c r="Q32" s="119"/>
      <c r="R32" s="121">
        <v>737988</v>
      </c>
      <c r="S32" s="121">
        <v>81999</v>
      </c>
      <c r="T32" s="118"/>
      <c r="U32" s="118"/>
      <c r="V32" s="122"/>
      <c r="W32" s="121"/>
      <c r="X32" s="119"/>
      <c r="Y32" s="121"/>
      <c r="Z32" s="118"/>
      <c r="AA32" s="121"/>
      <c r="AB32" s="118"/>
      <c r="AC32" s="118"/>
      <c r="AD32" s="121"/>
      <c r="AE32" s="123"/>
      <c r="AF32" s="124"/>
      <c r="AG32" s="125"/>
      <c r="AH32" s="117"/>
      <c r="AI32" s="124"/>
      <c r="AJ32" s="117"/>
      <c r="AK32" s="126"/>
      <c r="AL32" s="127"/>
      <c r="AM32" s="125">
        <v>934822</v>
      </c>
      <c r="AN32" s="128"/>
      <c r="AO32" s="125"/>
      <c r="AP32" s="126">
        <v>-28172</v>
      </c>
      <c r="AQ32" s="125"/>
      <c r="AR32" s="126"/>
      <c r="AS32" s="126"/>
      <c r="AT32" s="125">
        <v>93416</v>
      </c>
      <c r="AU32" s="779">
        <v>1711561</v>
      </c>
      <c r="AV32" s="780">
        <v>176314</v>
      </c>
      <c r="AW32" s="344"/>
      <c r="AX32" s="119">
        <v>2066</v>
      </c>
      <c r="AY32" s="119">
        <v>2337</v>
      </c>
      <c r="AZ32" s="119">
        <v>271</v>
      </c>
    </row>
    <row r="33" spans="1:52" ht="15" customHeight="1" x14ac:dyDescent="0.2">
      <c r="A33" s="383">
        <v>27</v>
      </c>
      <c r="B33" s="134" t="s">
        <v>31</v>
      </c>
      <c r="C33" s="135"/>
      <c r="D33" s="136"/>
      <c r="E33" s="137"/>
      <c r="F33" s="138"/>
      <c r="G33" s="136"/>
      <c r="H33" s="137"/>
      <c r="I33" s="138"/>
      <c r="J33" s="136"/>
      <c r="K33" s="137"/>
      <c r="L33" s="138"/>
      <c r="M33" s="136"/>
      <c r="N33" s="137"/>
      <c r="O33" s="138"/>
      <c r="P33" s="136"/>
      <c r="Q33" s="137"/>
      <c r="R33" s="139">
        <v>36495</v>
      </c>
      <c r="S33" s="139">
        <v>4055</v>
      </c>
      <c r="T33" s="136"/>
      <c r="U33" s="136"/>
      <c r="V33" s="140"/>
      <c r="W33" s="139"/>
      <c r="X33" s="137"/>
      <c r="Y33" s="139"/>
      <c r="Z33" s="136"/>
      <c r="AA33" s="139"/>
      <c r="AB33" s="136"/>
      <c r="AC33" s="136"/>
      <c r="AD33" s="139"/>
      <c r="AE33" s="142"/>
      <c r="AF33" s="143"/>
      <c r="AG33" s="144"/>
      <c r="AH33" s="135"/>
      <c r="AI33" s="143"/>
      <c r="AJ33" s="135"/>
      <c r="AK33" s="145"/>
      <c r="AL33" s="146"/>
      <c r="AM33" s="144">
        <v>6487</v>
      </c>
      <c r="AN33" s="147"/>
      <c r="AO33" s="144"/>
      <c r="AP33" s="145">
        <v>0</v>
      </c>
      <c r="AQ33" s="144"/>
      <c r="AR33" s="145"/>
      <c r="AS33" s="145"/>
      <c r="AT33" s="144">
        <v>-2176</v>
      </c>
      <c r="AU33" s="781">
        <v>18001</v>
      </c>
      <c r="AV33" s="782">
        <v>-5412</v>
      </c>
      <c r="AW33" s="344"/>
      <c r="AX33" s="137">
        <v>57</v>
      </c>
      <c r="AY33" s="137">
        <v>16</v>
      </c>
      <c r="AZ33" s="137">
        <v>-41</v>
      </c>
    </row>
    <row r="34" spans="1:52" ht="15" customHeight="1" x14ac:dyDescent="0.2">
      <c r="A34" s="383">
        <v>28</v>
      </c>
      <c r="B34" s="134" t="s">
        <v>32</v>
      </c>
      <c r="C34" s="135"/>
      <c r="D34" s="136"/>
      <c r="E34" s="137"/>
      <c r="F34" s="138"/>
      <c r="G34" s="136"/>
      <c r="H34" s="137"/>
      <c r="I34" s="138"/>
      <c r="J34" s="136"/>
      <c r="K34" s="137"/>
      <c r="L34" s="138"/>
      <c r="M34" s="136"/>
      <c r="N34" s="137"/>
      <c r="O34" s="138"/>
      <c r="P34" s="136"/>
      <c r="Q34" s="137"/>
      <c r="R34" s="139">
        <v>414255</v>
      </c>
      <c r="S34" s="139">
        <v>46028</v>
      </c>
      <c r="T34" s="136"/>
      <c r="U34" s="136"/>
      <c r="V34" s="140"/>
      <c r="W34" s="139"/>
      <c r="X34" s="137"/>
      <c r="Y34" s="139"/>
      <c r="Z34" s="136"/>
      <c r="AA34" s="139"/>
      <c r="AB34" s="136"/>
      <c r="AC34" s="136"/>
      <c r="AD34" s="139"/>
      <c r="AE34" s="142"/>
      <c r="AF34" s="143"/>
      <c r="AG34" s="144"/>
      <c r="AH34" s="135"/>
      <c r="AI34" s="143"/>
      <c r="AJ34" s="135"/>
      <c r="AK34" s="145"/>
      <c r="AL34" s="146"/>
      <c r="AM34" s="144">
        <v>575517</v>
      </c>
      <c r="AN34" s="147"/>
      <c r="AO34" s="144"/>
      <c r="AP34" s="145">
        <v>-20826</v>
      </c>
      <c r="AQ34" s="144"/>
      <c r="AR34" s="145"/>
      <c r="AS34" s="145"/>
      <c r="AT34" s="144">
        <v>53760</v>
      </c>
      <c r="AU34" s="781">
        <v>969298</v>
      </c>
      <c r="AV34" s="782">
        <v>91074</v>
      </c>
      <c r="AW34" s="344"/>
      <c r="AX34" s="137">
        <v>1324</v>
      </c>
      <c r="AY34" s="137">
        <v>1439</v>
      </c>
      <c r="AZ34" s="137">
        <v>115</v>
      </c>
    </row>
    <row r="35" spans="1:52" ht="15" customHeight="1" x14ac:dyDescent="0.2">
      <c r="A35" s="383">
        <v>29</v>
      </c>
      <c r="B35" s="134" t="s">
        <v>33</v>
      </c>
      <c r="C35" s="135"/>
      <c r="D35" s="136"/>
      <c r="E35" s="137"/>
      <c r="F35" s="138"/>
      <c r="G35" s="136"/>
      <c r="H35" s="137"/>
      <c r="I35" s="138"/>
      <c r="J35" s="136"/>
      <c r="K35" s="137"/>
      <c r="L35" s="138"/>
      <c r="M35" s="136"/>
      <c r="N35" s="137"/>
      <c r="O35" s="138"/>
      <c r="P35" s="136"/>
      <c r="Q35" s="137"/>
      <c r="R35" s="139">
        <v>453168</v>
      </c>
      <c r="S35" s="139">
        <v>50352</v>
      </c>
      <c r="T35" s="136"/>
      <c r="U35" s="136"/>
      <c r="V35" s="140"/>
      <c r="W35" s="139"/>
      <c r="X35" s="137"/>
      <c r="Y35" s="139"/>
      <c r="Z35" s="136"/>
      <c r="AA35" s="139"/>
      <c r="AB35" s="136"/>
      <c r="AC35" s="136"/>
      <c r="AD35" s="139"/>
      <c r="AE35" s="142"/>
      <c r="AF35" s="143"/>
      <c r="AG35" s="144"/>
      <c r="AH35" s="135"/>
      <c r="AI35" s="143"/>
      <c r="AJ35" s="135"/>
      <c r="AK35" s="145"/>
      <c r="AL35" s="146"/>
      <c r="AM35" s="144">
        <v>301862</v>
      </c>
      <c r="AN35" s="147"/>
      <c r="AO35" s="144"/>
      <c r="AP35" s="145">
        <v>-27219</v>
      </c>
      <c r="AQ35" s="144"/>
      <c r="AR35" s="145"/>
      <c r="AS35" s="145"/>
      <c r="AT35" s="144">
        <v>-4218</v>
      </c>
      <c r="AU35" s="781">
        <v>548097</v>
      </c>
      <c r="AV35" s="782">
        <v>-7182</v>
      </c>
      <c r="AW35" s="344"/>
      <c r="AX35" s="137">
        <v>1161</v>
      </c>
      <c r="AY35" s="137">
        <v>755</v>
      </c>
      <c r="AZ35" s="137">
        <v>-406</v>
      </c>
    </row>
    <row r="36" spans="1:52" ht="15" customHeight="1" x14ac:dyDescent="0.2">
      <c r="A36" s="388">
        <v>30</v>
      </c>
      <c r="B36" s="148" t="s">
        <v>34</v>
      </c>
      <c r="C36" s="149"/>
      <c r="D36" s="150"/>
      <c r="E36" s="151"/>
      <c r="F36" s="152"/>
      <c r="G36" s="150"/>
      <c r="H36" s="151"/>
      <c r="I36" s="152"/>
      <c r="J36" s="150"/>
      <c r="K36" s="151"/>
      <c r="L36" s="152"/>
      <c r="M36" s="150"/>
      <c r="N36" s="151"/>
      <c r="O36" s="152"/>
      <c r="P36" s="150"/>
      <c r="Q36" s="151"/>
      <c r="R36" s="153">
        <v>46742</v>
      </c>
      <c r="S36" s="153">
        <v>5194</v>
      </c>
      <c r="T36" s="150"/>
      <c r="U36" s="150"/>
      <c r="V36" s="154"/>
      <c r="W36" s="153"/>
      <c r="X36" s="151"/>
      <c r="Y36" s="153"/>
      <c r="Z36" s="150"/>
      <c r="AA36" s="153"/>
      <c r="AB36" s="156"/>
      <c r="AC36" s="150"/>
      <c r="AD36" s="157"/>
      <c r="AE36" s="157"/>
      <c r="AF36" s="158"/>
      <c r="AG36" s="159"/>
      <c r="AH36" s="149"/>
      <c r="AI36" s="158"/>
      <c r="AJ36" s="149"/>
      <c r="AK36" s="160"/>
      <c r="AL36" s="161"/>
      <c r="AM36" s="159">
        <v>40354</v>
      </c>
      <c r="AN36" s="162"/>
      <c r="AO36" s="159"/>
      <c r="AP36" s="160">
        <v>0</v>
      </c>
      <c r="AQ36" s="159"/>
      <c r="AR36" s="160"/>
      <c r="AS36" s="160"/>
      <c r="AT36" s="159">
        <v>4193</v>
      </c>
      <c r="AU36" s="783">
        <v>86878</v>
      </c>
      <c r="AV36" s="784">
        <v>8079</v>
      </c>
      <c r="AW36" s="344"/>
      <c r="AX36" s="151">
        <v>88</v>
      </c>
      <c r="AY36" s="151">
        <v>101</v>
      </c>
      <c r="AZ36" s="151">
        <v>13</v>
      </c>
    </row>
    <row r="37" spans="1:52" ht="15" customHeight="1" x14ac:dyDescent="0.2">
      <c r="A37" s="378">
        <v>31</v>
      </c>
      <c r="B37" s="116" t="s">
        <v>35</v>
      </c>
      <c r="C37" s="117"/>
      <c r="D37" s="118"/>
      <c r="E37" s="119"/>
      <c r="F37" s="120"/>
      <c r="G37" s="118"/>
      <c r="H37" s="119"/>
      <c r="I37" s="120"/>
      <c r="J37" s="118"/>
      <c r="K37" s="119"/>
      <c r="L37" s="120"/>
      <c r="M37" s="118"/>
      <c r="N37" s="119"/>
      <c r="O37" s="120"/>
      <c r="P37" s="118"/>
      <c r="Q37" s="119"/>
      <c r="R37" s="121">
        <v>32121</v>
      </c>
      <c r="S37" s="121">
        <v>3569</v>
      </c>
      <c r="T37" s="118"/>
      <c r="U37" s="118"/>
      <c r="V37" s="122"/>
      <c r="W37" s="121"/>
      <c r="X37" s="119"/>
      <c r="Y37" s="121"/>
      <c r="Z37" s="118"/>
      <c r="AA37" s="121"/>
      <c r="AB37" s="118"/>
      <c r="AC37" s="118"/>
      <c r="AD37" s="121"/>
      <c r="AE37" s="123"/>
      <c r="AF37" s="124"/>
      <c r="AG37" s="125"/>
      <c r="AH37" s="117"/>
      <c r="AI37" s="124"/>
      <c r="AJ37" s="117"/>
      <c r="AK37" s="126"/>
      <c r="AL37" s="127"/>
      <c r="AM37" s="125">
        <v>27279</v>
      </c>
      <c r="AN37" s="128"/>
      <c r="AO37" s="125"/>
      <c r="AP37" s="126">
        <v>0</v>
      </c>
      <c r="AQ37" s="125"/>
      <c r="AR37" s="126"/>
      <c r="AS37" s="126"/>
      <c r="AT37" s="125">
        <v>317</v>
      </c>
      <c r="AU37" s="779">
        <v>51344</v>
      </c>
      <c r="AV37" s="780">
        <v>1010</v>
      </c>
      <c r="AW37" s="344"/>
      <c r="AX37" s="119">
        <v>98</v>
      </c>
      <c r="AY37" s="119">
        <v>68</v>
      </c>
      <c r="AZ37" s="119">
        <v>-30</v>
      </c>
    </row>
    <row r="38" spans="1:52" ht="15" customHeight="1" x14ac:dyDescent="0.2">
      <c r="A38" s="383">
        <v>32</v>
      </c>
      <c r="B38" s="134" t="s">
        <v>36</v>
      </c>
      <c r="C38" s="135"/>
      <c r="D38" s="136"/>
      <c r="E38" s="137"/>
      <c r="F38" s="138"/>
      <c r="G38" s="136"/>
      <c r="H38" s="137"/>
      <c r="I38" s="138"/>
      <c r="J38" s="136"/>
      <c r="K38" s="137"/>
      <c r="L38" s="138"/>
      <c r="M38" s="136"/>
      <c r="N38" s="137"/>
      <c r="O38" s="138"/>
      <c r="P38" s="136"/>
      <c r="Q38" s="137"/>
      <c r="R38" s="139">
        <v>1173547</v>
      </c>
      <c r="S38" s="139">
        <v>130394</v>
      </c>
      <c r="T38" s="136"/>
      <c r="U38" s="136"/>
      <c r="V38" s="140"/>
      <c r="W38" s="139"/>
      <c r="X38" s="137"/>
      <c r="Y38" s="139"/>
      <c r="Z38" s="136"/>
      <c r="AA38" s="139"/>
      <c r="AB38" s="136"/>
      <c r="AC38" s="136"/>
      <c r="AD38" s="139"/>
      <c r="AE38" s="142"/>
      <c r="AF38" s="143"/>
      <c r="AG38" s="144"/>
      <c r="AH38" s="135"/>
      <c r="AI38" s="143"/>
      <c r="AJ38" s="135"/>
      <c r="AK38" s="145"/>
      <c r="AL38" s="146"/>
      <c r="AM38" s="144">
        <v>601632</v>
      </c>
      <c r="AN38" s="147"/>
      <c r="AO38" s="144"/>
      <c r="AP38" s="145">
        <v>-6682</v>
      </c>
      <c r="AQ38" s="144"/>
      <c r="AR38" s="145"/>
      <c r="AS38" s="145"/>
      <c r="AT38" s="144">
        <v>68202</v>
      </c>
      <c r="AU38" s="781">
        <v>2041288</v>
      </c>
      <c r="AV38" s="782">
        <v>236243</v>
      </c>
      <c r="AW38" s="344"/>
      <c r="AX38" s="137">
        <v>1222</v>
      </c>
      <c r="AY38" s="137">
        <v>1504</v>
      </c>
      <c r="AZ38" s="137">
        <v>282</v>
      </c>
    </row>
    <row r="39" spans="1:52" ht="15" customHeight="1" x14ac:dyDescent="0.2">
      <c r="A39" s="383">
        <v>33</v>
      </c>
      <c r="B39" s="134" t="s">
        <v>37</v>
      </c>
      <c r="C39" s="135"/>
      <c r="D39" s="136"/>
      <c r="E39" s="137"/>
      <c r="F39" s="138"/>
      <c r="G39" s="136"/>
      <c r="H39" s="137"/>
      <c r="I39" s="138"/>
      <c r="J39" s="136"/>
      <c r="K39" s="137"/>
      <c r="L39" s="138"/>
      <c r="M39" s="136"/>
      <c r="N39" s="137"/>
      <c r="O39" s="138"/>
      <c r="P39" s="136"/>
      <c r="Q39" s="137"/>
      <c r="R39" s="139">
        <v>1962316</v>
      </c>
      <c r="S39" s="139">
        <v>218035</v>
      </c>
      <c r="T39" s="136"/>
      <c r="U39" s="136"/>
      <c r="V39" s="140"/>
      <c r="W39" s="139"/>
      <c r="X39" s="137"/>
      <c r="Y39" s="139"/>
      <c r="Z39" s="136"/>
      <c r="AA39" s="139"/>
      <c r="AB39" s="136"/>
      <c r="AC39" s="136"/>
      <c r="AD39" s="139"/>
      <c r="AE39" s="142"/>
      <c r="AF39" s="143"/>
      <c r="AG39" s="144"/>
      <c r="AH39" s="135"/>
      <c r="AI39" s="143"/>
      <c r="AJ39" s="135"/>
      <c r="AK39" s="145"/>
      <c r="AL39" s="146"/>
      <c r="AM39" s="144">
        <v>1084528</v>
      </c>
      <c r="AN39" s="147"/>
      <c r="AO39" s="144"/>
      <c r="AP39" s="145">
        <v>0</v>
      </c>
      <c r="AQ39" s="144"/>
      <c r="AR39" s="145"/>
      <c r="AS39" s="145"/>
      <c r="AT39" s="144">
        <v>50452</v>
      </c>
      <c r="AU39" s="781">
        <v>2813078</v>
      </c>
      <c r="AV39" s="782">
        <v>157032</v>
      </c>
      <c r="AW39" s="344"/>
      <c r="AX39" s="137">
        <v>3308</v>
      </c>
      <c r="AY39" s="137">
        <v>2711</v>
      </c>
      <c r="AZ39" s="137">
        <v>-597</v>
      </c>
    </row>
    <row r="40" spans="1:52" ht="15" customHeight="1" x14ac:dyDescent="0.2">
      <c r="A40" s="383">
        <v>34</v>
      </c>
      <c r="B40" s="134" t="s">
        <v>38</v>
      </c>
      <c r="C40" s="135"/>
      <c r="D40" s="136"/>
      <c r="E40" s="137"/>
      <c r="F40" s="138"/>
      <c r="G40" s="136"/>
      <c r="H40" s="137"/>
      <c r="I40" s="138"/>
      <c r="J40" s="136"/>
      <c r="K40" s="137"/>
      <c r="L40" s="138"/>
      <c r="M40" s="136"/>
      <c r="N40" s="137"/>
      <c r="O40" s="138"/>
      <c r="P40" s="136"/>
      <c r="Q40" s="137"/>
      <c r="R40" s="139">
        <v>137767</v>
      </c>
      <c r="S40" s="139">
        <v>15307</v>
      </c>
      <c r="T40" s="136"/>
      <c r="U40" s="136"/>
      <c r="V40" s="140"/>
      <c r="W40" s="139"/>
      <c r="X40" s="137"/>
      <c r="Y40" s="139"/>
      <c r="Z40" s="136"/>
      <c r="AA40" s="139"/>
      <c r="AB40" s="136"/>
      <c r="AC40" s="136"/>
      <c r="AD40" s="139"/>
      <c r="AE40" s="142"/>
      <c r="AF40" s="143"/>
      <c r="AG40" s="144"/>
      <c r="AH40" s="135"/>
      <c r="AI40" s="143"/>
      <c r="AJ40" s="135"/>
      <c r="AK40" s="145"/>
      <c r="AL40" s="146"/>
      <c r="AM40" s="144">
        <v>68229</v>
      </c>
      <c r="AN40" s="147"/>
      <c r="AO40" s="144"/>
      <c r="AP40" s="145">
        <v>-1375</v>
      </c>
      <c r="AQ40" s="144"/>
      <c r="AR40" s="145"/>
      <c r="AS40" s="145"/>
      <c r="AT40" s="144">
        <v>6169</v>
      </c>
      <c r="AU40" s="781">
        <v>204523</v>
      </c>
      <c r="AV40" s="782">
        <v>18167</v>
      </c>
      <c r="AW40" s="344"/>
      <c r="AX40" s="137">
        <v>161</v>
      </c>
      <c r="AY40" s="137">
        <v>171</v>
      </c>
      <c r="AZ40" s="137">
        <v>10</v>
      </c>
    </row>
    <row r="41" spans="1:52" ht="15" customHeight="1" x14ac:dyDescent="0.2">
      <c r="A41" s="388">
        <v>35</v>
      </c>
      <c r="B41" s="148" t="s">
        <v>39</v>
      </c>
      <c r="C41" s="149"/>
      <c r="D41" s="150"/>
      <c r="E41" s="151"/>
      <c r="F41" s="152"/>
      <c r="G41" s="150"/>
      <c r="H41" s="151"/>
      <c r="I41" s="152"/>
      <c r="J41" s="150"/>
      <c r="K41" s="151"/>
      <c r="L41" s="152"/>
      <c r="M41" s="150"/>
      <c r="N41" s="151"/>
      <c r="O41" s="152"/>
      <c r="P41" s="150"/>
      <c r="Q41" s="151"/>
      <c r="R41" s="153">
        <v>100816</v>
      </c>
      <c r="S41" s="153">
        <v>11202</v>
      </c>
      <c r="T41" s="150"/>
      <c r="U41" s="150"/>
      <c r="V41" s="154"/>
      <c r="W41" s="153"/>
      <c r="X41" s="151"/>
      <c r="Y41" s="153"/>
      <c r="Z41" s="150"/>
      <c r="AA41" s="153"/>
      <c r="AB41" s="156"/>
      <c r="AC41" s="150"/>
      <c r="AD41" s="157"/>
      <c r="AE41" s="157"/>
      <c r="AF41" s="158"/>
      <c r="AG41" s="159"/>
      <c r="AH41" s="149"/>
      <c r="AI41" s="158"/>
      <c r="AJ41" s="149"/>
      <c r="AK41" s="160"/>
      <c r="AL41" s="161"/>
      <c r="AM41" s="159">
        <v>37689</v>
      </c>
      <c r="AN41" s="162"/>
      <c r="AO41" s="159"/>
      <c r="AP41" s="160">
        <v>0</v>
      </c>
      <c r="AQ41" s="159"/>
      <c r="AR41" s="160"/>
      <c r="AS41" s="160"/>
      <c r="AT41" s="159">
        <v>-2481</v>
      </c>
      <c r="AU41" s="783">
        <v>97946</v>
      </c>
      <c r="AV41" s="784">
        <v>-4199</v>
      </c>
      <c r="AW41" s="344"/>
      <c r="AX41" s="151">
        <v>179</v>
      </c>
      <c r="AY41" s="151">
        <v>94</v>
      </c>
      <c r="AZ41" s="151">
        <v>-85</v>
      </c>
    </row>
    <row r="42" spans="1:52" ht="15" customHeight="1" x14ac:dyDescent="0.2">
      <c r="A42" s="378">
        <v>36</v>
      </c>
      <c r="B42" s="116" t="s">
        <v>40</v>
      </c>
      <c r="C42" s="117"/>
      <c r="D42" s="118"/>
      <c r="E42" s="119"/>
      <c r="F42" s="120"/>
      <c r="G42" s="118"/>
      <c r="H42" s="119"/>
      <c r="I42" s="120"/>
      <c r="J42" s="118"/>
      <c r="K42" s="119"/>
      <c r="L42" s="120"/>
      <c r="M42" s="118"/>
      <c r="N42" s="119"/>
      <c r="O42" s="120"/>
      <c r="P42" s="118"/>
      <c r="Q42" s="119"/>
      <c r="R42" s="121">
        <v>284785</v>
      </c>
      <c r="S42" s="121">
        <v>31643</v>
      </c>
      <c r="T42" s="118"/>
      <c r="U42" s="118"/>
      <c r="V42" s="122"/>
      <c r="W42" s="121"/>
      <c r="X42" s="119"/>
      <c r="Y42" s="121"/>
      <c r="Z42" s="118"/>
      <c r="AA42" s="121"/>
      <c r="AB42" s="118"/>
      <c r="AC42" s="118"/>
      <c r="AD42" s="121"/>
      <c r="AE42" s="123"/>
      <c r="AF42" s="124"/>
      <c r="AG42" s="125"/>
      <c r="AH42" s="117"/>
      <c r="AI42" s="124"/>
      <c r="AJ42" s="117"/>
      <c r="AK42" s="126"/>
      <c r="AL42" s="127"/>
      <c r="AM42" s="125">
        <v>391327</v>
      </c>
      <c r="AN42" s="128"/>
      <c r="AO42" s="125"/>
      <c r="AP42" s="126">
        <v>-5536</v>
      </c>
      <c r="AQ42" s="125"/>
      <c r="AR42" s="126"/>
      <c r="AS42" s="126"/>
      <c r="AT42" s="125">
        <v>22983</v>
      </c>
      <c r="AU42" s="779">
        <v>632694</v>
      </c>
      <c r="AV42" s="780">
        <v>38080</v>
      </c>
      <c r="AW42" s="344"/>
      <c r="AX42" s="119">
        <v>1115</v>
      </c>
      <c r="AY42" s="119">
        <v>978</v>
      </c>
      <c r="AZ42" s="119">
        <v>-137</v>
      </c>
    </row>
    <row r="43" spans="1:52" ht="15" customHeight="1" x14ac:dyDescent="0.2">
      <c r="A43" s="383">
        <v>37</v>
      </c>
      <c r="B43" s="134" t="s">
        <v>41</v>
      </c>
      <c r="C43" s="135"/>
      <c r="D43" s="136"/>
      <c r="E43" s="137"/>
      <c r="F43" s="138"/>
      <c r="G43" s="136"/>
      <c r="H43" s="137"/>
      <c r="I43" s="138"/>
      <c r="J43" s="136"/>
      <c r="K43" s="137"/>
      <c r="L43" s="138"/>
      <c r="M43" s="136"/>
      <c r="N43" s="137"/>
      <c r="O43" s="138"/>
      <c r="P43" s="136"/>
      <c r="Q43" s="137"/>
      <c r="R43" s="139">
        <v>282140</v>
      </c>
      <c r="S43" s="139">
        <v>31349</v>
      </c>
      <c r="T43" s="136"/>
      <c r="U43" s="136"/>
      <c r="V43" s="140"/>
      <c r="W43" s="139"/>
      <c r="X43" s="137"/>
      <c r="Y43" s="139"/>
      <c r="Z43" s="136"/>
      <c r="AA43" s="139"/>
      <c r="AB43" s="136"/>
      <c r="AC43" s="136"/>
      <c r="AD43" s="139"/>
      <c r="AE43" s="142"/>
      <c r="AF43" s="143"/>
      <c r="AG43" s="144"/>
      <c r="AH43" s="135"/>
      <c r="AI43" s="143"/>
      <c r="AJ43" s="135"/>
      <c r="AK43" s="145"/>
      <c r="AL43" s="146"/>
      <c r="AM43" s="144">
        <v>221080</v>
      </c>
      <c r="AN43" s="147"/>
      <c r="AO43" s="144"/>
      <c r="AP43" s="145">
        <v>-3477</v>
      </c>
      <c r="AQ43" s="144"/>
      <c r="AR43" s="145"/>
      <c r="AS43" s="145"/>
      <c r="AT43" s="144">
        <v>26487</v>
      </c>
      <c r="AU43" s="781">
        <v>564269</v>
      </c>
      <c r="AV43" s="782">
        <v>67198</v>
      </c>
      <c r="AW43" s="344"/>
      <c r="AX43" s="137">
        <v>426</v>
      </c>
      <c r="AY43" s="137">
        <v>553</v>
      </c>
      <c r="AZ43" s="137">
        <v>127</v>
      </c>
    </row>
    <row r="44" spans="1:52" ht="15" customHeight="1" x14ac:dyDescent="0.2">
      <c r="A44" s="383">
        <v>38</v>
      </c>
      <c r="B44" s="134" t="s">
        <v>42</v>
      </c>
      <c r="C44" s="135"/>
      <c r="D44" s="136"/>
      <c r="E44" s="137"/>
      <c r="F44" s="138"/>
      <c r="G44" s="136"/>
      <c r="H44" s="137"/>
      <c r="I44" s="138"/>
      <c r="J44" s="136"/>
      <c r="K44" s="137"/>
      <c r="L44" s="138"/>
      <c r="M44" s="136"/>
      <c r="N44" s="137"/>
      <c r="O44" s="138"/>
      <c r="P44" s="136"/>
      <c r="Q44" s="137"/>
      <c r="R44" s="139">
        <v>37833</v>
      </c>
      <c r="S44" s="139">
        <v>4204</v>
      </c>
      <c r="T44" s="136"/>
      <c r="U44" s="136"/>
      <c r="V44" s="140"/>
      <c r="W44" s="139"/>
      <c r="X44" s="137"/>
      <c r="Y44" s="139"/>
      <c r="Z44" s="136"/>
      <c r="AA44" s="139"/>
      <c r="AB44" s="136"/>
      <c r="AC44" s="136"/>
      <c r="AD44" s="139"/>
      <c r="AE44" s="142"/>
      <c r="AF44" s="143"/>
      <c r="AG44" s="144"/>
      <c r="AH44" s="135"/>
      <c r="AI44" s="143"/>
      <c r="AJ44" s="135"/>
      <c r="AK44" s="145"/>
      <c r="AL44" s="146"/>
      <c r="AM44" s="144">
        <v>128267</v>
      </c>
      <c r="AN44" s="147"/>
      <c r="AO44" s="144"/>
      <c r="AP44" s="145">
        <v>0</v>
      </c>
      <c r="AQ44" s="144"/>
      <c r="AR44" s="145"/>
      <c r="AS44" s="145"/>
      <c r="AT44" s="144">
        <v>6009</v>
      </c>
      <c r="AU44" s="781">
        <v>158974</v>
      </c>
      <c r="AV44" s="782">
        <v>7476</v>
      </c>
      <c r="AW44" s="344"/>
      <c r="AX44" s="137">
        <v>391</v>
      </c>
      <c r="AY44" s="137">
        <v>321</v>
      </c>
      <c r="AZ44" s="137">
        <v>-70</v>
      </c>
    </row>
    <row r="45" spans="1:52" ht="15" customHeight="1" x14ac:dyDescent="0.2">
      <c r="A45" s="383">
        <v>39</v>
      </c>
      <c r="B45" s="134" t="s">
        <v>43</v>
      </c>
      <c r="C45" s="135"/>
      <c r="D45" s="136"/>
      <c r="E45" s="137"/>
      <c r="F45" s="138"/>
      <c r="G45" s="136"/>
      <c r="H45" s="137"/>
      <c r="I45" s="138"/>
      <c r="J45" s="136"/>
      <c r="K45" s="137"/>
      <c r="L45" s="138"/>
      <c r="M45" s="136"/>
      <c r="N45" s="137"/>
      <c r="O45" s="138"/>
      <c r="P45" s="136"/>
      <c r="Q45" s="137"/>
      <c r="R45" s="139">
        <v>75103</v>
      </c>
      <c r="S45" s="139">
        <v>8345</v>
      </c>
      <c r="T45" s="136"/>
      <c r="U45" s="136"/>
      <c r="V45" s="140"/>
      <c r="W45" s="139"/>
      <c r="X45" s="137"/>
      <c r="Y45" s="139"/>
      <c r="Z45" s="136"/>
      <c r="AA45" s="139"/>
      <c r="AB45" s="136"/>
      <c r="AC45" s="136"/>
      <c r="AD45" s="139"/>
      <c r="AE45" s="142"/>
      <c r="AF45" s="143"/>
      <c r="AG45" s="144"/>
      <c r="AH45" s="135"/>
      <c r="AI45" s="143"/>
      <c r="AJ45" s="135"/>
      <c r="AK45" s="145"/>
      <c r="AL45" s="146"/>
      <c r="AM45" s="144">
        <v>70913</v>
      </c>
      <c r="AN45" s="147"/>
      <c r="AO45" s="144"/>
      <c r="AP45" s="145">
        <v>0</v>
      </c>
      <c r="AQ45" s="144"/>
      <c r="AR45" s="145"/>
      <c r="AS45" s="145"/>
      <c r="AT45" s="144">
        <v>22</v>
      </c>
      <c r="AU45" s="781">
        <v>119980</v>
      </c>
      <c r="AV45" s="782">
        <v>-153</v>
      </c>
      <c r="AW45" s="344"/>
      <c r="AX45" s="137">
        <v>266</v>
      </c>
      <c r="AY45" s="137">
        <v>177</v>
      </c>
      <c r="AZ45" s="137">
        <v>-89</v>
      </c>
    </row>
    <row r="46" spans="1:52" ht="15" customHeight="1" x14ac:dyDescent="0.2">
      <c r="A46" s="388">
        <v>40</v>
      </c>
      <c r="B46" s="148" t="s">
        <v>44</v>
      </c>
      <c r="C46" s="149"/>
      <c r="D46" s="150"/>
      <c r="E46" s="151"/>
      <c r="F46" s="152"/>
      <c r="G46" s="150"/>
      <c r="H46" s="151"/>
      <c r="I46" s="152"/>
      <c r="J46" s="150"/>
      <c r="K46" s="151"/>
      <c r="L46" s="152"/>
      <c r="M46" s="150"/>
      <c r="N46" s="151"/>
      <c r="O46" s="152"/>
      <c r="P46" s="150"/>
      <c r="Q46" s="151"/>
      <c r="R46" s="153">
        <v>326550</v>
      </c>
      <c r="S46" s="153">
        <v>36283</v>
      </c>
      <c r="T46" s="150"/>
      <c r="U46" s="150"/>
      <c r="V46" s="154"/>
      <c r="W46" s="153"/>
      <c r="X46" s="151"/>
      <c r="Y46" s="153"/>
      <c r="Z46" s="150"/>
      <c r="AA46" s="153"/>
      <c r="AB46" s="156"/>
      <c r="AC46" s="150"/>
      <c r="AD46" s="157"/>
      <c r="AE46" s="157"/>
      <c r="AF46" s="158"/>
      <c r="AG46" s="159"/>
      <c r="AH46" s="149"/>
      <c r="AI46" s="158"/>
      <c r="AJ46" s="149"/>
      <c r="AK46" s="160"/>
      <c r="AL46" s="161"/>
      <c r="AM46" s="159">
        <v>296518</v>
      </c>
      <c r="AN46" s="162"/>
      <c r="AO46" s="159"/>
      <c r="AP46" s="160">
        <v>-3616</v>
      </c>
      <c r="AQ46" s="159"/>
      <c r="AR46" s="160"/>
      <c r="AS46" s="160"/>
      <c r="AT46" s="159">
        <v>38667</v>
      </c>
      <c r="AU46" s="783">
        <v>730003</v>
      </c>
      <c r="AV46" s="784">
        <v>94515</v>
      </c>
      <c r="AW46" s="344"/>
      <c r="AX46" s="151">
        <v>526</v>
      </c>
      <c r="AY46" s="151">
        <v>741</v>
      </c>
      <c r="AZ46" s="151">
        <v>215</v>
      </c>
    </row>
    <row r="47" spans="1:52" ht="15" customHeight="1" x14ac:dyDescent="0.2">
      <c r="A47" s="378">
        <v>41</v>
      </c>
      <c r="B47" s="116" t="s">
        <v>45</v>
      </c>
      <c r="C47" s="117"/>
      <c r="D47" s="118"/>
      <c r="E47" s="119"/>
      <c r="F47" s="120"/>
      <c r="G47" s="118"/>
      <c r="H47" s="119"/>
      <c r="I47" s="120"/>
      <c r="J47" s="118"/>
      <c r="K47" s="119"/>
      <c r="L47" s="120"/>
      <c r="M47" s="118"/>
      <c r="N47" s="119"/>
      <c r="O47" s="120"/>
      <c r="P47" s="118"/>
      <c r="Q47" s="119"/>
      <c r="R47" s="121">
        <v>16351</v>
      </c>
      <c r="S47" s="121">
        <v>1817</v>
      </c>
      <c r="T47" s="118"/>
      <c r="U47" s="118"/>
      <c r="V47" s="122"/>
      <c r="W47" s="121"/>
      <c r="X47" s="119"/>
      <c r="Y47" s="121"/>
      <c r="Z47" s="118"/>
      <c r="AA47" s="121"/>
      <c r="AB47" s="118"/>
      <c r="AC47" s="118"/>
      <c r="AD47" s="121"/>
      <c r="AE47" s="123"/>
      <c r="AF47" s="124"/>
      <c r="AG47" s="125"/>
      <c r="AH47" s="117"/>
      <c r="AI47" s="124"/>
      <c r="AJ47" s="117"/>
      <c r="AK47" s="126"/>
      <c r="AL47" s="127"/>
      <c r="AM47" s="125">
        <v>34643</v>
      </c>
      <c r="AN47" s="128"/>
      <c r="AO47" s="125"/>
      <c r="AP47" s="126">
        <v>0</v>
      </c>
      <c r="AQ47" s="125"/>
      <c r="AR47" s="126"/>
      <c r="AS47" s="126"/>
      <c r="AT47" s="125">
        <v>-1405</v>
      </c>
      <c r="AU47" s="779">
        <v>43135</v>
      </c>
      <c r="AV47" s="780">
        <v>-1978</v>
      </c>
      <c r="AW47" s="344"/>
      <c r="AX47" s="119">
        <v>151</v>
      </c>
      <c r="AY47" s="119">
        <v>87</v>
      </c>
      <c r="AZ47" s="119">
        <v>-64</v>
      </c>
    </row>
    <row r="48" spans="1:52" ht="15" customHeight="1" x14ac:dyDescent="0.2">
      <c r="A48" s="383">
        <v>42</v>
      </c>
      <c r="B48" s="134" t="s">
        <v>46</v>
      </c>
      <c r="C48" s="135"/>
      <c r="D48" s="136"/>
      <c r="E48" s="137"/>
      <c r="F48" s="138"/>
      <c r="G48" s="136"/>
      <c r="H48" s="137"/>
      <c r="I48" s="138"/>
      <c r="J48" s="136"/>
      <c r="K48" s="137"/>
      <c r="L48" s="138"/>
      <c r="M48" s="136"/>
      <c r="N48" s="137"/>
      <c r="O48" s="138"/>
      <c r="P48" s="136"/>
      <c r="Q48" s="137"/>
      <c r="R48" s="139">
        <v>123935</v>
      </c>
      <c r="S48" s="139">
        <v>13771</v>
      </c>
      <c r="T48" s="136"/>
      <c r="U48" s="136"/>
      <c r="V48" s="140"/>
      <c r="W48" s="139"/>
      <c r="X48" s="137"/>
      <c r="Y48" s="139"/>
      <c r="Z48" s="136"/>
      <c r="AA48" s="139"/>
      <c r="AB48" s="136"/>
      <c r="AC48" s="136"/>
      <c r="AD48" s="139"/>
      <c r="AE48" s="142"/>
      <c r="AF48" s="143"/>
      <c r="AG48" s="144"/>
      <c r="AH48" s="135"/>
      <c r="AI48" s="143"/>
      <c r="AJ48" s="135"/>
      <c r="AK48" s="145"/>
      <c r="AL48" s="146"/>
      <c r="AM48" s="144">
        <v>77793</v>
      </c>
      <c r="AN48" s="147"/>
      <c r="AO48" s="144"/>
      <c r="AP48" s="145">
        <v>0</v>
      </c>
      <c r="AQ48" s="144"/>
      <c r="AR48" s="145"/>
      <c r="AS48" s="145"/>
      <c r="AT48" s="144">
        <v>122</v>
      </c>
      <c r="AU48" s="781">
        <v>163647</v>
      </c>
      <c r="AV48" s="782">
        <v>1030</v>
      </c>
      <c r="AW48" s="344"/>
      <c r="AX48" s="137">
        <v>290</v>
      </c>
      <c r="AY48" s="137">
        <v>194</v>
      </c>
      <c r="AZ48" s="137">
        <v>-96</v>
      </c>
    </row>
    <row r="49" spans="1:52" ht="15" customHeight="1" x14ac:dyDescent="0.2">
      <c r="A49" s="383">
        <v>43</v>
      </c>
      <c r="B49" s="134" t="s">
        <v>47</v>
      </c>
      <c r="C49" s="135"/>
      <c r="D49" s="136"/>
      <c r="E49" s="137"/>
      <c r="F49" s="138"/>
      <c r="G49" s="136"/>
      <c r="H49" s="137"/>
      <c r="I49" s="138"/>
      <c r="J49" s="136"/>
      <c r="K49" s="137"/>
      <c r="L49" s="138"/>
      <c r="M49" s="136"/>
      <c r="N49" s="137"/>
      <c r="O49" s="138"/>
      <c r="P49" s="136"/>
      <c r="Q49" s="137"/>
      <c r="R49" s="139">
        <v>30143</v>
      </c>
      <c r="S49" s="139">
        <v>3349</v>
      </c>
      <c r="T49" s="136"/>
      <c r="U49" s="136"/>
      <c r="V49" s="140"/>
      <c r="W49" s="139"/>
      <c r="X49" s="137"/>
      <c r="Y49" s="139"/>
      <c r="Z49" s="136"/>
      <c r="AA49" s="139"/>
      <c r="AB49" s="136"/>
      <c r="AC49" s="136"/>
      <c r="AD49" s="139"/>
      <c r="AE49" s="142"/>
      <c r="AF49" s="143"/>
      <c r="AG49" s="144"/>
      <c r="AH49" s="135"/>
      <c r="AI49" s="143"/>
      <c r="AJ49" s="135"/>
      <c r="AK49" s="145"/>
      <c r="AL49" s="146"/>
      <c r="AM49" s="144">
        <v>29565</v>
      </c>
      <c r="AN49" s="147"/>
      <c r="AO49" s="144"/>
      <c r="AP49" s="145">
        <v>0</v>
      </c>
      <c r="AQ49" s="144"/>
      <c r="AR49" s="145"/>
      <c r="AS49" s="145"/>
      <c r="AT49" s="144">
        <v>4343</v>
      </c>
      <c r="AU49" s="781">
        <v>76182</v>
      </c>
      <c r="AV49" s="782">
        <v>10954</v>
      </c>
      <c r="AW49" s="344"/>
      <c r="AX49" s="137">
        <v>46</v>
      </c>
      <c r="AY49" s="137">
        <v>74</v>
      </c>
      <c r="AZ49" s="137">
        <v>28</v>
      </c>
    </row>
    <row r="50" spans="1:52" ht="15" customHeight="1" x14ac:dyDescent="0.2">
      <c r="A50" s="383">
        <v>44</v>
      </c>
      <c r="B50" s="134" t="s">
        <v>48</v>
      </c>
      <c r="C50" s="135"/>
      <c r="D50" s="136"/>
      <c r="E50" s="137"/>
      <c r="F50" s="138"/>
      <c r="G50" s="136"/>
      <c r="H50" s="137"/>
      <c r="I50" s="138"/>
      <c r="J50" s="136"/>
      <c r="K50" s="137"/>
      <c r="L50" s="138"/>
      <c r="M50" s="136"/>
      <c r="N50" s="137"/>
      <c r="O50" s="138"/>
      <c r="P50" s="136"/>
      <c r="Q50" s="137"/>
      <c r="R50" s="139">
        <v>99940</v>
      </c>
      <c r="S50" s="139">
        <v>11104</v>
      </c>
      <c r="T50" s="136"/>
      <c r="U50" s="136"/>
      <c r="V50" s="140"/>
      <c r="W50" s="139"/>
      <c r="X50" s="137"/>
      <c r="Y50" s="139"/>
      <c r="Z50" s="136"/>
      <c r="AA50" s="139"/>
      <c r="AB50" s="136"/>
      <c r="AC50" s="136"/>
      <c r="AD50" s="139"/>
      <c r="AE50" s="142"/>
      <c r="AF50" s="143"/>
      <c r="AG50" s="144"/>
      <c r="AH50" s="135"/>
      <c r="AI50" s="143"/>
      <c r="AJ50" s="135"/>
      <c r="AK50" s="145"/>
      <c r="AL50" s="146"/>
      <c r="AM50" s="144">
        <v>56296</v>
      </c>
      <c r="AN50" s="147"/>
      <c r="AO50" s="144"/>
      <c r="AP50" s="145">
        <v>-1712</v>
      </c>
      <c r="AQ50" s="144"/>
      <c r="AR50" s="145"/>
      <c r="AS50" s="145"/>
      <c r="AT50" s="144">
        <v>1908</v>
      </c>
      <c r="AU50" s="781">
        <v>132085</v>
      </c>
      <c r="AV50" s="782">
        <v>5109</v>
      </c>
      <c r="AW50" s="344"/>
      <c r="AX50" s="137">
        <v>180</v>
      </c>
      <c r="AY50" s="137">
        <v>141</v>
      </c>
      <c r="AZ50" s="137">
        <v>-39</v>
      </c>
    </row>
    <row r="51" spans="1:52" ht="15" customHeight="1" x14ac:dyDescent="0.2">
      <c r="A51" s="388">
        <v>45</v>
      </c>
      <c r="B51" s="148" t="s">
        <v>49</v>
      </c>
      <c r="C51" s="149"/>
      <c r="D51" s="150"/>
      <c r="E51" s="151"/>
      <c r="F51" s="152"/>
      <c r="G51" s="150"/>
      <c r="H51" s="151"/>
      <c r="I51" s="152"/>
      <c r="J51" s="150"/>
      <c r="K51" s="151"/>
      <c r="L51" s="152"/>
      <c r="M51" s="150"/>
      <c r="N51" s="151"/>
      <c r="O51" s="152"/>
      <c r="P51" s="150"/>
      <c r="Q51" s="151"/>
      <c r="R51" s="153">
        <v>47513</v>
      </c>
      <c r="S51" s="153">
        <v>5279</v>
      </c>
      <c r="T51" s="150"/>
      <c r="U51" s="150"/>
      <c r="V51" s="154"/>
      <c r="W51" s="153"/>
      <c r="X51" s="151"/>
      <c r="Y51" s="153"/>
      <c r="Z51" s="150"/>
      <c r="AA51" s="153"/>
      <c r="AB51" s="156"/>
      <c r="AC51" s="150"/>
      <c r="AD51" s="157"/>
      <c r="AE51" s="157"/>
      <c r="AF51" s="158"/>
      <c r="AG51" s="159"/>
      <c r="AH51" s="149"/>
      <c r="AI51" s="158"/>
      <c r="AJ51" s="149"/>
      <c r="AK51" s="160"/>
      <c r="AL51" s="161"/>
      <c r="AM51" s="159">
        <v>103219</v>
      </c>
      <c r="AN51" s="162"/>
      <c r="AO51" s="159"/>
      <c r="AP51" s="160">
        <v>0</v>
      </c>
      <c r="AQ51" s="159"/>
      <c r="AR51" s="160"/>
      <c r="AS51" s="160"/>
      <c r="AT51" s="159">
        <v>-10603</v>
      </c>
      <c r="AU51" s="783">
        <v>126574</v>
      </c>
      <c r="AV51" s="784">
        <v>-12624</v>
      </c>
      <c r="AW51" s="344"/>
      <c r="AX51" s="151">
        <v>547</v>
      </c>
      <c r="AY51" s="151">
        <v>258</v>
      </c>
      <c r="AZ51" s="151">
        <v>-289</v>
      </c>
    </row>
    <row r="52" spans="1:52" ht="15" customHeight="1" x14ac:dyDescent="0.2">
      <c r="A52" s="378">
        <v>46</v>
      </c>
      <c r="B52" s="116" t="s">
        <v>50</v>
      </c>
      <c r="C52" s="117"/>
      <c r="D52" s="118"/>
      <c r="E52" s="119"/>
      <c r="F52" s="120"/>
      <c r="G52" s="118"/>
      <c r="H52" s="119"/>
      <c r="I52" s="120"/>
      <c r="J52" s="118"/>
      <c r="K52" s="119"/>
      <c r="L52" s="120"/>
      <c r="M52" s="118"/>
      <c r="N52" s="119"/>
      <c r="O52" s="120"/>
      <c r="P52" s="118"/>
      <c r="Q52" s="119"/>
      <c r="R52" s="121">
        <v>123036</v>
      </c>
      <c r="S52" s="121">
        <v>13671</v>
      </c>
      <c r="T52" s="118"/>
      <c r="U52" s="118"/>
      <c r="V52" s="122"/>
      <c r="W52" s="121"/>
      <c r="X52" s="119"/>
      <c r="Y52" s="121"/>
      <c r="Z52" s="118"/>
      <c r="AA52" s="121"/>
      <c r="AB52" s="118"/>
      <c r="AC52" s="118"/>
      <c r="AD52" s="121"/>
      <c r="AE52" s="123"/>
      <c r="AF52" s="124"/>
      <c r="AG52" s="125"/>
      <c r="AH52" s="117"/>
      <c r="AI52" s="124"/>
      <c r="AJ52" s="117"/>
      <c r="AK52" s="126"/>
      <c r="AL52" s="127"/>
      <c r="AM52" s="125">
        <v>34913</v>
      </c>
      <c r="AN52" s="128"/>
      <c r="AO52" s="125"/>
      <c r="AP52" s="126">
        <v>-1401</v>
      </c>
      <c r="AQ52" s="125"/>
      <c r="AR52" s="126"/>
      <c r="AS52" s="126"/>
      <c r="AT52" s="125">
        <v>-158</v>
      </c>
      <c r="AU52" s="779">
        <v>109275</v>
      </c>
      <c r="AV52" s="780">
        <v>-1183</v>
      </c>
      <c r="AW52" s="344"/>
      <c r="AX52" s="119">
        <v>132</v>
      </c>
      <c r="AY52" s="119">
        <v>87</v>
      </c>
      <c r="AZ52" s="119">
        <v>-45</v>
      </c>
    </row>
    <row r="53" spans="1:52" ht="15" customHeight="1" x14ac:dyDescent="0.2">
      <c r="A53" s="383">
        <v>47</v>
      </c>
      <c r="B53" s="134" t="s">
        <v>51</v>
      </c>
      <c r="C53" s="135"/>
      <c r="D53" s="136"/>
      <c r="E53" s="137"/>
      <c r="F53" s="138"/>
      <c r="G53" s="136"/>
      <c r="H53" s="137"/>
      <c r="I53" s="138"/>
      <c r="J53" s="136"/>
      <c r="K53" s="137"/>
      <c r="L53" s="138"/>
      <c r="M53" s="136"/>
      <c r="N53" s="137"/>
      <c r="O53" s="138"/>
      <c r="P53" s="136"/>
      <c r="Q53" s="137"/>
      <c r="R53" s="139">
        <v>19321</v>
      </c>
      <c r="S53" s="139">
        <v>2147</v>
      </c>
      <c r="T53" s="136"/>
      <c r="U53" s="136"/>
      <c r="V53" s="140"/>
      <c r="W53" s="139"/>
      <c r="X53" s="137"/>
      <c r="Y53" s="139"/>
      <c r="Z53" s="136"/>
      <c r="AA53" s="139"/>
      <c r="AB53" s="136"/>
      <c r="AC53" s="136"/>
      <c r="AD53" s="139"/>
      <c r="AE53" s="142"/>
      <c r="AF53" s="143"/>
      <c r="AG53" s="144"/>
      <c r="AH53" s="135"/>
      <c r="AI53" s="143"/>
      <c r="AJ53" s="135"/>
      <c r="AK53" s="145"/>
      <c r="AL53" s="146"/>
      <c r="AM53" s="144">
        <v>54245</v>
      </c>
      <c r="AN53" s="147"/>
      <c r="AO53" s="144"/>
      <c r="AP53" s="145">
        <v>0</v>
      </c>
      <c r="AQ53" s="144"/>
      <c r="AR53" s="145"/>
      <c r="AS53" s="145"/>
      <c r="AT53" s="144">
        <v>788</v>
      </c>
      <c r="AU53" s="781">
        <v>68449</v>
      </c>
      <c r="AV53" s="782">
        <v>1137</v>
      </c>
      <c r="AW53" s="344"/>
      <c r="AX53" s="137">
        <v>192</v>
      </c>
      <c r="AY53" s="137">
        <v>136</v>
      </c>
      <c r="AZ53" s="137">
        <v>-56</v>
      </c>
    </row>
    <row r="54" spans="1:52" ht="15" customHeight="1" x14ac:dyDescent="0.2">
      <c r="A54" s="383">
        <v>48</v>
      </c>
      <c r="B54" s="134" t="s">
        <v>73</v>
      </c>
      <c r="C54" s="135"/>
      <c r="D54" s="136"/>
      <c r="E54" s="137"/>
      <c r="F54" s="138"/>
      <c r="G54" s="136"/>
      <c r="H54" s="137"/>
      <c r="I54" s="138"/>
      <c r="J54" s="136"/>
      <c r="K54" s="137"/>
      <c r="L54" s="138"/>
      <c r="M54" s="136"/>
      <c r="N54" s="137"/>
      <c r="O54" s="138"/>
      <c r="P54" s="136"/>
      <c r="Q54" s="137"/>
      <c r="R54" s="139">
        <v>167424</v>
      </c>
      <c r="S54" s="139">
        <v>18603</v>
      </c>
      <c r="T54" s="136"/>
      <c r="U54" s="136"/>
      <c r="V54" s="140"/>
      <c r="W54" s="139"/>
      <c r="X54" s="137"/>
      <c r="Y54" s="139"/>
      <c r="Z54" s="136"/>
      <c r="AA54" s="139"/>
      <c r="AB54" s="136"/>
      <c r="AC54" s="136"/>
      <c r="AD54" s="139"/>
      <c r="AE54" s="142"/>
      <c r="AF54" s="143"/>
      <c r="AG54" s="144"/>
      <c r="AH54" s="135"/>
      <c r="AI54" s="143"/>
      <c r="AJ54" s="135"/>
      <c r="AK54" s="145"/>
      <c r="AL54" s="146"/>
      <c r="AM54" s="144">
        <v>253001</v>
      </c>
      <c r="AN54" s="147"/>
      <c r="AO54" s="144"/>
      <c r="AP54" s="145">
        <v>0</v>
      </c>
      <c r="AQ54" s="144"/>
      <c r="AR54" s="145"/>
      <c r="AS54" s="145"/>
      <c r="AT54" s="144">
        <v>24970</v>
      </c>
      <c r="AU54" s="781">
        <v>423298</v>
      </c>
      <c r="AV54" s="782">
        <v>39869</v>
      </c>
      <c r="AW54" s="344"/>
      <c r="AX54" s="137">
        <v>573</v>
      </c>
      <c r="AY54" s="137">
        <v>633</v>
      </c>
      <c r="AZ54" s="137">
        <v>60</v>
      </c>
    </row>
    <row r="55" spans="1:52" ht="15" customHeight="1" x14ac:dyDescent="0.2">
      <c r="A55" s="383">
        <v>49</v>
      </c>
      <c r="B55" s="134" t="s">
        <v>52</v>
      </c>
      <c r="C55" s="135"/>
      <c r="D55" s="136"/>
      <c r="E55" s="137"/>
      <c r="F55" s="138"/>
      <c r="G55" s="136"/>
      <c r="H55" s="137"/>
      <c r="I55" s="138"/>
      <c r="J55" s="136"/>
      <c r="K55" s="137"/>
      <c r="L55" s="138"/>
      <c r="M55" s="136"/>
      <c r="N55" s="137"/>
      <c r="O55" s="138"/>
      <c r="P55" s="136"/>
      <c r="Q55" s="137"/>
      <c r="R55" s="139">
        <v>270934</v>
      </c>
      <c r="S55" s="139">
        <v>30104</v>
      </c>
      <c r="T55" s="136"/>
      <c r="U55" s="136"/>
      <c r="V55" s="140"/>
      <c r="W55" s="139"/>
      <c r="X55" s="137"/>
      <c r="Y55" s="139"/>
      <c r="Z55" s="136"/>
      <c r="AA55" s="139"/>
      <c r="AB55" s="136"/>
      <c r="AC55" s="136"/>
      <c r="AD55" s="139"/>
      <c r="AE55" s="142"/>
      <c r="AF55" s="143"/>
      <c r="AG55" s="144"/>
      <c r="AH55" s="135"/>
      <c r="AI55" s="143"/>
      <c r="AJ55" s="135"/>
      <c r="AK55" s="145"/>
      <c r="AL55" s="146"/>
      <c r="AM55" s="144">
        <v>159791</v>
      </c>
      <c r="AN55" s="147"/>
      <c r="AO55" s="144"/>
      <c r="AP55" s="145">
        <v>-3534</v>
      </c>
      <c r="AQ55" s="144"/>
      <c r="AR55" s="145"/>
      <c r="AS55" s="145"/>
      <c r="AT55" s="144">
        <v>16032</v>
      </c>
      <c r="AU55" s="781">
        <v>451992</v>
      </c>
      <c r="AV55" s="782">
        <v>46079</v>
      </c>
      <c r="AW55" s="344"/>
      <c r="AX55" s="137">
        <v>354</v>
      </c>
      <c r="AY55" s="137">
        <v>399</v>
      </c>
      <c r="AZ55" s="137">
        <v>45</v>
      </c>
    </row>
    <row r="56" spans="1:52" ht="15" customHeight="1" x14ac:dyDescent="0.2">
      <c r="A56" s="388">
        <v>50</v>
      </c>
      <c r="B56" s="148" t="s">
        <v>53</v>
      </c>
      <c r="C56" s="149"/>
      <c r="D56" s="150"/>
      <c r="E56" s="151"/>
      <c r="F56" s="152"/>
      <c r="G56" s="150"/>
      <c r="H56" s="151"/>
      <c r="I56" s="152"/>
      <c r="J56" s="150"/>
      <c r="K56" s="151"/>
      <c r="L56" s="152"/>
      <c r="M56" s="150"/>
      <c r="N56" s="151"/>
      <c r="O56" s="152"/>
      <c r="P56" s="150"/>
      <c r="Q56" s="151"/>
      <c r="R56" s="153">
        <v>95005</v>
      </c>
      <c r="S56" s="153">
        <v>10556</v>
      </c>
      <c r="T56" s="150"/>
      <c r="U56" s="150"/>
      <c r="V56" s="154"/>
      <c r="W56" s="153"/>
      <c r="X56" s="151"/>
      <c r="Y56" s="153"/>
      <c r="Z56" s="150"/>
      <c r="AA56" s="153"/>
      <c r="AB56" s="156"/>
      <c r="AC56" s="150"/>
      <c r="AD56" s="157"/>
      <c r="AE56" s="157"/>
      <c r="AF56" s="158"/>
      <c r="AG56" s="159"/>
      <c r="AH56" s="149"/>
      <c r="AI56" s="158"/>
      <c r="AJ56" s="149"/>
      <c r="AK56" s="160"/>
      <c r="AL56" s="161"/>
      <c r="AM56" s="159">
        <v>39609</v>
      </c>
      <c r="AN56" s="162"/>
      <c r="AO56" s="159"/>
      <c r="AP56" s="160">
        <v>-3090</v>
      </c>
      <c r="AQ56" s="159"/>
      <c r="AR56" s="160"/>
      <c r="AS56" s="160"/>
      <c r="AT56" s="159">
        <v>-437</v>
      </c>
      <c r="AU56" s="783">
        <v>86451</v>
      </c>
      <c r="AV56" s="784">
        <v>-2919</v>
      </c>
      <c r="AW56" s="344"/>
      <c r="AX56" s="151">
        <v>151</v>
      </c>
      <c r="AY56" s="151">
        <v>99</v>
      </c>
      <c r="AZ56" s="151">
        <v>-52</v>
      </c>
    </row>
    <row r="57" spans="1:52" ht="15" customHeight="1" x14ac:dyDescent="0.2">
      <c r="A57" s="378">
        <v>51</v>
      </c>
      <c r="B57" s="116" t="s">
        <v>54</v>
      </c>
      <c r="C57" s="117"/>
      <c r="D57" s="118"/>
      <c r="E57" s="119"/>
      <c r="F57" s="120"/>
      <c r="G57" s="118"/>
      <c r="H57" s="119"/>
      <c r="I57" s="120"/>
      <c r="J57" s="118"/>
      <c r="K57" s="119"/>
      <c r="L57" s="120"/>
      <c r="M57" s="118"/>
      <c r="N57" s="119"/>
      <c r="O57" s="120"/>
      <c r="P57" s="118"/>
      <c r="Q57" s="119"/>
      <c r="R57" s="121">
        <v>93124</v>
      </c>
      <c r="S57" s="121">
        <v>10347</v>
      </c>
      <c r="T57" s="118"/>
      <c r="U57" s="118"/>
      <c r="V57" s="122"/>
      <c r="W57" s="121"/>
      <c r="X57" s="119"/>
      <c r="Y57" s="121"/>
      <c r="Z57" s="118"/>
      <c r="AA57" s="121"/>
      <c r="AB57" s="118"/>
      <c r="AC57" s="118"/>
      <c r="AD57" s="121"/>
      <c r="AE57" s="123"/>
      <c r="AF57" s="124"/>
      <c r="AG57" s="125"/>
      <c r="AH57" s="117"/>
      <c r="AI57" s="124"/>
      <c r="AJ57" s="117"/>
      <c r="AK57" s="126"/>
      <c r="AL57" s="127"/>
      <c r="AM57" s="125">
        <v>85957</v>
      </c>
      <c r="AN57" s="128"/>
      <c r="AO57" s="125"/>
      <c r="AP57" s="126">
        <v>-2042</v>
      </c>
      <c r="AQ57" s="125"/>
      <c r="AR57" s="126"/>
      <c r="AS57" s="126"/>
      <c r="AT57" s="125">
        <v>9181</v>
      </c>
      <c r="AU57" s="779">
        <v>184736</v>
      </c>
      <c r="AV57" s="780">
        <v>19326</v>
      </c>
      <c r="AW57" s="344"/>
      <c r="AX57" s="119">
        <v>182</v>
      </c>
      <c r="AY57" s="119">
        <v>215</v>
      </c>
      <c r="AZ57" s="119">
        <v>33</v>
      </c>
    </row>
    <row r="58" spans="1:52" ht="15" customHeight="1" x14ac:dyDescent="0.2">
      <c r="A58" s="383">
        <v>52</v>
      </c>
      <c r="B58" s="134" t="s">
        <v>55</v>
      </c>
      <c r="C58" s="135"/>
      <c r="D58" s="136"/>
      <c r="E58" s="137"/>
      <c r="F58" s="138"/>
      <c r="G58" s="136"/>
      <c r="H58" s="137"/>
      <c r="I58" s="138"/>
      <c r="J58" s="136"/>
      <c r="K58" s="137"/>
      <c r="L58" s="138"/>
      <c r="M58" s="136"/>
      <c r="N58" s="137"/>
      <c r="O58" s="138"/>
      <c r="P58" s="136"/>
      <c r="Q58" s="137"/>
      <c r="R58" s="139">
        <v>1208677</v>
      </c>
      <c r="S58" s="139">
        <v>134297</v>
      </c>
      <c r="T58" s="136"/>
      <c r="U58" s="136"/>
      <c r="V58" s="140"/>
      <c r="W58" s="139"/>
      <c r="X58" s="137"/>
      <c r="Y58" s="139"/>
      <c r="Z58" s="136"/>
      <c r="AA58" s="139"/>
      <c r="AB58" s="136"/>
      <c r="AC58" s="136"/>
      <c r="AD58" s="139"/>
      <c r="AE58" s="142"/>
      <c r="AF58" s="143"/>
      <c r="AG58" s="144"/>
      <c r="AH58" s="135"/>
      <c r="AI58" s="143"/>
      <c r="AJ58" s="135"/>
      <c r="AK58" s="145"/>
      <c r="AL58" s="146"/>
      <c r="AM58" s="144">
        <v>1670609</v>
      </c>
      <c r="AN58" s="147"/>
      <c r="AO58" s="144"/>
      <c r="AP58" s="145">
        <v>-18557</v>
      </c>
      <c r="AQ58" s="144"/>
      <c r="AR58" s="145"/>
      <c r="AS58" s="145"/>
      <c r="AT58" s="144">
        <v>189173</v>
      </c>
      <c r="AU58" s="781">
        <v>3154594</v>
      </c>
      <c r="AV58" s="782">
        <v>366997</v>
      </c>
      <c r="AW58" s="344"/>
      <c r="AX58" s="137">
        <v>3397</v>
      </c>
      <c r="AY58" s="137">
        <v>4177</v>
      </c>
      <c r="AZ58" s="137">
        <v>780</v>
      </c>
    </row>
    <row r="59" spans="1:52" ht="15" customHeight="1" x14ac:dyDescent="0.2">
      <c r="A59" s="383">
        <v>53</v>
      </c>
      <c r="B59" s="134" t="s">
        <v>56</v>
      </c>
      <c r="C59" s="135"/>
      <c r="D59" s="136"/>
      <c r="E59" s="137"/>
      <c r="F59" s="138"/>
      <c r="G59" s="136"/>
      <c r="H59" s="137"/>
      <c r="I59" s="138"/>
      <c r="J59" s="136"/>
      <c r="K59" s="137"/>
      <c r="L59" s="138"/>
      <c r="M59" s="136"/>
      <c r="N59" s="137"/>
      <c r="O59" s="138"/>
      <c r="P59" s="136"/>
      <c r="Q59" s="137"/>
      <c r="R59" s="139">
        <v>904867</v>
      </c>
      <c r="S59" s="139">
        <v>100541</v>
      </c>
      <c r="T59" s="136"/>
      <c r="U59" s="136"/>
      <c r="V59" s="140"/>
      <c r="W59" s="139"/>
      <c r="X59" s="137"/>
      <c r="Y59" s="139"/>
      <c r="Z59" s="136"/>
      <c r="AA59" s="139"/>
      <c r="AB59" s="136"/>
      <c r="AC59" s="136"/>
      <c r="AD59" s="139"/>
      <c r="AE59" s="142"/>
      <c r="AF59" s="143"/>
      <c r="AG59" s="144"/>
      <c r="AH59" s="135"/>
      <c r="AI59" s="143"/>
      <c r="AJ59" s="135"/>
      <c r="AK59" s="145"/>
      <c r="AL59" s="146"/>
      <c r="AM59" s="144">
        <v>492011</v>
      </c>
      <c r="AN59" s="147"/>
      <c r="AO59" s="144"/>
      <c r="AP59" s="145">
        <v>-9569</v>
      </c>
      <c r="AQ59" s="144"/>
      <c r="AR59" s="145"/>
      <c r="AS59" s="145"/>
      <c r="AT59" s="144">
        <v>52438</v>
      </c>
      <c r="AU59" s="781">
        <v>1496109</v>
      </c>
      <c r="AV59" s="782">
        <v>158516</v>
      </c>
      <c r="AW59" s="344"/>
      <c r="AX59" s="137">
        <v>1045</v>
      </c>
      <c r="AY59" s="137">
        <v>1230</v>
      </c>
      <c r="AZ59" s="137">
        <v>185</v>
      </c>
    </row>
    <row r="60" spans="1:52" ht="15" customHeight="1" x14ac:dyDescent="0.2">
      <c r="A60" s="383">
        <v>54</v>
      </c>
      <c r="B60" s="134" t="s">
        <v>57</v>
      </c>
      <c r="C60" s="135"/>
      <c r="D60" s="136"/>
      <c r="E60" s="137"/>
      <c r="F60" s="138"/>
      <c r="G60" s="136"/>
      <c r="H60" s="137"/>
      <c r="I60" s="138"/>
      <c r="J60" s="136"/>
      <c r="K60" s="137"/>
      <c r="L60" s="138"/>
      <c r="M60" s="136"/>
      <c r="N60" s="137"/>
      <c r="O60" s="138"/>
      <c r="P60" s="136"/>
      <c r="Q60" s="137"/>
      <c r="R60" s="139">
        <v>31730</v>
      </c>
      <c r="S60" s="139">
        <v>3526</v>
      </c>
      <c r="T60" s="136"/>
      <c r="U60" s="136"/>
      <c r="V60" s="140"/>
      <c r="W60" s="139"/>
      <c r="X60" s="137"/>
      <c r="Y60" s="139"/>
      <c r="Z60" s="136"/>
      <c r="AA60" s="139"/>
      <c r="AB60" s="136"/>
      <c r="AC60" s="136"/>
      <c r="AD60" s="139"/>
      <c r="AE60" s="142"/>
      <c r="AF60" s="143"/>
      <c r="AG60" s="144"/>
      <c r="AH60" s="135"/>
      <c r="AI60" s="143"/>
      <c r="AJ60" s="135"/>
      <c r="AK60" s="145"/>
      <c r="AL60" s="146"/>
      <c r="AM60" s="144">
        <v>45360</v>
      </c>
      <c r="AN60" s="147"/>
      <c r="AO60" s="144"/>
      <c r="AP60" s="145">
        <v>0</v>
      </c>
      <c r="AQ60" s="144"/>
      <c r="AR60" s="145"/>
      <c r="AS60" s="145"/>
      <c r="AT60" s="144">
        <v>6394</v>
      </c>
      <c r="AU60" s="781">
        <v>89670</v>
      </c>
      <c r="AV60" s="782">
        <v>12224</v>
      </c>
      <c r="AW60" s="344"/>
      <c r="AX60" s="137">
        <v>74</v>
      </c>
      <c r="AY60" s="137">
        <v>113</v>
      </c>
      <c r="AZ60" s="137">
        <v>39</v>
      </c>
    </row>
    <row r="61" spans="1:52" ht="15" customHeight="1" x14ac:dyDescent="0.2">
      <c r="A61" s="388">
        <v>55</v>
      </c>
      <c r="B61" s="148" t="s">
        <v>58</v>
      </c>
      <c r="C61" s="149"/>
      <c r="D61" s="150"/>
      <c r="E61" s="151"/>
      <c r="F61" s="152"/>
      <c r="G61" s="150"/>
      <c r="H61" s="151"/>
      <c r="I61" s="152"/>
      <c r="J61" s="150"/>
      <c r="K61" s="151"/>
      <c r="L61" s="152"/>
      <c r="M61" s="150"/>
      <c r="N61" s="151"/>
      <c r="O61" s="152"/>
      <c r="P61" s="150"/>
      <c r="Q61" s="151"/>
      <c r="R61" s="153">
        <v>644381</v>
      </c>
      <c r="S61" s="153">
        <v>71598</v>
      </c>
      <c r="T61" s="150"/>
      <c r="U61" s="150"/>
      <c r="V61" s="154"/>
      <c r="W61" s="153"/>
      <c r="X61" s="151"/>
      <c r="Y61" s="153"/>
      <c r="Z61" s="150"/>
      <c r="AA61" s="153"/>
      <c r="AB61" s="156"/>
      <c r="AC61" s="150"/>
      <c r="AD61" s="157"/>
      <c r="AE61" s="157"/>
      <c r="AF61" s="158"/>
      <c r="AG61" s="159"/>
      <c r="AH61" s="149"/>
      <c r="AI61" s="158"/>
      <c r="AJ61" s="149"/>
      <c r="AK61" s="160"/>
      <c r="AL61" s="161"/>
      <c r="AM61" s="159">
        <v>384871</v>
      </c>
      <c r="AN61" s="162"/>
      <c r="AO61" s="159"/>
      <c r="AP61" s="160">
        <v>-11456</v>
      </c>
      <c r="AQ61" s="159"/>
      <c r="AR61" s="160"/>
      <c r="AS61" s="160"/>
      <c r="AT61" s="159">
        <v>16245</v>
      </c>
      <c r="AU61" s="783">
        <v>882837</v>
      </c>
      <c r="AV61" s="784">
        <v>39121</v>
      </c>
      <c r="AW61" s="344"/>
      <c r="AX61" s="151">
        <v>1185</v>
      </c>
      <c r="AY61" s="151">
        <v>962</v>
      </c>
      <c r="AZ61" s="151">
        <v>-223</v>
      </c>
    </row>
    <row r="62" spans="1:52" ht="15" customHeight="1" x14ac:dyDescent="0.2">
      <c r="A62" s="378">
        <v>56</v>
      </c>
      <c r="B62" s="116" t="s">
        <v>59</v>
      </c>
      <c r="C62" s="117"/>
      <c r="D62" s="118"/>
      <c r="E62" s="119"/>
      <c r="F62" s="120"/>
      <c r="G62" s="118"/>
      <c r="H62" s="119"/>
      <c r="I62" s="120"/>
      <c r="J62" s="118"/>
      <c r="K62" s="119"/>
      <c r="L62" s="120"/>
      <c r="M62" s="118"/>
      <c r="N62" s="119"/>
      <c r="O62" s="120"/>
      <c r="P62" s="118"/>
      <c r="Q62" s="119"/>
      <c r="R62" s="121">
        <v>44344</v>
      </c>
      <c r="S62" s="121">
        <v>4927</v>
      </c>
      <c r="T62" s="118"/>
      <c r="U62" s="118"/>
      <c r="V62" s="122"/>
      <c r="W62" s="121"/>
      <c r="X62" s="119"/>
      <c r="Y62" s="121"/>
      <c r="Z62" s="118"/>
      <c r="AA62" s="121"/>
      <c r="AB62" s="118"/>
      <c r="AC62" s="118"/>
      <c r="AD62" s="121"/>
      <c r="AE62" s="123"/>
      <c r="AF62" s="124"/>
      <c r="AG62" s="125"/>
      <c r="AH62" s="117"/>
      <c r="AI62" s="124"/>
      <c r="AJ62" s="117"/>
      <c r="AK62" s="126"/>
      <c r="AL62" s="127"/>
      <c r="AM62" s="125">
        <v>34158</v>
      </c>
      <c r="AN62" s="128"/>
      <c r="AO62" s="125"/>
      <c r="AP62" s="126">
        <v>0</v>
      </c>
      <c r="AQ62" s="125"/>
      <c r="AR62" s="126"/>
      <c r="AS62" s="126"/>
      <c r="AT62" s="125">
        <v>2642</v>
      </c>
      <c r="AU62" s="779">
        <v>83372</v>
      </c>
      <c r="AV62" s="780">
        <v>7595</v>
      </c>
      <c r="AW62" s="344"/>
      <c r="AX62" s="119">
        <v>88</v>
      </c>
      <c r="AY62" s="119">
        <v>85</v>
      </c>
      <c r="AZ62" s="119">
        <v>-3</v>
      </c>
    </row>
    <row r="63" spans="1:52" ht="15" customHeight="1" x14ac:dyDescent="0.2">
      <c r="A63" s="383">
        <v>57</v>
      </c>
      <c r="B63" s="134" t="s">
        <v>60</v>
      </c>
      <c r="C63" s="135"/>
      <c r="D63" s="136"/>
      <c r="E63" s="137"/>
      <c r="F63" s="138"/>
      <c r="G63" s="136"/>
      <c r="H63" s="137"/>
      <c r="I63" s="138"/>
      <c r="J63" s="136"/>
      <c r="K63" s="137"/>
      <c r="L63" s="138"/>
      <c r="M63" s="136"/>
      <c r="N63" s="137"/>
      <c r="O63" s="138"/>
      <c r="P63" s="136"/>
      <c r="Q63" s="137"/>
      <c r="R63" s="139">
        <v>97541</v>
      </c>
      <c r="S63" s="139">
        <v>10838</v>
      </c>
      <c r="T63" s="136"/>
      <c r="U63" s="136"/>
      <c r="V63" s="140"/>
      <c r="W63" s="139"/>
      <c r="X63" s="137"/>
      <c r="Y63" s="139"/>
      <c r="Z63" s="136"/>
      <c r="AA63" s="139"/>
      <c r="AB63" s="136"/>
      <c r="AC63" s="136"/>
      <c r="AD63" s="139"/>
      <c r="AE63" s="142"/>
      <c r="AF63" s="143"/>
      <c r="AG63" s="144"/>
      <c r="AH63" s="135"/>
      <c r="AI63" s="143"/>
      <c r="AJ63" s="135"/>
      <c r="AK63" s="145"/>
      <c r="AL63" s="146"/>
      <c r="AM63" s="144">
        <v>40966</v>
      </c>
      <c r="AN63" s="147"/>
      <c r="AO63" s="144"/>
      <c r="AP63" s="145">
        <v>-2495</v>
      </c>
      <c r="AQ63" s="144"/>
      <c r="AR63" s="145"/>
      <c r="AS63" s="145"/>
      <c r="AT63" s="144">
        <v>3434</v>
      </c>
      <c r="AU63" s="781">
        <v>143156</v>
      </c>
      <c r="AV63" s="782">
        <v>14114</v>
      </c>
      <c r="AW63" s="344"/>
      <c r="AX63" s="137">
        <v>99</v>
      </c>
      <c r="AY63" s="137">
        <v>102</v>
      </c>
      <c r="AZ63" s="137">
        <v>3</v>
      </c>
    </row>
    <row r="64" spans="1:52" ht="15" customHeight="1" x14ac:dyDescent="0.2">
      <c r="A64" s="383">
        <v>58</v>
      </c>
      <c r="B64" s="134" t="s">
        <v>61</v>
      </c>
      <c r="C64" s="135"/>
      <c r="D64" s="136"/>
      <c r="E64" s="137"/>
      <c r="F64" s="138"/>
      <c r="G64" s="136"/>
      <c r="H64" s="137"/>
      <c r="I64" s="138"/>
      <c r="J64" s="136"/>
      <c r="K64" s="137"/>
      <c r="L64" s="138"/>
      <c r="M64" s="136"/>
      <c r="N64" s="137"/>
      <c r="O64" s="138"/>
      <c r="P64" s="136"/>
      <c r="Q64" s="137"/>
      <c r="R64" s="139">
        <v>105558</v>
      </c>
      <c r="S64" s="139">
        <v>11729</v>
      </c>
      <c r="T64" s="136"/>
      <c r="U64" s="136"/>
      <c r="V64" s="140"/>
      <c r="W64" s="139"/>
      <c r="X64" s="137"/>
      <c r="Y64" s="139"/>
      <c r="Z64" s="136"/>
      <c r="AA64" s="139"/>
      <c r="AB64" s="136"/>
      <c r="AC64" s="136"/>
      <c r="AD64" s="139"/>
      <c r="AE64" s="142"/>
      <c r="AF64" s="143"/>
      <c r="AG64" s="144"/>
      <c r="AH64" s="135"/>
      <c r="AI64" s="143"/>
      <c r="AJ64" s="135"/>
      <c r="AK64" s="145"/>
      <c r="AL64" s="146"/>
      <c r="AM64" s="144">
        <v>43291</v>
      </c>
      <c r="AN64" s="147"/>
      <c r="AO64" s="144"/>
      <c r="AP64" s="145">
        <v>-1007</v>
      </c>
      <c r="AQ64" s="144"/>
      <c r="AR64" s="145"/>
      <c r="AS64" s="145"/>
      <c r="AT64" s="144">
        <v>4704</v>
      </c>
      <c r="AU64" s="781">
        <v>162158</v>
      </c>
      <c r="AV64" s="782">
        <v>17605</v>
      </c>
      <c r="AW64" s="344"/>
      <c r="AX64" s="137">
        <v>90</v>
      </c>
      <c r="AY64" s="137">
        <v>108</v>
      </c>
      <c r="AZ64" s="137">
        <v>18</v>
      </c>
    </row>
    <row r="65" spans="1:52" ht="15" customHeight="1" x14ac:dyDescent="0.2">
      <c r="A65" s="383">
        <v>59</v>
      </c>
      <c r="B65" s="134" t="s">
        <v>62</v>
      </c>
      <c r="C65" s="135"/>
      <c r="D65" s="136"/>
      <c r="E65" s="137"/>
      <c r="F65" s="138"/>
      <c r="G65" s="136"/>
      <c r="H65" s="137"/>
      <c r="I65" s="138"/>
      <c r="J65" s="136"/>
      <c r="K65" s="137"/>
      <c r="L65" s="138"/>
      <c r="M65" s="136"/>
      <c r="N65" s="137"/>
      <c r="O65" s="138"/>
      <c r="P65" s="136"/>
      <c r="Q65" s="137"/>
      <c r="R65" s="139">
        <v>196975</v>
      </c>
      <c r="S65" s="139">
        <v>21886</v>
      </c>
      <c r="T65" s="136"/>
      <c r="U65" s="136"/>
      <c r="V65" s="140"/>
      <c r="W65" s="139"/>
      <c r="X65" s="137"/>
      <c r="Y65" s="139"/>
      <c r="Z65" s="136"/>
      <c r="AA65" s="139"/>
      <c r="AB65" s="136"/>
      <c r="AC65" s="136"/>
      <c r="AD65" s="139"/>
      <c r="AE65" s="142"/>
      <c r="AF65" s="143"/>
      <c r="AG65" s="144"/>
      <c r="AH65" s="135"/>
      <c r="AI65" s="143"/>
      <c r="AJ65" s="135"/>
      <c r="AK65" s="145"/>
      <c r="AL65" s="146"/>
      <c r="AM65" s="144">
        <v>56664</v>
      </c>
      <c r="AN65" s="147"/>
      <c r="AO65" s="144"/>
      <c r="AP65" s="145">
        <v>0</v>
      </c>
      <c r="AQ65" s="144"/>
      <c r="AR65" s="145"/>
      <c r="AS65" s="145"/>
      <c r="AT65" s="144">
        <v>8019</v>
      </c>
      <c r="AU65" s="781">
        <v>323980</v>
      </c>
      <c r="AV65" s="782">
        <v>42078</v>
      </c>
      <c r="AW65" s="344"/>
      <c r="AX65" s="137">
        <v>92</v>
      </c>
      <c r="AY65" s="137">
        <v>142</v>
      </c>
      <c r="AZ65" s="137">
        <v>50</v>
      </c>
    </row>
    <row r="66" spans="1:52" ht="15" customHeight="1" x14ac:dyDescent="0.2">
      <c r="A66" s="388">
        <v>60</v>
      </c>
      <c r="B66" s="148" t="s">
        <v>63</v>
      </c>
      <c r="C66" s="149"/>
      <c r="D66" s="150"/>
      <c r="E66" s="151"/>
      <c r="F66" s="152"/>
      <c r="G66" s="150"/>
      <c r="H66" s="151"/>
      <c r="I66" s="152"/>
      <c r="J66" s="150"/>
      <c r="K66" s="151"/>
      <c r="L66" s="152"/>
      <c r="M66" s="150"/>
      <c r="N66" s="151"/>
      <c r="O66" s="152"/>
      <c r="P66" s="150"/>
      <c r="Q66" s="151"/>
      <c r="R66" s="153">
        <v>154457</v>
      </c>
      <c r="S66" s="153">
        <v>17162</v>
      </c>
      <c r="T66" s="150"/>
      <c r="U66" s="150"/>
      <c r="V66" s="154"/>
      <c r="W66" s="153"/>
      <c r="X66" s="151"/>
      <c r="Y66" s="153"/>
      <c r="Z66" s="150"/>
      <c r="AA66" s="153"/>
      <c r="AB66" s="156"/>
      <c r="AC66" s="150"/>
      <c r="AD66" s="157"/>
      <c r="AE66" s="157"/>
      <c r="AF66" s="158"/>
      <c r="AG66" s="159"/>
      <c r="AH66" s="149"/>
      <c r="AI66" s="158"/>
      <c r="AJ66" s="149"/>
      <c r="AK66" s="160"/>
      <c r="AL66" s="161"/>
      <c r="AM66" s="159">
        <v>103008</v>
      </c>
      <c r="AN66" s="162"/>
      <c r="AO66" s="159"/>
      <c r="AP66" s="160">
        <v>-1791</v>
      </c>
      <c r="AQ66" s="159"/>
      <c r="AR66" s="160"/>
      <c r="AS66" s="160"/>
      <c r="AT66" s="159">
        <v>9246</v>
      </c>
      <c r="AU66" s="783">
        <v>249264</v>
      </c>
      <c r="AV66" s="784">
        <v>21055</v>
      </c>
      <c r="AW66" s="344"/>
      <c r="AX66" s="151">
        <v>245</v>
      </c>
      <c r="AY66" s="151">
        <v>258</v>
      </c>
      <c r="AZ66" s="151">
        <v>13</v>
      </c>
    </row>
    <row r="67" spans="1:52" ht="15" customHeight="1" x14ac:dyDescent="0.2">
      <c r="A67" s="378">
        <v>61</v>
      </c>
      <c r="B67" s="116" t="s">
        <v>64</v>
      </c>
      <c r="C67" s="117"/>
      <c r="D67" s="118"/>
      <c r="E67" s="119"/>
      <c r="F67" s="120"/>
      <c r="G67" s="118"/>
      <c r="H67" s="119"/>
      <c r="I67" s="120"/>
      <c r="J67" s="118"/>
      <c r="K67" s="119"/>
      <c r="L67" s="120"/>
      <c r="M67" s="118"/>
      <c r="N67" s="119"/>
      <c r="O67" s="120"/>
      <c r="P67" s="118"/>
      <c r="Q67" s="119"/>
      <c r="R67" s="121">
        <v>43497</v>
      </c>
      <c r="S67" s="121">
        <v>4833</v>
      </c>
      <c r="T67" s="118"/>
      <c r="U67" s="118"/>
      <c r="V67" s="122"/>
      <c r="W67" s="121"/>
      <c r="X67" s="119"/>
      <c r="Y67" s="121"/>
      <c r="Z67" s="118"/>
      <c r="AA67" s="121"/>
      <c r="AB67" s="118"/>
      <c r="AC67" s="118"/>
      <c r="AD67" s="121"/>
      <c r="AE67" s="123"/>
      <c r="AF67" s="124"/>
      <c r="AG67" s="125"/>
      <c r="AH67" s="117"/>
      <c r="AI67" s="124"/>
      <c r="AJ67" s="117"/>
      <c r="AK67" s="126"/>
      <c r="AL67" s="127"/>
      <c r="AM67" s="125">
        <v>268315</v>
      </c>
      <c r="AN67" s="128"/>
      <c r="AO67" s="125"/>
      <c r="AP67" s="126">
        <v>-6894</v>
      </c>
      <c r="AQ67" s="125"/>
      <c r="AR67" s="126"/>
      <c r="AS67" s="126"/>
      <c r="AT67" s="125">
        <v>45410</v>
      </c>
      <c r="AU67" s="779">
        <v>338755</v>
      </c>
      <c r="AV67" s="780">
        <v>58049</v>
      </c>
      <c r="AW67" s="344"/>
      <c r="AX67" s="119">
        <v>315</v>
      </c>
      <c r="AY67" s="119">
        <v>671</v>
      </c>
      <c r="AZ67" s="119">
        <v>356</v>
      </c>
    </row>
    <row r="68" spans="1:52" ht="15" customHeight="1" x14ac:dyDescent="0.2">
      <c r="A68" s="383">
        <v>62</v>
      </c>
      <c r="B68" s="134" t="s">
        <v>65</v>
      </c>
      <c r="C68" s="135"/>
      <c r="D68" s="136"/>
      <c r="E68" s="137"/>
      <c r="F68" s="138"/>
      <c r="G68" s="136"/>
      <c r="H68" s="137"/>
      <c r="I68" s="138"/>
      <c r="J68" s="136"/>
      <c r="K68" s="137"/>
      <c r="L68" s="138"/>
      <c r="M68" s="136"/>
      <c r="N68" s="137"/>
      <c r="O68" s="138"/>
      <c r="P68" s="136"/>
      <c r="Q68" s="137"/>
      <c r="R68" s="139">
        <v>65894</v>
      </c>
      <c r="S68" s="139">
        <v>7322</v>
      </c>
      <c r="T68" s="136"/>
      <c r="U68" s="136"/>
      <c r="V68" s="140"/>
      <c r="W68" s="139"/>
      <c r="X68" s="137"/>
      <c r="Y68" s="139"/>
      <c r="Z68" s="136"/>
      <c r="AA68" s="139"/>
      <c r="AB68" s="136"/>
      <c r="AC68" s="136"/>
      <c r="AD68" s="139"/>
      <c r="AE68" s="142"/>
      <c r="AF68" s="143"/>
      <c r="AG68" s="144"/>
      <c r="AH68" s="135"/>
      <c r="AI68" s="143"/>
      <c r="AJ68" s="135"/>
      <c r="AK68" s="145"/>
      <c r="AL68" s="146"/>
      <c r="AM68" s="144">
        <v>22909</v>
      </c>
      <c r="AN68" s="147"/>
      <c r="AO68" s="144"/>
      <c r="AP68" s="145">
        <v>0</v>
      </c>
      <c r="AQ68" s="144"/>
      <c r="AR68" s="145"/>
      <c r="AS68" s="145"/>
      <c r="AT68" s="144">
        <v>2109</v>
      </c>
      <c r="AU68" s="781">
        <v>85323</v>
      </c>
      <c r="AV68" s="782">
        <v>6772</v>
      </c>
      <c r="AW68" s="344"/>
      <c r="AX68" s="137">
        <v>54</v>
      </c>
      <c r="AY68" s="137">
        <v>57</v>
      </c>
      <c r="AZ68" s="137">
        <v>3</v>
      </c>
    </row>
    <row r="69" spans="1:52" ht="15" customHeight="1" x14ac:dyDescent="0.2">
      <c r="A69" s="383">
        <v>63</v>
      </c>
      <c r="B69" s="134" t="s">
        <v>66</v>
      </c>
      <c r="C69" s="135"/>
      <c r="D69" s="136"/>
      <c r="E69" s="137"/>
      <c r="F69" s="138"/>
      <c r="G69" s="136"/>
      <c r="H69" s="137"/>
      <c r="I69" s="138"/>
      <c r="J69" s="136"/>
      <c r="K69" s="137"/>
      <c r="L69" s="138"/>
      <c r="M69" s="136"/>
      <c r="N69" s="137"/>
      <c r="O69" s="138"/>
      <c r="P69" s="136"/>
      <c r="Q69" s="137"/>
      <c r="R69" s="139">
        <v>28303</v>
      </c>
      <c r="S69" s="139">
        <v>3145</v>
      </c>
      <c r="T69" s="136"/>
      <c r="U69" s="136"/>
      <c r="V69" s="140"/>
      <c r="W69" s="139"/>
      <c r="X69" s="137"/>
      <c r="Y69" s="139"/>
      <c r="Z69" s="136"/>
      <c r="AA69" s="139"/>
      <c r="AB69" s="136"/>
      <c r="AC69" s="136"/>
      <c r="AD69" s="139"/>
      <c r="AE69" s="142"/>
      <c r="AF69" s="143"/>
      <c r="AG69" s="144"/>
      <c r="AH69" s="135"/>
      <c r="AI69" s="143"/>
      <c r="AJ69" s="135"/>
      <c r="AK69" s="145"/>
      <c r="AL69" s="146"/>
      <c r="AM69" s="144">
        <v>90531</v>
      </c>
      <c r="AN69" s="147"/>
      <c r="AO69" s="144"/>
      <c r="AP69" s="145">
        <v>0</v>
      </c>
      <c r="AQ69" s="144"/>
      <c r="AR69" s="145"/>
      <c r="AS69" s="145"/>
      <c r="AT69" s="144">
        <v>11650</v>
      </c>
      <c r="AU69" s="781">
        <v>131282</v>
      </c>
      <c r="AV69" s="782">
        <v>17154</v>
      </c>
      <c r="AW69" s="344"/>
      <c r="AX69" s="137">
        <v>164</v>
      </c>
      <c r="AY69" s="137">
        <v>226</v>
      </c>
      <c r="AZ69" s="137">
        <v>62</v>
      </c>
    </row>
    <row r="70" spans="1:52" ht="15" customHeight="1" x14ac:dyDescent="0.2">
      <c r="A70" s="383">
        <v>64</v>
      </c>
      <c r="B70" s="134" t="s">
        <v>67</v>
      </c>
      <c r="C70" s="135"/>
      <c r="D70" s="136"/>
      <c r="E70" s="137"/>
      <c r="F70" s="138"/>
      <c r="G70" s="136"/>
      <c r="H70" s="137"/>
      <c r="I70" s="138"/>
      <c r="J70" s="136"/>
      <c r="K70" s="137"/>
      <c r="L70" s="138"/>
      <c r="M70" s="136"/>
      <c r="N70" s="137"/>
      <c r="O70" s="138"/>
      <c r="P70" s="136"/>
      <c r="Q70" s="137"/>
      <c r="R70" s="139">
        <v>0</v>
      </c>
      <c r="S70" s="139">
        <v>0</v>
      </c>
      <c r="T70" s="136"/>
      <c r="U70" s="136"/>
      <c r="V70" s="140"/>
      <c r="W70" s="139"/>
      <c r="X70" s="137"/>
      <c r="Y70" s="139"/>
      <c r="Z70" s="136"/>
      <c r="AA70" s="139"/>
      <c r="AB70" s="136"/>
      <c r="AC70" s="136"/>
      <c r="AD70" s="139"/>
      <c r="AE70" s="142"/>
      <c r="AF70" s="143"/>
      <c r="AG70" s="144"/>
      <c r="AH70" s="135"/>
      <c r="AI70" s="143"/>
      <c r="AJ70" s="135"/>
      <c r="AK70" s="145"/>
      <c r="AL70" s="146"/>
      <c r="AM70" s="144">
        <v>10918</v>
      </c>
      <c r="AN70" s="147"/>
      <c r="AO70" s="144"/>
      <c r="AP70" s="145">
        <v>0</v>
      </c>
      <c r="AQ70" s="144"/>
      <c r="AR70" s="145"/>
      <c r="AS70" s="145"/>
      <c r="AT70" s="144">
        <v>2723</v>
      </c>
      <c r="AU70" s="781">
        <v>32505</v>
      </c>
      <c r="AV70" s="782">
        <v>8127</v>
      </c>
      <c r="AW70" s="344"/>
      <c r="AX70" s="137">
        <v>0</v>
      </c>
      <c r="AY70" s="137">
        <v>27</v>
      </c>
      <c r="AZ70" s="137">
        <v>27</v>
      </c>
    </row>
    <row r="71" spans="1:52" ht="15" customHeight="1" x14ac:dyDescent="0.2">
      <c r="A71" s="388">
        <v>65</v>
      </c>
      <c r="B71" s="148" t="s">
        <v>68</v>
      </c>
      <c r="C71" s="149"/>
      <c r="D71" s="150"/>
      <c r="E71" s="151"/>
      <c r="F71" s="152"/>
      <c r="G71" s="150"/>
      <c r="H71" s="151"/>
      <c r="I71" s="152"/>
      <c r="J71" s="150"/>
      <c r="K71" s="151"/>
      <c r="L71" s="152"/>
      <c r="M71" s="150"/>
      <c r="N71" s="151"/>
      <c r="O71" s="152"/>
      <c r="P71" s="150"/>
      <c r="Q71" s="151"/>
      <c r="R71" s="153">
        <v>32358</v>
      </c>
      <c r="S71" s="153">
        <v>3595</v>
      </c>
      <c r="T71" s="150"/>
      <c r="U71" s="150"/>
      <c r="V71" s="154"/>
      <c r="W71" s="153"/>
      <c r="X71" s="151"/>
      <c r="Y71" s="153"/>
      <c r="Z71" s="150"/>
      <c r="AA71" s="153"/>
      <c r="AB71" s="156"/>
      <c r="AC71" s="150"/>
      <c r="AD71" s="157"/>
      <c r="AE71" s="157"/>
      <c r="AF71" s="158"/>
      <c r="AG71" s="159"/>
      <c r="AH71" s="149"/>
      <c r="AI71" s="158"/>
      <c r="AJ71" s="149"/>
      <c r="AK71" s="160"/>
      <c r="AL71" s="161"/>
      <c r="AM71" s="159">
        <v>53757</v>
      </c>
      <c r="AN71" s="162"/>
      <c r="AO71" s="159"/>
      <c r="AP71" s="160">
        <v>0</v>
      </c>
      <c r="AQ71" s="159"/>
      <c r="AR71" s="160"/>
      <c r="AS71" s="160"/>
      <c r="AT71" s="159">
        <v>7536</v>
      </c>
      <c r="AU71" s="783">
        <v>105503</v>
      </c>
      <c r="AV71" s="784">
        <v>15126</v>
      </c>
      <c r="AW71" s="344"/>
      <c r="AX71" s="151">
        <v>88</v>
      </c>
      <c r="AY71" s="151">
        <v>134</v>
      </c>
      <c r="AZ71" s="151">
        <v>46</v>
      </c>
    </row>
    <row r="72" spans="1:52" ht="15" customHeight="1" x14ac:dyDescent="0.2">
      <c r="A72" s="378">
        <v>66</v>
      </c>
      <c r="B72" s="116" t="s">
        <v>69</v>
      </c>
      <c r="C72" s="117"/>
      <c r="D72" s="118"/>
      <c r="E72" s="119"/>
      <c r="F72" s="120"/>
      <c r="G72" s="118"/>
      <c r="H72" s="119"/>
      <c r="I72" s="120"/>
      <c r="J72" s="118"/>
      <c r="K72" s="119"/>
      <c r="L72" s="120"/>
      <c r="M72" s="118"/>
      <c r="N72" s="119"/>
      <c r="O72" s="120"/>
      <c r="P72" s="118"/>
      <c r="Q72" s="119"/>
      <c r="R72" s="121">
        <v>104419</v>
      </c>
      <c r="S72" s="121">
        <v>11602</v>
      </c>
      <c r="T72" s="118"/>
      <c r="U72" s="118"/>
      <c r="V72" s="122"/>
      <c r="W72" s="121"/>
      <c r="X72" s="119"/>
      <c r="Y72" s="121"/>
      <c r="Z72" s="118"/>
      <c r="AA72" s="121"/>
      <c r="AB72" s="118"/>
      <c r="AC72" s="118"/>
      <c r="AD72" s="121"/>
      <c r="AE72" s="123"/>
      <c r="AF72" s="124"/>
      <c r="AG72" s="125"/>
      <c r="AH72" s="117"/>
      <c r="AI72" s="124"/>
      <c r="AJ72" s="117"/>
      <c r="AK72" s="126"/>
      <c r="AL72" s="127"/>
      <c r="AM72" s="125">
        <v>109915</v>
      </c>
      <c r="AN72" s="128"/>
      <c r="AO72" s="125"/>
      <c r="AP72" s="126">
        <v>0</v>
      </c>
      <c r="AQ72" s="125"/>
      <c r="AR72" s="126"/>
      <c r="AS72" s="126"/>
      <c r="AT72" s="125">
        <v>16915</v>
      </c>
      <c r="AU72" s="779">
        <v>271763</v>
      </c>
      <c r="AV72" s="780">
        <v>40086</v>
      </c>
      <c r="AW72" s="344"/>
      <c r="AX72" s="785">
        <v>158</v>
      </c>
      <c r="AY72" s="785">
        <v>275</v>
      </c>
      <c r="AZ72" s="785">
        <v>117</v>
      </c>
    </row>
    <row r="73" spans="1:52" ht="15" customHeight="1" x14ac:dyDescent="0.2">
      <c r="A73" s="383">
        <v>67</v>
      </c>
      <c r="B73" s="134" t="s">
        <v>2</v>
      </c>
      <c r="C73" s="135"/>
      <c r="D73" s="136"/>
      <c r="E73" s="137"/>
      <c r="F73" s="138"/>
      <c r="G73" s="136"/>
      <c r="H73" s="137"/>
      <c r="I73" s="138"/>
      <c r="J73" s="136"/>
      <c r="K73" s="137"/>
      <c r="L73" s="138"/>
      <c r="M73" s="136"/>
      <c r="N73" s="137"/>
      <c r="O73" s="138"/>
      <c r="P73" s="136"/>
      <c r="Q73" s="137"/>
      <c r="R73" s="139">
        <v>120717</v>
      </c>
      <c r="S73" s="139">
        <v>13413</v>
      </c>
      <c r="T73" s="136"/>
      <c r="U73" s="136"/>
      <c r="V73" s="140"/>
      <c r="W73" s="139"/>
      <c r="X73" s="137"/>
      <c r="Y73" s="139"/>
      <c r="Z73" s="136"/>
      <c r="AA73" s="139"/>
      <c r="AB73" s="136"/>
      <c r="AC73" s="136"/>
      <c r="AD73" s="139"/>
      <c r="AE73" s="142"/>
      <c r="AF73" s="143"/>
      <c r="AG73" s="144"/>
      <c r="AH73" s="135"/>
      <c r="AI73" s="143"/>
      <c r="AJ73" s="135"/>
      <c r="AK73" s="145"/>
      <c r="AL73" s="146"/>
      <c r="AM73" s="144">
        <v>193010</v>
      </c>
      <c r="AN73" s="147"/>
      <c r="AO73" s="144"/>
      <c r="AP73" s="145">
        <v>-5010</v>
      </c>
      <c r="AQ73" s="144"/>
      <c r="AR73" s="145"/>
      <c r="AS73" s="145"/>
      <c r="AT73" s="144">
        <v>26433</v>
      </c>
      <c r="AU73" s="781">
        <v>370867</v>
      </c>
      <c r="AV73" s="782">
        <v>52931</v>
      </c>
      <c r="AW73" s="344"/>
      <c r="AX73" s="785">
        <v>320</v>
      </c>
      <c r="AY73" s="785">
        <v>483</v>
      </c>
      <c r="AZ73" s="785">
        <v>163</v>
      </c>
    </row>
    <row r="74" spans="1:52" ht="15" customHeight="1" x14ac:dyDescent="0.2">
      <c r="A74" s="383">
        <v>68</v>
      </c>
      <c r="B74" s="134" t="s">
        <v>1</v>
      </c>
      <c r="C74" s="135"/>
      <c r="D74" s="136"/>
      <c r="E74" s="137"/>
      <c r="F74" s="138"/>
      <c r="G74" s="136"/>
      <c r="H74" s="137"/>
      <c r="I74" s="138"/>
      <c r="J74" s="136"/>
      <c r="K74" s="137"/>
      <c r="L74" s="138"/>
      <c r="M74" s="136"/>
      <c r="N74" s="137"/>
      <c r="O74" s="138"/>
      <c r="P74" s="136"/>
      <c r="Q74" s="137"/>
      <c r="R74" s="139">
        <v>45651</v>
      </c>
      <c r="S74" s="139">
        <v>5072</v>
      </c>
      <c r="T74" s="136"/>
      <c r="U74" s="136"/>
      <c r="V74" s="140"/>
      <c r="W74" s="139"/>
      <c r="X74" s="137"/>
      <c r="Y74" s="139"/>
      <c r="Z74" s="136"/>
      <c r="AA74" s="139"/>
      <c r="AB74" s="136"/>
      <c r="AC74" s="136"/>
      <c r="AD74" s="139"/>
      <c r="AE74" s="142"/>
      <c r="AF74" s="143"/>
      <c r="AG74" s="144"/>
      <c r="AH74" s="135"/>
      <c r="AI74" s="143"/>
      <c r="AJ74" s="135"/>
      <c r="AK74" s="145"/>
      <c r="AL74" s="146"/>
      <c r="AM74" s="144">
        <v>37251</v>
      </c>
      <c r="AN74" s="147"/>
      <c r="AO74" s="144"/>
      <c r="AP74" s="145">
        <v>0</v>
      </c>
      <c r="AQ74" s="144"/>
      <c r="AR74" s="145"/>
      <c r="AS74" s="145"/>
      <c r="AT74" s="144">
        <v>5828</v>
      </c>
      <c r="AU74" s="781">
        <v>118803</v>
      </c>
      <c r="AV74" s="782">
        <v>18649</v>
      </c>
      <c r="AW74" s="344"/>
      <c r="AX74" s="785">
        <v>52</v>
      </c>
      <c r="AY74" s="785">
        <v>93</v>
      </c>
      <c r="AZ74" s="785">
        <v>41</v>
      </c>
    </row>
    <row r="75" spans="1:52" ht="15" customHeight="1" x14ac:dyDescent="0.2">
      <c r="A75" s="383">
        <v>69</v>
      </c>
      <c r="B75" s="134" t="s">
        <v>74</v>
      </c>
      <c r="C75" s="135"/>
      <c r="D75" s="136"/>
      <c r="E75" s="137"/>
      <c r="F75" s="138"/>
      <c r="G75" s="136"/>
      <c r="H75" s="137"/>
      <c r="I75" s="138"/>
      <c r="J75" s="136"/>
      <c r="K75" s="137"/>
      <c r="L75" s="138"/>
      <c r="M75" s="136"/>
      <c r="N75" s="137"/>
      <c r="O75" s="138"/>
      <c r="P75" s="136"/>
      <c r="Q75" s="137"/>
      <c r="R75" s="139">
        <v>120612</v>
      </c>
      <c r="S75" s="139">
        <v>13401</v>
      </c>
      <c r="T75" s="136"/>
      <c r="U75" s="136"/>
      <c r="V75" s="140"/>
      <c r="W75" s="139"/>
      <c r="X75" s="137"/>
      <c r="Y75" s="139"/>
      <c r="Z75" s="136"/>
      <c r="AA75" s="139"/>
      <c r="AB75" s="136"/>
      <c r="AC75" s="136"/>
      <c r="AD75" s="139"/>
      <c r="AE75" s="142"/>
      <c r="AF75" s="143"/>
      <c r="AG75" s="144"/>
      <c r="AH75" s="135"/>
      <c r="AI75" s="143"/>
      <c r="AJ75" s="135"/>
      <c r="AK75" s="145"/>
      <c r="AL75" s="146"/>
      <c r="AM75" s="144">
        <v>105106</v>
      </c>
      <c r="AN75" s="147"/>
      <c r="AO75" s="144"/>
      <c r="AP75" s="145">
        <v>0</v>
      </c>
      <c r="AQ75" s="144"/>
      <c r="AR75" s="145"/>
      <c r="AS75" s="145"/>
      <c r="AT75" s="144">
        <v>14777</v>
      </c>
      <c r="AU75" s="781">
        <v>289453</v>
      </c>
      <c r="AV75" s="782">
        <v>40824</v>
      </c>
      <c r="AW75" s="344"/>
      <c r="AX75" s="786">
        <v>172</v>
      </c>
      <c r="AY75" s="786">
        <v>263</v>
      </c>
      <c r="AZ75" s="786">
        <v>91</v>
      </c>
    </row>
    <row r="76" spans="1:52" s="16" customFormat="1" ht="15" customHeight="1" thickBot="1" x14ac:dyDescent="0.25">
      <c r="A76" s="1493" t="s">
        <v>397</v>
      </c>
      <c r="B76" s="1494"/>
      <c r="C76" s="1021">
        <v>3000</v>
      </c>
      <c r="D76" s="1022">
        <v>3830.1946329323391</v>
      </c>
      <c r="E76" s="1023">
        <v>11886434.721594753</v>
      </c>
      <c r="F76" s="1024">
        <v>1825</v>
      </c>
      <c r="G76" s="1025">
        <v>512.64871144009294</v>
      </c>
      <c r="H76" s="1026">
        <v>989551.81506361312</v>
      </c>
      <c r="I76" s="1024">
        <v>2006</v>
      </c>
      <c r="J76" s="1025">
        <v>142.76439673276815</v>
      </c>
      <c r="K76" s="1026">
        <v>293131.29851602769</v>
      </c>
      <c r="L76" s="1024">
        <v>347</v>
      </c>
      <c r="M76" s="1025">
        <v>3541.6820794202499</v>
      </c>
      <c r="N76" s="1026">
        <v>1272616.6146992086</v>
      </c>
      <c r="O76" s="1024">
        <v>118</v>
      </c>
      <c r="P76" s="1025">
        <v>1372.94295435559</v>
      </c>
      <c r="Q76" s="1026">
        <v>169341.39447750925</v>
      </c>
      <c r="R76" s="1027">
        <v>14611074</v>
      </c>
      <c r="S76" s="1027">
        <v>1623453</v>
      </c>
      <c r="T76" s="1025">
        <v>1076501</v>
      </c>
      <c r="U76" s="1025">
        <v>109060</v>
      </c>
      <c r="V76" s="1028">
        <v>1185561</v>
      </c>
      <c r="W76" s="1027">
        <v>15796635</v>
      </c>
      <c r="X76" s="1026">
        <v>-39494</v>
      </c>
      <c r="Y76" s="1027">
        <v>15757141</v>
      </c>
      <c r="Z76" s="1026">
        <v>-244830</v>
      </c>
      <c r="AA76" s="1027">
        <v>15512311</v>
      </c>
      <c r="AB76" s="1025">
        <v>9553168</v>
      </c>
      <c r="AC76" s="1025">
        <v>5959143</v>
      </c>
      <c r="AD76" s="1027">
        <v>1489798</v>
      </c>
      <c r="AE76" s="1029">
        <v>15512311</v>
      </c>
      <c r="AF76" s="1025">
        <v>4880.7</v>
      </c>
      <c r="AG76" s="1030">
        <v>13379343</v>
      </c>
      <c r="AH76" s="1024">
        <v>191</v>
      </c>
      <c r="AI76" s="1025">
        <v>757996</v>
      </c>
      <c r="AJ76" s="1024">
        <v>36</v>
      </c>
      <c r="AK76" s="1025">
        <v>85405</v>
      </c>
      <c r="AL76" s="1028">
        <v>843401</v>
      </c>
      <c r="AM76" s="1030">
        <v>14222744</v>
      </c>
      <c r="AN76" s="1025">
        <v>-35554</v>
      </c>
      <c r="AO76" s="1030">
        <v>14187190</v>
      </c>
      <c r="AP76" s="1025">
        <v>-300898</v>
      </c>
      <c r="AQ76" s="1030">
        <v>13886292</v>
      </c>
      <c r="AR76" s="1025">
        <v>8646654</v>
      </c>
      <c r="AS76" s="1025">
        <v>5239638</v>
      </c>
      <c r="AT76" s="1030">
        <v>1309918</v>
      </c>
      <c r="AU76" s="787">
        <v>29398603</v>
      </c>
      <c r="AV76" s="787">
        <v>2799716</v>
      </c>
      <c r="AW76" s="516"/>
      <c r="AX76" s="165">
        <v>33265</v>
      </c>
      <c r="AY76" s="165">
        <v>35554</v>
      </c>
      <c r="AZ76" s="165">
        <v>2289</v>
      </c>
    </row>
    <row r="77" spans="1:52" s="16" customFormat="1" ht="15" customHeight="1" thickTop="1" x14ac:dyDescent="0.2">
      <c r="A77" s="1439" t="s">
        <v>1273</v>
      </c>
      <c r="B77" s="1440"/>
      <c r="C77" s="1017"/>
      <c r="D77" s="975"/>
      <c r="E77" s="1018"/>
      <c r="F77" s="1019"/>
      <c r="G77" s="975"/>
      <c r="H77" s="1018"/>
      <c r="I77" s="1019"/>
      <c r="J77" s="975"/>
      <c r="K77" s="1018"/>
      <c r="L77" s="1019"/>
      <c r="M77" s="975"/>
      <c r="N77" s="1018"/>
      <c r="O77" s="1019"/>
      <c r="P77" s="975"/>
      <c r="Q77" s="1018"/>
      <c r="R77" s="976">
        <v>313602</v>
      </c>
      <c r="S77" s="975"/>
      <c r="T77" s="975"/>
      <c r="U77" s="975"/>
      <c r="V77" s="975"/>
      <c r="W77" s="976">
        <v>313602</v>
      </c>
      <c r="X77" s="1018">
        <v>-784</v>
      </c>
      <c r="Y77" s="976">
        <v>312818</v>
      </c>
      <c r="Z77" s="975"/>
      <c r="AA77" s="976">
        <v>312818</v>
      </c>
      <c r="AB77" s="975">
        <v>186372</v>
      </c>
      <c r="AC77" s="975">
        <v>126446</v>
      </c>
      <c r="AD77" s="976">
        <v>31612</v>
      </c>
      <c r="AE77" s="1020">
        <v>312818</v>
      </c>
      <c r="AF77" s="975"/>
      <c r="AG77" s="975"/>
      <c r="AH77" s="1019"/>
      <c r="AI77" s="975"/>
      <c r="AJ77" s="1019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1179">
        <v>312818</v>
      </c>
      <c r="AV77" s="1032">
        <v>31612</v>
      </c>
      <c r="AW77" s="1033"/>
      <c r="AX77" s="1034"/>
      <c r="AY77" s="1034">
        <v>0</v>
      </c>
      <c r="AZ77" s="788">
        <v>0</v>
      </c>
    </row>
    <row r="78" spans="1:52" s="16" customFormat="1" ht="15" customHeight="1" x14ac:dyDescent="0.2">
      <c r="A78" s="1429" t="s">
        <v>357</v>
      </c>
      <c r="B78" s="1430"/>
      <c r="C78" s="789"/>
      <c r="D78" s="790"/>
      <c r="E78" s="790"/>
      <c r="F78" s="789"/>
      <c r="G78" s="790"/>
      <c r="H78" s="790"/>
      <c r="I78" s="789"/>
      <c r="J78" s="790"/>
      <c r="K78" s="790"/>
      <c r="L78" s="789"/>
      <c r="M78" s="790"/>
      <c r="N78" s="790"/>
      <c r="O78" s="789"/>
      <c r="P78" s="790"/>
      <c r="Q78" s="790"/>
      <c r="R78" s="790"/>
      <c r="S78" s="790"/>
      <c r="T78" s="790"/>
      <c r="U78" s="790"/>
      <c r="V78" s="790"/>
      <c r="W78" s="790"/>
      <c r="X78" s="790"/>
      <c r="Y78" s="790"/>
      <c r="Z78" s="790"/>
      <c r="AA78" s="791"/>
      <c r="AB78" s="791"/>
      <c r="AC78" s="790"/>
      <c r="AD78" s="791"/>
      <c r="AE78" s="791"/>
      <c r="AF78" s="791"/>
      <c r="AG78" s="791"/>
      <c r="AH78" s="789"/>
      <c r="AI78" s="791"/>
      <c r="AJ78" s="789"/>
      <c r="AK78" s="791"/>
      <c r="AL78" s="791"/>
      <c r="AM78" s="791"/>
      <c r="AN78" s="791"/>
      <c r="AO78" s="791"/>
      <c r="AP78" s="791"/>
      <c r="AQ78" s="791"/>
      <c r="AR78" s="791"/>
      <c r="AS78" s="791"/>
      <c r="AT78" s="791"/>
      <c r="AU78" s="1035">
        <v>0</v>
      </c>
      <c r="AV78" s="1035">
        <v>0</v>
      </c>
      <c r="AW78" s="516"/>
      <c r="AX78" s="788"/>
      <c r="AY78" s="788"/>
      <c r="AZ78" s="788"/>
    </row>
    <row r="79" spans="1:52" s="16" customFormat="1" ht="15" customHeight="1" x14ac:dyDescent="0.2">
      <c r="A79" s="1427" t="s">
        <v>358</v>
      </c>
      <c r="B79" s="1428"/>
      <c r="C79" s="789"/>
      <c r="D79" s="790"/>
      <c r="E79" s="790"/>
      <c r="F79" s="789"/>
      <c r="G79" s="790"/>
      <c r="H79" s="790"/>
      <c r="I79" s="789"/>
      <c r="J79" s="790"/>
      <c r="K79" s="790"/>
      <c r="L79" s="789"/>
      <c r="M79" s="790"/>
      <c r="N79" s="790"/>
      <c r="O79" s="789"/>
      <c r="P79" s="790"/>
      <c r="Q79" s="790"/>
      <c r="R79" s="790"/>
      <c r="S79" s="790"/>
      <c r="T79" s="790"/>
      <c r="U79" s="790"/>
      <c r="V79" s="790"/>
      <c r="W79" s="790"/>
      <c r="X79" s="790"/>
      <c r="Y79" s="790"/>
      <c r="Z79" s="790"/>
      <c r="AA79" s="142">
        <v>0</v>
      </c>
      <c r="AB79" s="791">
        <v>0</v>
      </c>
      <c r="AC79" s="790">
        <v>0</v>
      </c>
      <c r="AD79" s="142">
        <v>0</v>
      </c>
      <c r="AE79" s="142">
        <v>0</v>
      </c>
      <c r="AF79" s="790"/>
      <c r="AG79" s="790"/>
      <c r="AH79" s="789"/>
      <c r="AI79" s="790"/>
      <c r="AJ79" s="789"/>
      <c r="AK79" s="790"/>
      <c r="AL79" s="790"/>
      <c r="AM79" s="790"/>
      <c r="AN79" s="790"/>
      <c r="AO79" s="790"/>
      <c r="AP79" s="790"/>
      <c r="AQ79" s="790"/>
      <c r="AR79" s="790"/>
      <c r="AS79" s="790"/>
      <c r="AT79" s="790"/>
      <c r="AU79" s="792">
        <v>0</v>
      </c>
      <c r="AV79" s="792">
        <v>0</v>
      </c>
      <c r="AW79" s="516"/>
      <c r="AX79" s="516"/>
      <c r="AY79" s="516"/>
      <c r="AZ79" s="516"/>
    </row>
    <row r="80" spans="1:52" s="16" customFormat="1" ht="15" customHeight="1" x14ac:dyDescent="0.2">
      <c r="A80" s="1425" t="s">
        <v>373</v>
      </c>
      <c r="B80" s="1426"/>
      <c r="C80" s="789"/>
      <c r="D80" s="790"/>
      <c r="E80" s="790"/>
      <c r="F80" s="789"/>
      <c r="G80" s="790"/>
      <c r="H80" s="790"/>
      <c r="I80" s="789"/>
      <c r="J80" s="790"/>
      <c r="K80" s="790"/>
      <c r="L80" s="789"/>
      <c r="M80" s="790"/>
      <c r="N80" s="790"/>
      <c r="O80" s="789"/>
      <c r="P80" s="790"/>
      <c r="Q80" s="790"/>
      <c r="R80" s="790"/>
      <c r="S80" s="790"/>
      <c r="T80" s="790"/>
      <c r="U80" s="790"/>
      <c r="V80" s="790"/>
      <c r="W80" s="790"/>
      <c r="X80" s="790"/>
      <c r="Y80" s="790"/>
      <c r="Z80" s="790"/>
      <c r="AA80" s="793"/>
      <c r="AB80" s="791"/>
      <c r="AC80" s="790"/>
      <c r="AD80" s="793"/>
      <c r="AE80" s="142">
        <v>0</v>
      </c>
      <c r="AF80" s="790"/>
      <c r="AG80" s="790"/>
      <c r="AH80" s="789"/>
      <c r="AI80" s="790"/>
      <c r="AJ80" s="789"/>
      <c r="AK80" s="790"/>
      <c r="AL80" s="790"/>
      <c r="AM80" s="790"/>
      <c r="AN80" s="790"/>
      <c r="AO80" s="790"/>
      <c r="AP80" s="790"/>
      <c r="AQ80" s="790"/>
      <c r="AR80" s="790"/>
      <c r="AS80" s="790"/>
      <c r="AT80" s="790"/>
      <c r="AU80" s="792">
        <v>0</v>
      </c>
      <c r="AV80" s="790"/>
      <c r="AW80" s="516"/>
      <c r="AX80" s="516"/>
      <c r="AY80" s="516"/>
      <c r="AZ80" s="516"/>
    </row>
    <row r="81" spans="1:52" ht="15" customHeight="1" x14ac:dyDescent="0.2">
      <c r="A81" s="1437" t="s">
        <v>1368</v>
      </c>
      <c r="B81" s="1438"/>
      <c r="C81" s="789"/>
      <c r="D81" s="790"/>
      <c r="E81" s="790"/>
      <c r="F81" s="789"/>
      <c r="G81" s="790"/>
      <c r="H81" s="790"/>
      <c r="I81" s="789"/>
      <c r="J81" s="790"/>
      <c r="K81" s="790"/>
      <c r="L81" s="789"/>
      <c r="M81" s="790"/>
      <c r="N81" s="790"/>
      <c r="O81" s="789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0"/>
      <c r="AA81" s="791"/>
      <c r="AB81" s="791"/>
      <c r="AC81" s="790"/>
      <c r="AD81" s="791"/>
      <c r="AE81" s="142">
        <v>58322</v>
      </c>
      <c r="AF81" s="790"/>
      <c r="AG81" s="790"/>
      <c r="AH81" s="789"/>
      <c r="AI81" s="790"/>
      <c r="AJ81" s="789"/>
      <c r="AK81" s="790"/>
      <c r="AL81" s="790"/>
      <c r="AM81" s="790"/>
      <c r="AN81" s="790"/>
      <c r="AO81" s="790"/>
      <c r="AP81" s="790"/>
      <c r="AQ81" s="790"/>
      <c r="AR81" s="790"/>
      <c r="AS81" s="790"/>
      <c r="AT81" s="790"/>
      <c r="AU81" s="792">
        <v>0</v>
      </c>
      <c r="AV81" s="790"/>
      <c r="AW81" s="344"/>
      <c r="AX81" s="344"/>
      <c r="AY81" s="344"/>
      <c r="AZ81" s="344"/>
    </row>
    <row r="82" spans="1:52" s="16" customFormat="1" ht="15" customHeight="1" x14ac:dyDescent="0.2">
      <c r="A82" s="1437" t="s">
        <v>372</v>
      </c>
      <c r="B82" s="1438"/>
      <c r="C82" s="789"/>
      <c r="D82" s="790"/>
      <c r="E82" s="790"/>
      <c r="F82" s="789"/>
      <c r="G82" s="790"/>
      <c r="H82" s="790"/>
      <c r="I82" s="789"/>
      <c r="J82" s="790"/>
      <c r="K82" s="790"/>
      <c r="L82" s="789"/>
      <c r="M82" s="790"/>
      <c r="N82" s="790"/>
      <c r="O82" s="789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3"/>
      <c r="AB82" s="791"/>
      <c r="AC82" s="790"/>
      <c r="AD82" s="793"/>
      <c r="AE82" s="142">
        <v>0</v>
      </c>
      <c r="AF82" s="790"/>
      <c r="AG82" s="790"/>
      <c r="AH82" s="789"/>
      <c r="AI82" s="790"/>
      <c r="AJ82" s="789"/>
      <c r="AK82" s="790"/>
      <c r="AL82" s="790"/>
      <c r="AM82" s="790"/>
      <c r="AN82" s="790"/>
      <c r="AO82" s="790"/>
      <c r="AP82" s="790"/>
      <c r="AQ82" s="790"/>
      <c r="AR82" s="790"/>
      <c r="AS82" s="790"/>
      <c r="AT82" s="790"/>
      <c r="AU82" s="792">
        <v>0</v>
      </c>
      <c r="AV82" s="790"/>
      <c r="AW82" s="516"/>
      <c r="AX82" s="516"/>
      <c r="AY82" s="516"/>
      <c r="AZ82" s="516"/>
    </row>
    <row r="83" spans="1:52" s="16" customFormat="1" ht="15" customHeight="1" x14ac:dyDescent="0.2">
      <c r="A83" s="1435" t="s">
        <v>253</v>
      </c>
      <c r="B83" s="1436"/>
      <c r="C83" s="794"/>
      <c r="D83" s="795"/>
      <c r="E83" s="795"/>
      <c r="F83" s="794"/>
      <c r="G83" s="795"/>
      <c r="H83" s="795"/>
      <c r="I83" s="794"/>
      <c r="J83" s="795"/>
      <c r="K83" s="795"/>
      <c r="L83" s="794"/>
      <c r="M83" s="795"/>
      <c r="N83" s="795"/>
      <c r="O83" s="794"/>
      <c r="P83" s="795"/>
      <c r="Q83" s="795"/>
      <c r="R83" s="795"/>
      <c r="S83" s="795"/>
      <c r="T83" s="795"/>
      <c r="U83" s="795"/>
      <c r="V83" s="795"/>
      <c r="W83" s="795"/>
      <c r="X83" s="795"/>
      <c r="Y83" s="795"/>
      <c r="Z83" s="795"/>
      <c r="AA83" s="157">
        <v>115581</v>
      </c>
      <c r="AB83" s="156">
        <v>77056</v>
      </c>
      <c r="AC83" s="795">
        <v>38525</v>
      </c>
      <c r="AD83" s="157">
        <v>9631</v>
      </c>
      <c r="AE83" s="157">
        <v>115581</v>
      </c>
      <c r="AF83" s="795"/>
      <c r="AG83" s="795"/>
      <c r="AH83" s="794"/>
      <c r="AI83" s="795"/>
      <c r="AJ83" s="794"/>
      <c r="AK83" s="795"/>
      <c r="AL83" s="795"/>
      <c r="AM83" s="795"/>
      <c r="AN83" s="795"/>
      <c r="AO83" s="795"/>
      <c r="AP83" s="795"/>
      <c r="AQ83" s="795"/>
      <c r="AR83" s="795"/>
      <c r="AS83" s="795"/>
      <c r="AT83" s="795"/>
      <c r="AU83" s="796">
        <v>115581</v>
      </c>
      <c r="AV83" s="796">
        <v>9631</v>
      </c>
      <c r="AW83" s="516"/>
      <c r="AX83" s="516"/>
      <c r="AY83" s="516"/>
      <c r="AZ83" s="516"/>
    </row>
    <row r="84" spans="1:52" s="16" customFormat="1" ht="15" customHeight="1" thickBot="1" x14ac:dyDescent="0.25">
      <c r="A84" s="1493" t="s">
        <v>398</v>
      </c>
      <c r="B84" s="1494"/>
      <c r="C84" s="1021">
        <v>3000</v>
      </c>
      <c r="D84" s="1022">
        <v>3830.1946329323391</v>
      </c>
      <c r="E84" s="1023">
        <v>11886434.721594753</v>
      </c>
      <c r="F84" s="1024">
        <v>1825</v>
      </c>
      <c r="G84" s="1025">
        <v>512.64871144009294</v>
      </c>
      <c r="H84" s="1026">
        <v>989551.81506361312</v>
      </c>
      <c r="I84" s="1024">
        <v>2006</v>
      </c>
      <c r="J84" s="1025">
        <v>142.76439673276815</v>
      </c>
      <c r="K84" s="1026">
        <v>293131.29851602769</v>
      </c>
      <c r="L84" s="1024">
        <v>347</v>
      </c>
      <c r="M84" s="1025">
        <v>3541.6820794202499</v>
      </c>
      <c r="N84" s="1026">
        <v>1272616.6146992086</v>
      </c>
      <c r="O84" s="1024">
        <v>118</v>
      </c>
      <c r="P84" s="1025">
        <v>1372.94295435559</v>
      </c>
      <c r="Q84" s="1026">
        <v>169341.39447750925</v>
      </c>
      <c r="R84" s="1027">
        <v>14924676</v>
      </c>
      <c r="S84" s="1027">
        <v>1623453</v>
      </c>
      <c r="T84" s="1025">
        <v>1076501</v>
      </c>
      <c r="U84" s="1025">
        <v>109060</v>
      </c>
      <c r="V84" s="1028">
        <v>1185561</v>
      </c>
      <c r="W84" s="1027">
        <v>16110237</v>
      </c>
      <c r="X84" s="1026">
        <v>-40278</v>
      </c>
      <c r="Y84" s="1027">
        <v>16069959</v>
      </c>
      <c r="Z84" s="1026">
        <v>-244830</v>
      </c>
      <c r="AA84" s="1027">
        <v>15940710</v>
      </c>
      <c r="AB84" s="1025">
        <v>9816596</v>
      </c>
      <c r="AC84" s="1025">
        <v>6124114</v>
      </c>
      <c r="AD84" s="1027">
        <v>1531041</v>
      </c>
      <c r="AE84" s="1029">
        <v>15999032</v>
      </c>
      <c r="AF84" s="1025">
        <v>4880.7</v>
      </c>
      <c r="AG84" s="1030">
        <v>13379343</v>
      </c>
      <c r="AH84" s="1024">
        <v>191</v>
      </c>
      <c r="AI84" s="1025">
        <v>757996</v>
      </c>
      <c r="AJ84" s="1024">
        <v>36</v>
      </c>
      <c r="AK84" s="1025">
        <v>85405</v>
      </c>
      <c r="AL84" s="1028">
        <v>843401</v>
      </c>
      <c r="AM84" s="1030">
        <v>14222744</v>
      </c>
      <c r="AN84" s="1025">
        <v>-35554</v>
      </c>
      <c r="AO84" s="1030">
        <v>14187190</v>
      </c>
      <c r="AP84" s="1025">
        <v>-300898</v>
      </c>
      <c r="AQ84" s="1030">
        <v>13886292</v>
      </c>
      <c r="AR84" s="1025">
        <v>8646654</v>
      </c>
      <c r="AS84" s="1025">
        <v>5239638</v>
      </c>
      <c r="AT84" s="1030">
        <v>1309918</v>
      </c>
      <c r="AU84" s="787">
        <v>29827002</v>
      </c>
      <c r="AV84" s="787">
        <v>2840959</v>
      </c>
      <c r="AW84" s="516"/>
      <c r="AX84" s="165">
        <v>33265</v>
      </c>
      <c r="AY84" s="165">
        <v>35554</v>
      </c>
      <c r="AZ84" s="165">
        <v>2289</v>
      </c>
    </row>
    <row r="85" spans="1:52" ht="16.149999999999999" customHeight="1" thickTop="1" x14ac:dyDescent="0.2"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05"/>
      <c r="Z85" s="12"/>
      <c r="AA85" s="12"/>
      <c r="AB85" s="12"/>
      <c r="AC85" s="12"/>
      <c r="AD85" s="12"/>
      <c r="AE85" s="12"/>
      <c r="AF85" s="12"/>
      <c r="AG85" s="12"/>
    </row>
    <row r="86" spans="1:52" ht="16.149999999999999" customHeight="1" x14ac:dyDescent="0.2"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05"/>
      <c r="Z86" s="12"/>
      <c r="AA86" s="12"/>
      <c r="AB86" s="12"/>
      <c r="AC86" s="12"/>
      <c r="AD86" s="12"/>
      <c r="AE86" s="12"/>
      <c r="AF86" s="12"/>
      <c r="AG86" s="12"/>
    </row>
    <row r="87" spans="1:52" ht="16.149999999999999" customHeight="1" x14ac:dyDescent="0.2">
      <c r="D87" s="12"/>
      <c r="E87" s="12"/>
      <c r="F87" s="12"/>
      <c r="G87" s="12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12"/>
      <c r="S87" s="12"/>
      <c r="T87" s="12"/>
      <c r="U87" s="12"/>
      <c r="V87" s="12"/>
      <c r="W87" s="12"/>
      <c r="X87" s="12"/>
      <c r="Y87" s="105"/>
      <c r="Z87" s="12"/>
      <c r="AA87" s="12"/>
      <c r="AB87" s="12"/>
      <c r="AC87" s="12"/>
      <c r="AD87" s="12"/>
      <c r="AE87" s="12"/>
      <c r="AF87" s="12"/>
      <c r="AG87" s="12"/>
    </row>
    <row r="88" spans="1:52" ht="16.149999999999999" customHeight="1" x14ac:dyDescent="0.2">
      <c r="H88" s="9"/>
      <c r="I88" s="9"/>
      <c r="J88" s="1441"/>
      <c r="K88" s="518"/>
      <c r="L88" s="518"/>
      <c r="M88" s="1441"/>
      <c r="N88" s="518"/>
      <c r="O88" s="518"/>
      <c r="P88" s="1441"/>
      <c r="Q88" s="518"/>
    </row>
    <row r="89" spans="1:52" x14ac:dyDescent="0.2">
      <c r="A89" s="5" t="s">
        <v>1171</v>
      </c>
      <c r="B89" s="5" t="s">
        <v>1171</v>
      </c>
      <c r="C89" s="5" t="s">
        <v>1171</v>
      </c>
      <c r="D89" s="5" t="s">
        <v>1171</v>
      </c>
      <c r="E89" s="5" t="s">
        <v>1171</v>
      </c>
      <c r="H89" s="9"/>
      <c r="I89" s="9"/>
      <c r="J89" s="1441"/>
      <c r="K89" s="518"/>
      <c r="L89" s="518"/>
      <c r="M89" s="1441"/>
      <c r="N89" s="518"/>
      <c r="O89" s="518"/>
      <c r="P89" s="1441"/>
      <c r="Q89" s="518"/>
      <c r="AD89" s="5">
        <v>4</v>
      </c>
      <c r="AT89" s="5">
        <v>4</v>
      </c>
    </row>
    <row r="90" spans="1:52" x14ac:dyDescent="0.2">
      <c r="H90" s="9"/>
      <c r="I90" s="9"/>
      <c r="J90" s="9"/>
      <c r="K90" s="9"/>
      <c r="L90" s="9"/>
      <c r="M90" s="9"/>
      <c r="N90" s="9"/>
      <c r="O90" s="9"/>
      <c r="P90" s="9"/>
      <c r="Q90" s="9"/>
    </row>
    <row r="91" spans="1:52" x14ac:dyDescent="0.2">
      <c r="B91" s="858">
        <v>345001</v>
      </c>
    </row>
    <row r="92" spans="1:52" x14ac:dyDescent="0.2">
      <c r="B92" s="857" t="s">
        <v>1462</v>
      </c>
    </row>
    <row r="93" spans="1:52" x14ac:dyDescent="0.2">
      <c r="B93" s="857" t="s">
        <v>1167</v>
      </c>
    </row>
    <row r="94" spans="1:52" x14ac:dyDescent="0.2">
      <c r="B94" s="857" t="s">
        <v>1502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N2:AN3"/>
    <mergeCell ref="W2:W3"/>
    <mergeCell ref="X2:X3"/>
    <mergeCell ref="Y2:Y3"/>
    <mergeCell ref="Z2:Z3"/>
    <mergeCell ref="AG2:AG3"/>
    <mergeCell ref="L2:N2"/>
    <mergeCell ref="A79:B79"/>
    <mergeCell ref="AH2:AL2"/>
    <mergeCell ref="AM2:AM3"/>
    <mergeCell ref="O2:Q2"/>
    <mergeCell ref="A77:B77"/>
    <mergeCell ref="AB2:AB3"/>
    <mergeCell ref="AC2:AC3"/>
    <mergeCell ref="AD2:AD3"/>
    <mergeCell ref="AE2:AE3"/>
    <mergeCell ref="AF2:AF3"/>
    <mergeCell ref="AU1:AU3"/>
    <mergeCell ref="AV1:AV3"/>
    <mergeCell ref="M88:M89"/>
    <mergeCell ref="P88:P89"/>
    <mergeCell ref="AR2:AR3"/>
    <mergeCell ref="AS2:AS3"/>
    <mergeCell ref="AQ2:AQ3"/>
    <mergeCell ref="AA2:AA3"/>
    <mergeCell ref="S2:S3"/>
    <mergeCell ref="L1:V1"/>
    <mergeCell ref="R2:R3"/>
    <mergeCell ref="T2:V2"/>
    <mergeCell ref="AF1:AL1"/>
    <mergeCell ref="W1:AE1"/>
    <mergeCell ref="AM1:AT1"/>
    <mergeCell ref="AT2:AT3"/>
    <mergeCell ref="J88:J89"/>
    <mergeCell ref="A76:B76"/>
    <mergeCell ref="A78:B78"/>
    <mergeCell ref="AP2:AP3"/>
    <mergeCell ref="A80:B80"/>
    <mergeCell ref="A81:B81"/>
    <mergeCell ref="A82:B82"/>
    <mergeCell ref="A83:B83"/>
    <mergeCell ref="A84:B84"/>
    <mergeCell ref="A1:B3"/>
    <mergeCell ref="C1:K1"/>
    <mergeCell ref="C2:C3"/>
    <mergeCell ref="D2:E2"/>
    <mergeCell ref="F2:H2"/>
    <mergeCell ref="I2:K2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&amp;L&amp;"Arial,Bold"&amp;18&amp;K000000FY2019-20 Budget Letter
March 2020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.7109375" style="7" customWidth="1"/>
    <col min="2" max="2" width="18.5703125" style="7" customWidth="1"/>
    <col min="3" max="3" width="16" style="7" customWidth="1"/>
    <col min="4" max="4" width="16.85546875" style="7" bestFit="1" customWidth="1"/>
    <col min="5" max="5" width="13.7109375" style="7" customWidth="1"/>
    <col min="6" max="7" width="16" style="7" customWidth="1"/>
    <col min="8" max="8" width="13.7109375" style="7" bestFit="1" customWidth="1"/>
    <col min="9" max="9" width="13.85546875" style="7" customWidth="1"/>
    <col min="10" max="10" width="15.5703125" style="7" bestFit="1" customWidth="1"/>
    <col min="11" max="16384" width="8.85546875" style="7"/>
  </cols>
  <sheetData>
    <row r="1" spans="1:10" ht="18.600000000000001" customHeight="1" x14ac:dyDescent="0.2">
      <c r="A1" s="1346" t="s">
        <v>0</v>
      </c>
      <c r="B1" s="1347"/>
      <c r="C1" s="1524" t="s">
        <v>315</v>
      </c>
      <c r="D1" s="1525"/>
      <c r="E1" s="1526"/>
      <c r="F1" s="1529" t="s">
        <v>316</v>
      </c>
      <c r="G1" s="1530"/>
      <c r="H1" s="1531"/>
      <c r="I1" s="1532" t="s">
        <v>275</v>
      </c>
      <c r="J1" s="1522" t="s">
        <v>1207</v>
      </c>
    </row>
    <row r="2" spans="1:10" ht="72.599999999999994" customHeight="1" x14ac:dyDescent="0.2">
      <c r="A2" s="1317"/>
      <c r="B2" s="1318"/>
      <c r="C2" s="1527" t="s">
        <v>1365</v>
      </c>
      <c r="D2" s="1527" t="s">
        <v>1209</v>
      </c>
      <c r="E2" s="14" t="s">
        <v>277</v>
      </c>
      <c r="F2" s="1528" t="s">
        <v>1366</v>
      </c>
      <c r="G2" s="1528" t="s">
        <v>1208</v>
      </c>
      <c r="H2" s="15" t="s">
        <v>276</v>
      </c>
      <c r="I2" s="1533"/>
      <c r="J2" s="1523"/>
    </row>
    <row r="3" spans="1:10" ht="15.75" customHeight="1" x14ac:dyDescent="0.2">
      <c r="A3" s="1348"/>
      <c r="B3" s="1349"/>
      <c r="C3" s="1527"/>
      <c r="D3" s="1527"/>
      <c r="E3" s="285">
        <f>'7_Local Revenue'!AD76*36.69%</f>
        <v>14.932830000000001</v>
      </c>
      <c r="F3" s="1528"/>
      <c r="G3" s="1528"/>
      <c r="H3" s="286">
        <f>'7_Local Revenue'!AF76*36.69%</f>
        <v>7.4847600000000009E-3</v>
      </c>
      <c r="I3" s="1534"/>
      <c r="J3" s="1353"/>
    </row>
    <row r="4" spans="1:10" x14ac:dyDescent="0.2">
      <c r="A4" s="287"/>
      <c r="B4" s="287"/>
      <c r="C4" s="288">
        <v>1</v>
      </c>
      <c r="D4" s="289">
        <f t="shared" ref="D4:J4" si="0">1+C4</f>
        <v>2</v>
      </c>
      <c r="E4" s="289">
        <f t="shared" si="0"/>
        <v>3</v>
      </c>
      <c r="F4" s="289">
        <f t="shared" si="0"/>
        <v>4</v>
      </c>
      <c r="G4" s="289">
        <f t="shared" si="0"/>
        <v>5</v>
      </c>
      <c r="H4" s="289">
        <f t="shared" si="0"/>
        <v>6</v>
      </c>
      <c r="I4" s="290">
        <f t="shared" si="0"/>
        <v>7</v>
      </c>
      <c r="J4" s="289">
        <f t="shared" si="0"/>
        <v>8</v>
      </c>
    </row>
    <row r="5" spans="1:10" s="495" customFormat="1" ht="14.25" customHeight="1" x14ac:dyDescent="0.2">
      <c r="A5" s="832"/>
      <c r="B5" s="832"/>
      <c r="C5" s="833" t="s">
        <v>242</v>
      </c>
      <c r="D5" s="834" t="s">
        <v>240</v>
      </c>
      <c r="E5" s="834" t="s">
        <v>1373</v>
      </c>
      <c r="F5" s="834" t="s">
        <v>243</v>
      </c>
      <c r="G5" s="834" t="s">
        <v>241</v>
      </c>
      <c r="H5" s="834" t="s">
        <v>1094</v>
      </c>
      <c r="I5" s="834" t="s">
        <v>244</v>
      </c>
      <c r="J5" s="834" t="s">
        <v>602</v>
      </c>
    </row>
    <row r="6" spans="1:10" s="495" customFormat="1" ht="11.25" hidden="1" x14ac:dyDescent="0.2">
      <c r="A6" s="832"/>
      <c r="B6" s="832"/>
      <c r="C6" s="833" t="s">
        <v>603</v>
      </c>
      <c r="D6" s="834" t="s">
        <v>603</v>
      </c>
      <c r="E6" s="834" t="s">
        <v>604</v>
      </c>
      <c r="F6" s="834" t="s">
        <v>603</v>
      </c>
      <c r="G6" s="834" t="s">
        <v>603</v>
      </c>
      <c r="H6" s="834" t="s">
        <v>604</v>
      </c>
      <c r="I6" s="834" t="s">
        <v>603</v>
      </c>
      <c r="J6" s="834" t="s">
        <v>604</v>
      </c>
    </row>
    <row r="7" spans="1:10" ht="16.899999999999999" customHeight="1" x14ac:dyDescent="0.2">
      <c r="A7" s="500">
        <v>1</v>
      </c>
      <c r="B7" s="502" t="s">
        <v>5</v>
      </c>
      <c r="C7" s="504">
        <f>'7_Local Revenue'!AE7</f>
        <v>11356115</v>
      </c>
      <c r="D7" s="504">
        <f>'7_Local Revenue'!H7</f>
        <v>380822348</v>
      </c>
      <c r="E7" s="504">
        <f t="shared" ref="E7:E38" si="1">ROUND(D7*$E$3/1000,0)</f>
        <v>5686755</v>
      </c>
      <c r="F7" s="504">
        <f>'7_Local Revenue'!AI7</f>
        <v>12576932</v>
      </c>
      <c r="G7" s="504">
        <f>'7_Local Revenue'!AM7</f>
        <v>838462133</v>
      </c>
      <c r="H7" s="504">
        <f t="shared" ref="H7:H38" si="2">ROUND(G7*$H$3,0)</f>
        <v>6275688</v>
      </c>
      <c r="I7" s="504">
        <f>'7_Local Revenue'!AP7</f>
        <v>548480</v>
      </c>
      <c r="J7" s="506">
        <f t="shared" ref="J7:J38" si="3">E7+H7+I7</f>
        <v>12510923</v>
      </c>
    </row>
    <row r="8" spans="1:10" ht="16.899999999999999" customHeight="1" x14ac:dyDescent="0.2">
      <c r="A8" s="46">
        <v>2</v>
      </c>
      <c r="B8" s="291" t="s">
        <v>6</v>
      </c>
      <c r="C8" s="48">
        <f>'7_Local Revenue'!AE8</f>
        <v>4404399</v>
      </c>
      <c r="D8" s="48">
        <f>'7_Local Revenue'!H8</f>
        <v>94668791</v>
      </c>
      <c r="E8" s="48">
        <f t="shared" si="1"/>
        <v>1413673</v>
      </c>
      <c r="F8" s="48">
        <f>'7_Local Revenue'!AI8</f>
        <v>7837493</v>
      </c>
      <c r="G8" s="48">
        <f>'7_Local Revenue'!AM8</f>
        <v>261249767</v>
      </c>
      <c r="H8" s="48">
        <f t="shared" si="2"/>
        <v>1955392</v>
      </c>
      <c r="I8" s="48">
        <f>'7_Local Revenue'!AP8</f>
        <v>89377</v>
      </c>
      <c r="J8" s="292">
        <f t="shared" si="3"/>
        <v>3458442</v>
      </c>
    </row>
    <row r="9" spans="1:10" ht="16.899999999999999" customHeight="1" x14ac:dyDescent="0.2">
      <c r="A9" s="46">
        <v>3</v>
      </c>
      <c r="B9" s="291" t="s">
        <v>7</v>
      </c>
      <c r="C9" s="48">
        <f>'7_Local Revenue'!AE9</f>
        <v>75006707</v>
      </c>
      <c r="D9" s="48">
        <f>'7_Local Revenue'!H9</f>
        <v>1219303978</v>
      </c>
      <c r="E9" s="48">
        <f t="shared" si="1"/>
        <v>18207659</v>
      </c>
      <c r="F9" s="48">
        <f>'7_Local Revenue'!AI9</f>
        <v>64809603</v>
      </c>
      <c r="G9" s="48">
        <f>'7_Local Revenue'!AM9</f>
        <v>3240480150</v>
      </c>
      <c r="H9" s="48">
        <f t="shared" si="2"/>
        <v>24254216</v>
      </c>
      <c r="I9" s="48">
        <f>'7_Local Revenue'!AP9</f>
        <v>201736</v>
      </c>
      <c r="J9" s="292">
        <f t="shared" si="3"/>
        <v>42663611</v>
      </c>
    </row>
    <row r="10" spans="1:10" ht="16.899999999999999" customHeight="1" x14ac:dyDescent="0.2">
      <c r="A10" s="46">
        <v>4</v>
      </c>
      <c r="B10" s="291" t="s">
        <v>8</v>
      </c>
      <c r="C10" s="48">
        <f>'7_Local Revenue'!AE10</f>
        <v>6949587</v>
      </c>
      <c r="D10" s="48">
        <f>'7_Local Revenue'!H10</f>
        <v>178560538</v>
      </c>
      <c r="E10" s="48">
        <f t="shared" si="1"/>
        <v>2666414</v>
      </c>
      <c r="F10" s="48">
        <f>'7_Local Revenue'!AI10</f>
        <v>6574692</v>
      </c>
      <c r="G10" s="48">
        <f>'7_Local Revenue'!AM10</f>
        <v>219156400</v>
      </c>
      <c r="H10" s="48">
        <f t="shared" si="2"/>
        <v>1640333</v>
      </c>
      <c r="I10" s="48">
        <f>'7_Local Revenue'!AP10</f>
        <v>105619</v>
      </c>
      <c r="J10" s="292">
        <f t="shared" si="3"/>
        <v>4412366</v>
      </c>
    </row>
    <row r="11" spans="1:10" ht="16.899999999999999" customHeight="1" x14ac:dyDescent="0.2">
      <c r="A11" s="501">
        <v>5</v>
      </c>
      <c r="B11" s="503" t="s">
        <v>9</v>
      </c>
      <c r="C11" s="505">
        <f>'7_Local Revenue'!AE11</f>
        <v>3430455</v>
      </c>
      <c r="D11" s="505">
        <f>'7_Local Revenue'!H11</f>
        <v>140812795</v>
      </c>
      <c r="E11" s="505">
        <f t="shared" si="1"/>
        <v>2102734</v>
      </c>
      <c r="F11" s="505">
        <f>'7_Local Revenue'!AI11</f>
        <v>7953986</v>
      </c>
      <c r="G11" s="505">
        <f>'7_Local Revenue'!AM11</f>
        <v>454513486</v>
      </c>
      <c r="H11" s="505">
        <f t="shared" si="2"/>
        <v>3401924</v>
      </c>
      <c r="I11" s="505">
        <f>'7_Local Revenue'!AP11</f>
        <v>431002</v>
      </c>
      <c r="J11" s="507">
        <f t="shared" si="3"/>
        <v>5935660</v>
      </c>
    </row>
    <row r="12" spans="1:10" ht="16.899999999999999" customHeight="1" x14ac:dyDescent="0.2">
      <c r="A12" s="500">
        <v>6</v>
      </c>
      <c r="B12" s="502" t="s">
        <v>10</v>
      </c>
      <c r="C12" s="504">
        <f>'7_Local Revenue'!AE12</f>
        <v>12276413</v>
      </c>
      <c r="D12" s="504">
        <f>'7_Local Revenue'!H12</f>
        <v>234613467</v>
      </c>
      <c r="E12" s="504">
        <f t="shared" si="1"/>
        <v>3503443</v>
      </c>
      <c r="F12" s="504">
        <f>'7_Local Revenue'!AI12</f>
        <v>10764650</v>
      </c>
      <c r="G12" s="504">
        <f>'7_Local Revenue'!AM12</f>
        <v>538232500</v>
      </c>
      <c r="H12" s="504">
        <f t="shared" si="2"/>
        <v>4028541</v>
      </c>
      <c r="I12" s="504">
        <f>'7_Local Revenue'!AP12</f>
        <v>322930</v>
      </c>
      <c r="J12" s="506">
        <f t="shared" si="3"/>
        <v>7854914</v>
      </c>
    </row>
    <row r="13" spans="1:10" ht="16.899999999999999" customHeight="1" x14ac:dyDescent="0.2">
      <c r="A13" s="46">
        <v>7</v>
      </c>
      <c r="B13" s="291" t="s">
        <v>11</v>
      </c>
      <c r="C13" s="48">
        <f>'7_Local Revenue'!AE13</f>
        <v>21163854</v>
      </c>
      <c r="D13" s="48">
        <f>'7_Local Revenue'!H13</f>
        <v>359774044</v>
      </c>
      <c r="E13" s="48">
        <f t="shared" si="1"/>
        <v>5372445</v>
      </c>
      <c r="F13" s="48">
        <f>'7_Local Revenue'!AI13</f>
        <v>5083322</v>
      </c>
      <c r="G13" s="48">
        <f>'7_Local Revenue'!AM13</f>
        <v>220950822.49999997</v>
      </c>
      <c r="H13" s="48">
        <f t="shared" si="2"/>
        <v>1653764</v>
      </c>
      <c r="I13" s="48">
        <f>'7_Local Revenue'!AP13</f>
        <v>131348</v>
      </c>
      <c r="J13" s="292">
        <f t="shared" si="3"/>
        <v>7157557</v>
      </c>
    </row>
    <row r="14" spans="1:10" ht="16.899999999999999" customHeight="1" x14ac:dyDescent="0.2">
      <c r="A14" s="46">
        <v>8</v>
      </c>
      <c r="B14" s="291" t="s">
        <v>12</v>
      </c>
      <c r="C14" s="48">
        <f>'7_Local Revenue'!AE14</f>
        <v>62080324</v>
      </c>
      <c r="D14" s="48">
        <f>'7_Local Revenue'!H14</f>
        <v>962926141</v>
      </c>
      <c r="E14" s="48">
        <f t="shared" si="1"/>
        <v>14379212</v>
      </c>
      <c r="F14" s="48">
        <f>'7_Local Revenue'!AI14</f>
        <v>45934580</v>
      </c>
      <c r="G14" s="48">
        <f>'7_Local Revenue'!AM14</f>
        <v>2624833143</v>
      </c>
      <c r="H14" s="48">
        <f t="shared" si="2"/>
        <v>19646246</v>
      </c>
      <c r="I14" s="48">
        <f>'7_Local Revenue'!AP14</f>
        <v>778815</v>
      </c>
      <c r="J14" s="292">
        <f t="shared" si="3"/>
        <v>34804273</v>
      </c>
    </row>
    <row r="15" spans="1:10" ht="16.899999999999999" customHeight="1" x14ac:dyDescent="0.2">
      <c r="A15" s="46">
        <v>9</v>
      </c>
      <c r="B15" s="291" t="s">
        <v>13</v>
      </c>
      <c r="C15" s="48">
        <f>'7_Local Revenue'!AE15</f>
        <v>129460378</v>
      </c>
      <c r="D15" s="48">
        <f>'7_Local Revenue'!H15</f>
        <v>1758349507</v>
      </c>
      <c r="E15" s="48">
        <f t="shared" si="1"/>
        <v>26257134</v>
      </c>
      <c r="F15" s="48">
        <f>'7_Local Revenue'!AI15</f>
        <v>78464255</v>
      </c>
      <c r="G15" s="48">
        <f>'7_Local Revenue'!AM15</f>
        <v>5230950333</v>
      </c>
      <c r="H15" s="48">
        <f t="shared" si="2"/>
        <v>39152408</v>
      </c>
      <c r="I15" s="48">
        <f>'7_Local Revenue'!AP15</f>
        <v>1940066</v>
      </c>
      <c r="J15" s="292">
        <f t="shared" si="3"/>
        <v>67349608</v>
      </c>
    </row>
    <row r="16" spans="1:10" ht="16.899999999999999" customHeight="1" x14ac:dyDescent="0.2">
      <c r="A16" s="501">
        <v>10</v>
      </c>
      <c r="B16" s="503" t="s">
        <v>14</v>
      </c>
      <c r="C16" s="505">
        <f>'7_Local Revenue'!AE16</f>
        <v>58644643</v>
      </c>
      <c r="D16" s="505">
        <f>'7_Local Revenue'!H16</f>
        <v>2143208511</v>
      </c>
      <c r="E16" s="505">
        <f t="shared" si="1"/>
        <v>32004168</v>
      </c>
      <c r="F16" s="505">
        <f>'7_Local Revenue'!AI16</f>
        <v>201848143</v>
      </c>
      <c r="G16" s="505">
        <f>'7_Local Revenue'!AM16</f>
        <v>7749847469.999999</v>
      </c>
      <c r="H16" s="505">
        <f t="shared" si="2"/>
        <v>58005748</v>
      </c>
      <c r="I16" s="505">
        <f>'7_Local Revenue'!AP16</f>
        <v>1028612</v>
      </c>
      <c r="J16" s="507">
        <f t="shared" si="3"/>
        <v>91038528</v>
      </c>
    </row>
    <row r="17" spans="1:10" ht="16.899999999999999" customHeight="1" x14ac:dyDescent="0.2">
      <c r="A17" s="500">
        <v>11</v>
      </c>
      <c r="B17" s="502" t="s">
        <v>15</v>
      </c>
      <c r="C17" s="504">
        <f>'7_Local Revenue'!AE17</f>
        <v>3412547</v>
      </c>
      <c r="D17" s="504">
        <f>'7_Local Revenue'!H17</f>
        <v>61321061</v>
      </c>
      <c r="E17" s="504">
        <f t="shared" si="1"/>
        <v>915697</v>
      </c>
      <c r="F17" s="504">
        <f>'7_Local Revenue'!AI17</f>
        <v>2129190</v>
      </c>
      <c r="G17" s="504">
        <f>'7_Local Revenue'!AM17</f>
        <v>106459500</v>
      </c>
      <c r="H17" s="504">
        <f t="shared" si="2"/>
        <v>796824</v>
      </c>
      <c r="I17" s="504">
        <f>'7_Local Revenue'!AP17</f>
        <v>89085</v>
      </c>
      <c r="J17" s="506">
        <f t="shared" si="3"/>
        <v>1801606</v>
      </c>
    </row>
    <row r="18" spans="1:10" ht="16.899999999999999" customHeight="1" x14ac:dyDescent="0.2">
      <c r="A18" s="46">
        <v>12</v>
      </c>
      <c r="B18" s="291" t="s">
        <v>16</v>
      </c>
      <c r="C18" s="48">
        <f>'7_Local Revenue'!AE18</f>
        <v>8286762</v>
      </c>
      <c r="D18" s="48">
        <f>'7_Local Revenue'!H18</f>
        <v>257495030</v>
      </c>
      <c r="E18" s="48">
        <f t="shared" si="1"/>
        <v>3845130</v>
      </c>
      <c r="F18" s="48">
        <f>'7_Local Revenue'!AI18</f>
        <v>0</v>
      </c>
      <c r="G18" s="48">
        <f>'7_Local Revenue'!AM18</f>
        <v>351063173</v>
      </c>
      <c r="H18" s="48">
        <f t="shared" si="2"/>
        <v>2627624</v>
      </c>
      <c r="I18" s="48">
        <f>'7_Local Revenue'!AP18</f>
        <v>341218</v>
      </c>
      <c r="J18" s="292">
        <f t="shared" si="3"/>
        <v>6813972</v>
      </c>
    </row>
    <row r="19" spans="1:10" ht="16.899999999999999" customHeight="1" x14ac:dyDescent="0.2">
      <c r="A19" s="46">
        <v>13</v>
      </c>
      <c r="B19" s="291" t="s">
        <v>17</v>
      </c>
      <c r="C19" s="48">
        <f>'7_Local Revenue'!AE19</f>
        <v>908140</v>
      </c>
      <c r="D19" s="48">
        <f>'7_Local Revenue'!H19</f>
        <v>39183469</v>
      </c>
      <c r="E19" s="48">
        <f t="shared" si="1"/>
        <v>585120</v>
      </c>
      <c r="F19" s="48">
        <f>'7_Local Revenue'!AI19</f>
        <v>2640149</v>
      </c>
      <c r="G19" s="48">
        <f>'7_Local Revenue'!AM19</f>
        <v>88004967</v>
      </c>
      <c r="H19" s="48">
        <f t="shared" si="2"/>
        <v>658696</v>
      </c>
      <c r="I19" s="48">
        <f>'7_Local Revenue'!AP19</f>
        <v>126637</v>
      </c>
      <c r="J19" s="292">
        <f t="shared" si="3"/>
        <v>1370453</v>
      </c>
    </row>
    <row r="20" spans="1:10" ht="16.899999999999999" customHeight="1" x14ac:dyDescent="0.2">
      <c r="A20" s="46">
        <v>14</v>
      </c>
      <c r="B20" s="291" t="s">
        <v>18</v>
      </c>
      <c r="C20" s="48">
        <f>'7_Local Revenue'!AE20</f>
        <v>3144435</v>
      </c>
      <c r="D20" s="48">
        <f>'7_Local Revenue'!H20</f>
        <v>130688915</v>
      </c>
      <c r="E20" s="48">
        <f t="shared" si="1"/>
        <v>1951555</v>
      </c>
      <c r="F20" s="48">
        <f>'7_Local Revenue'!AI20</f>
        <v>2739124</v>
      </c>
      <c r="G20" s="48">
        <f>'7_Local Revenue'!AM20</f>
        <v>136956200</v>
      </c>
      <c r="H20" s="48">
        <f t="shared" si="2"/>
        <v>1025084</v>
      </c>
      <c r="I20" s="48">
        <f>'7_Local Revenue'!AP20</f>
        <v>131214</v>
      </c>
      <c r="J20" s="292">
        <f t="shared" si="3"/>
        <v>3107853</v>
      </c>
    </row>
    <row r="21" spans="1:10" ht="16.899999999999999" customHeight="1" x14ac:dyDescent="0.2">
      <c r="A21" s="501">
        <v>15</v>
      </c>
      <c r="B21" s="503" t="s">
        <v>19</v>
      </c>
      <c r="C21" s="505">
        <f>'7_Local Revenue'!AE21</f>
        <v>5474275</v>
      </c>
      <c r="D21" s="505">
        <f>'7_Local Revenue'!H21</f>
        <v>135459321</v>
      </c>
      <c r="E21" s="505">
        <f t="shared" si="1"/>
        <v>2022791</v>
      </c>
      <c r="F21" s="505">
        <f>'7_Local Revenue'!AI21</f>
        <v>5001407</v>
      </c>
      <c r="G21" s="505">
        <f>'7_Local Revenue'!AM21</f>
        <v>250070350</v>
      </c>
      <c r="H21" s="505">
        <f t="shared" si="2"/>
        <v>1871717</v>
      </c>
      <c r="I21" s="505">
        <f>'7_Local Revenue'!AP21</f>
        <v>172691</v>
      </c>
      <c r="J21" s="507">
        <f t="shared" si="3"/>
        <v>4067199</v>
      </c>
    </row>
    <row r="22" spans="1:10" ht="16.899999999999999" customHeight="1" x14ac:dyDescent="0.2">
      <c r="A22" s="500">
        <v>16</v>
      </c>
      <c r="B22" s="502" t="s">
        <v>20</v>
      </c>
      <c r="C22" s="504">
        <f>'7_Local Revenue'!AE22</f>
        <v>41747756</v>
      </c>
      <c r="D22" s="504">
        <f>'7_Local Revenue'!H22</f>
        <v>678096471</v>
      </c>
      <c r="E22" s="504">
        <f t="shared" si="1"/>
        <v>10125899</v>
      </c>
      <c r="F22" s="504">
        <f>'7_Local Revenue'!AI22</f>
        <v>31166847</v>
      </c>
      <c r="G22" s="504">
        <f>'7_Local Revenue'!AM22</f>
        <v>923375939.99999988</v>
      </c>
      <c r="H22" s="504">
        <f t="shared" si="2"/>
        <v>6911247</v>
      </c>
      <c r="I22" s="504">
        <f>'7_Local Revenue'!AP22</f>
        <v>920741</v>
      </c>
      <c r="J22" s="506">
        <f t="shared" si="3"/>
        <v>17957887</v>
      </c>
    </row>
    <row r="23" spans="1:10" ht="16.899999999999999" customHeight="1" x14ac:dyDescent="0.2">
      <c r="A23" s="46">
        <v>17</v>
      </c>
      <c r="B23" s="291" t="s">
        <v>21</v>
      </c>
      <c r="C23" s="48">
        <f>'7_Local Revenue'!AE23</f>
        <v>161487927</v>
      </c>
      <c r="D23" s="48">
        <f>'7_Local Revenue'!H23</f>
        <v>3719190454</v>
      </c>
      <c r="E23" s="48">
        <f t="shared" si="1"/>
        <v>55538039</v>
      </c>
      <c r="F23" s="48">
        <f>'7_Local Revenue'!AI23</f>
        <v>179415810</v>
      </c>
      <c r="G23" s="48">
        <f>'7_Local Revenue'!AM23</f>
        <v>8970790500</v>
      </c>
      <c r="H23" s="48">
        <f t="shared" si="2"/>
        <v>67144214</v>
      </c>
      <c r="I23" s="48">
        <f>'7_Local Revenue'!AP23</f>
        <v>4053406</v>
      </c>
      <c r="J23" s="292">
        <f t="shared" si="3"/>
        <v>126735659</v>
      </c>
    </row>
    <row r="24" spans="1:10" ht="16.899999999999999" customHeight="1" x14ac:dyDescent="0.2">
      <c r="A24" s="46">
        <v>18</v>
      </c>
      <c r="B24" s="291" t="s">
        <v>22</v>
      </c>
      <c r="C24" s="48">
        <f>'7_Local Revenue'!AE24</f>
        <v>710083</v>
      </c>
      <c r="D24" s="48">
        <f>'7_Local Revenue'!H24</f>
        <v>43215782</v>
      </c>
      <c r="E24" s="48">
        <f t="shared" si="1"/>
        <v>645334</v>
      </c>
      <c r="F24" s="48">
        <f>'7_Local Revenue'!AI24</f>
        <v>2891256</v>
      </c>
      <c r="G24" s="48">
        <f>'7_Local Revenue'!AM24</f>
        <v>72207772.049999997</v>
      </c>
      <c r="H24" s="48">
        <f t="shared" si="2"/>
        <v>540458</v>
      </c>
      <c r="I24" s="48">
        <f>'7_Local Revenue'!AP24</f>
        <v>151577</v>
      </c>
      <c r="J24" s="292">
        <f t="shared" si="3"/>
        <v>1337369</v>
      </c>
    </row>
    <row r="25" spans="1:10" ht="16.899999999999999" customHeight="1" x14ac:dyDescent="0.2">
      <c r="A25" s="46">
        <v>19</v>
      </c>
      <c r="B25" s="291" t="s">
        <v>23</v>
      </c>
      <c r="C25" s="48">
        <f>'7_Local Revenue'!AE25</f>
        <v>2953527</v>
      </c>
      <c r="D25" s="48">
        <f>'7_Local Revenue'!H25</f>
        <v>151964712</v>
      </c>
      <c r="E25" s="48">
        <f t="shared" si="1"/>
        <v>2269263</v>
      </c>
      <c r="F25" s="48">
        <f>'7_Local Revenue'!AI25</f>
        <v>3746497</v>
      </c>
      <c r="G25" s="48">
        <f>'7_Local Revenue'!AM25</f>
        <v>187324850</v>
      </c>
      <c r="H25" s="48">
        <f t="shared" si="2"/>
        <v>1402082</v>
      </c>
      <c r="I25" s="48">
        <f>'7_Local Revenue'!AP25</f>
        <v>79328</v>
      </c>
      <c r="J25" s="292">
        <f t="shared" si="3"/>
        <v>3750673</v>
      </c>
    </row>
    <row r="26" spans="1:10" ht="16.899999999999999" customHeight="1" x14ac:dyDescent="0.2">
      <c r="A26" s="501">
        <v>20</v>
      </c>
      <c r="B26" s="503" t="s">
        <v>24</v>
      </c>
      <c r="C26" s="505">
        <f>'7_Local Revenue'!AE26</f>
        <v>7361044</v>
      </c>
      <c r="D26" s="505">
        <f>'7_Local Revenue'!H26</f>
        <v>244167860</v>
      </c>
      <c r="E26" s="505">
        <f t="shared" si="1"/>
        <v>3646117</v>
      </c>
      <c r="F26" s="505">
        <f>'7_Local Revenue'!AI26</f>
        <v>7260049</v>
      </c>
      <c r="G26" s="505">
        <f>'7_Local Revenue'!AM26</f>
        <v>363002450</v>
      </c>
      <c r="H26" s="505">
        <f t="shared" si="2"/>
        <v>2716986</v>
      </c>
      <c r="I26" s="505">
        <f>'7_Local Revenue'!AP26</f>
        <v>461912</v>
      </c>
      <c r="J26" s="507">
        <f t="shared" si="3"/>
        <v>6825015</v>
      </c>
    </row>
    <row r="27" spans="1:10" ht="16.899999999999999" customHeight="1" x14ac:dyDescent="0.2">
      <c r="A27" s="500">
        <v>21</v>
      </c>
      <c r="B27" s="502" t="s">
        <v>25</v>
      </c>
      <c r="C27" s="504">
        <f>'7_Local Revenue'!AE27</f>
        <v>2460745</v>
      </c>
      <c r="D27" s="504">
        <f>'7_Local Revenue'!H27</f>
        <v>99943572</v>
      </c>
      <c r="E27" s="504">
        <f t="shared" si="1"/>
        <v>1492440</v>
      </c>
      <c r="F27" s="504">
        <f>'7_Local Revenue'!AI27</f>
        <v>5193625</v>
      </c>
      <c r="G27" s="504">
        <f>'7_Local Revenue'!AM27</f>
        <v>259681250</v>
      </c>
      <c r="H27" s="504">
        <f t="shared" si="2"/>
        <v>1943652</v>
      </c>
      <c r="I27" s="504">
        <f>'7_Local Revenue'!AP27</f>
        <v>80058</v>
      </c>
      <c r="J27" s="506">
        <f t="shared" si="3"/>
        <v>3516150</v>
      </c>
    </row>
    <row r="28" spans="1:10" ht="16.899999999999999" customHeight="1" x14ac:dyDescent="0.2">
      <c r="A28" s="46">
        <v>22</v>
      </c>
      <c r="B28" s="291" t="s">
        <v>26</v>
      </c>
      <c r="C28" s="48">
        <f>'7_Local Revenue'!AE28</f>
        <v>2906195</v>
      </c>
      <c r="D28" s="48">
        <f>'7_Local Revenue'!H28</f>
        <v>50330130</v>
      </c>
      <c r="E28" s="48">
        <f t="shared" si="1"/>
        <v>751571</v>
      </c>
      <c r="F28" s="48">
        <f>'7_Local Revenue'!AI28</f>
        <v>2487436</v>
      </c>
      <c r="G28" s="48">
        <f>'7_Local Revenue'!AM28</f>
        <v>124371800</v>
      </c>
      <c r="H28" s="48">
        <f t="shared" si="2"/>
        <v>930893</v>
      </c>
      <c r="I28" s="48">
        <f>'7_Local Revenue'!AP28</f>
        <v>333924</v>
      </c>
      <c r="J28" s="292">
        <f t="shared" si="3"/>
        <v>2016388</v>
      </c>
    </row>
    <row r="29" spans="1:10" ht="16.899999999999999" customHeight="1" x14ac:dyDescent="0.2">
      <c r="A29" s="46">
        <v>23</v>
      </c>
      <c r="B29" s="291" t="s">
        <v>27</v>
      </c>
      <c r="C29" s="48">
        <f>'7_Local Revenue'!AE29</f>
        <v>19645737</v>
      </c>
      <c r="D29" s="48">
        <f>'7_Local Revenue'!H29</f>
        <v>628544622</v>
      </c>
      <c r="E29" s="48">
        <f t="shared" si="1"/>
        <v>9385950</v>
      </c>
      <c r="F29" s="48">
        <f>'7_Local Revenue'!AI29</f>
        <v>23433835</v>
      </c>
      <c r="G29" s="48">
        <f>'7_Local Revenue'!AM29</f>
        <v>1171691750</v>
      </c>
      <c r="H29" s="48">
        <f t="shared" si="2"/>
        <v>8769832</v>
      </c>
      <c r="I29" s="48">
        <f>'7_Local Revenue'!AP29</f>
        <v>493778</v>
      </c>
      <c r="J29" s="292">
        <f t="shared" si="3"/>
        <v>18649560</v>
      </c>
    </row>
    <row r="30" spans="1:10" ht="16.899999999999999" customHeight="1" x14ac:dyDescent="0.2">
      <c r="A30" s="46">
        <v>24</v>
      </c>
      <c r="B30" s="291" t="s">
        <v>28</v>
      </c>
      <c r="C30" s="48">
        <f>'7_Local Revenue'!AE30</f>
        <v>33138333</v>
      </c>
      <c r="D30" s="48">
        <f>'7_Local Revenue'!H30</f>
        <v>572147130</v>
      </c>
      <c r="E30" s="48">
        <f t="shared" si="1"/>
        <v>8543776</v>
      </c>
      <c r="F30" s="48">
        <f>'7_Local Revenue'!AI30</f>
        <v>23438516</v>
      </c>
      <c r="G30" s="48">
        <f>'7_Local Revenue'!AM30</f>
        <v>1171925800</v>
      </c>
      <c r="H30" s="48">
        <f t="shared" si="2"/>
        <v>8771583</v>
      </c>
      <c r="I30" s="48">
        <f>'7_Local Revenue'!AP30</f>
        <v>137752</v>
      </c>
      <c r="J30" s="292">
        <f t="shared" si="3"/>
        <v>17453111</v>
      </c>
    </row>
    <row r="31" spans="1:10" ht="16.899999999999999" customHeight="1" x14ac:dyDescent="0.2">
      <c r="A31" s="501">
        <v>25</v>
      </c>
      <c r="B31" s="503" t="s">
        <v>29</v>
      </c>
      <c r="C31" s="505">
        <f>'7_Local Revenue'!AE31</f>
        <v>5528256</v>
      </c>
      <c r="D31" s="505">
        <f>'7_Local Revenue'!H31</f>
        <v>224096560</v>
      </c>
      <c r="E31" s="505">
        <f t="shared" si="1"/>
        <v>3346396</v>
      </c>
      <c r="F31" s="505">
        <f>'7_Local Revenue'!AI31</f>
        <v>5785377</v>
      </c>
      <c r="G31" s="505">
        <f>'7_Local Revenue'!AM31</f>
        <v>192845900</v>
      </c>
      <c r="H31" s="505">
        <f t="shared" si="2"/>
        <v>1443405</v>
      </c>
      <c r="I31" s="505">
        <f>'7_Local Revenue'!AP31</f>
        <v>89565</v>
      </c>
      <c r="J31" s="507">
        <f t="shared" si="3"/>
        <v>4879366</v>
      </c>
    </row>
    <row r="32" spans="1:10" ht="16.899999999999999" customHeight="1" x14ac:dyDescent="0.2">
      <c r="A32" s="500">
        <v>26</v>
      </c>
      <c r="B32" s="502" t="s">
        <v>30</v>
      </c>
      <c r="C32" s="504">
        <f>'7_Local Revenue'!AE32</f>
        <v>83114798</v>
      </c>
      <c r="D32" s="504">
        <f>'7_Local Revenue'!H32</f>
        <v>3639502387</v>
      </c>
      <c r="E32" s="504">
        <f t="shared" si="1"/>
        <v>54348070</v>
      </c>
      <c r="F32" s="504">
        <f>'7_Local Revenue'!AI32</f>
        <v>194743797</v>
      </c>
      <c r="G32" s="504">
        <f>'7_Local Revenue'!AM32</f>
        <v>9737189850</v>
      </c>
      <c r="H32" s="504">
        <f t="shared" si="2"/>
        <v>72880529</v>
      </c>
      <c r="I32" s="504">
        <f>'7_Local Revenue'!AP32</f>
        <v>1953014</v>
      </c>
      <c r="J32" s="506">
        <f t="shared" si="3"/>
        <v>129181613</v>
      </c>
    </row>
    <row r="33" spans="1:10" ht="16.899999999999999" customHeight="1" x14ac:dyDescent="0.2">
      <c r="A33" s="46">
        <v>27</v>
      </c>
      <c r="B33" s="291" t="s">
        <v>31</v>
      </c>
      <c r="C33" s="48">
        <f>'7_Local Revenue'!AE33</f>
        <v>8561480</v>
      </c>
      <c r="D33" s="48">
        <f>'7_Local Revenue'!H33</f>
        <v>216671031</v>
      </c>
      <c r="E33" s="48">
        <f t="shared" si="1"/>
        <v>3235512</v>
      </c>
      <c r="F33" s="48">
        <f>'7_Local Revenue'!AI33</f>
        <v>11649969</v>
      </c>
      <c r="G33" s="48">
        <f>'7_Local Revenue'!AM33</f>
        <v>465998760</v>
      </c>
      <c r="H33" s="48">
        <f t="shared" si="2"/>
        <v>3487889</v>
      </c>
      <c r="I33" s="48">
        <f>'7_Local Revenue'!AP33</f>
        <v>320203</v>
      </c>
      <c r="J33" s="292">
        <f t="shared" si="3"/>
        <v>7043604</v>
      </c>
    </row>
    <row r="34" spans="1:10" ht="16.899999999999999" customHeight="1" x14ac:dyDescent="0.2">
      <c r="A34" s="46">
        <v>28</v>
      </c>
      <c r="B34" s="291" t="s">
        <v>32</v>
      </c>
      <c r="C34" s="48">
        <f>'7_Local Revenue'!AE34</f>
        <v>72925123</v>
      </c>
      <c r="D34" s="48">
        <f>'7_Local Revenue'!H34</f>
        <v>2276953641</v>
      </c>
      <c r="E34" s="48">
        <f t="shared" si="1"/>
        <v>34001362</v>
      </c>
      <c r="F34" s="48">
        <f>'7_Local Revenue'!AI34</f>
        <v>113417724</v>
      </c>
      <c r="G34" s="48">
        <f>'7_Local Revenue'!AM34</f>
        <v>5670886200</v>
      </c>
      <c r="H34" s="48">
        <f t="shared" si="2"/>
        <v>42445222</v>
      </c>
      <c r="I34" s="48">
        <f>'7_Local Revenue'!AP34</f>
        <v>2390590</v>
      </c>
      <c r="J34" s="292">
        <f t="shared" si="3"/>
        <v>78837174</v>
      </c>
    </row>
    <row r="35" spans="1:10" ht="16.899999999999999" customHeight="1" x14ac:dyDescent="0.2">
      <c r="A35" s="46">
        <v>29</v>
      </c>
      <c r="B35" s="291" t="s">
        <v>33</v>
      </c>
      <c r="C35" s="48">
        <f>'7_Local Revenue'!AE35</f>
        <v>40973202</v>
      </c>
      <c r="D35" s="48">
        <f>'7_Local Revenue'!H35</f>
        <v>959324398</v>
      </c>
      <c r="E35" s="48">
        <f t="shared" si="1"/>
        <v>14325428</v>
      </c>
      <c r="F35" s="48">
        <f>'7_Local Revenue'!AI35</f>
        <v>29935106</v>
      </c>
      <c r="G35" s="48">
        <f>'7_Local Revenue'!AM35</f>
        <v>1496755300</v>
      </c>
      <c r="H35" s="48">
        <f t="shared" si="2"/>
        <v>11202854</v>
      </c>
      <c r="I35" s="48">
        <f>'7_Local Revenue'!AP35</f>
        <v>471914</v>
      </c>
      <c r="J35" s="292">
        <f t="shared" si="3"/>
        <v>26000196</v>
      </c>
    </row>
    <row r="36" spans="1:10" ht="16.899999999999999" customHeight="1" x14ac:dyDescent="0.2">
      <c r="A36" s="501">
        <v>30</v>
      </c>
      <c r="B36" s="503" t="s">
        <v>34</v>
      </c>
      <c r="C36" s="505">
        <f>'7_Local Revenue'!AE36</f>
        <v>3441940</v>
      </c>
      <c r="D36" s="505">
        <f>'7_Local Revenue'!H36</f>
        <v>78727710</v>
      </c>
      <c r="E36" s="505">
        <f t="shared" si="1"/>
        <v>1175628</v>
      </c>
      <c r="F36" s="505">
        <f>'7_Local Revenue'!AI36</f>
        <v>7062745</v>
      </c>
      <c r="G36" s="505">
        <f>'7_Local Revenue'!AM36</f>
        <v>235424833</v>
      </c>
      <c r="H36" s="505">
        <f t="shared" si="2"/>
        <v>1762098</v>
      </c>
      <c r="I36" s="505">
        <f>'7_Local Revenue'!AP36</f>
        <v>75988</v>
      </c>
      <c r="J36" s="507">
        <f t="shared" si="3"/>
        <v>3013714</v>
      </c>
    </row>
    <row r="37" spans="1:10" ht="16.899999999999999" customHeight="1" x14ac:dyDescent="0.2">
      <c r="A37" s="500">
        <v>31</v>
      </c>
      <c r="B37" s="502" t="s">
        <v>35</v>
      </c>
      <c r="C37" s="504">
        <f>'7_Local Revenue'!AE37</f>
        <v>19436745</v>
      </c>
      <c r="D37" s="504">
        <f>'7_Local Revenue'!H37</f>
        <v>454621934</v>
      </c>
      <c r="E37" s="504">
        <f t="shared" si="1"/>
        <v>6788792</v>
      </c>
      <c r="F37" s="504">
        <f>'7_Local Revenue'!AI37</f>
        <v>19766667</v>
      </c>
      <c r="G37" s="504">
        <f>'7_Local Revenue'!AM37</f>
        <v>988333350</v>
      </c>
      <c r="H37" s="504">
        <f t="shared" si="2"/>
        <v>7397438</v>
      </c>
      <c r="I37" s="504">
        <f>'7_Local Revenue'!AP37</f>
        <v>389408</v>
      </c>
      <c r="J37" s="506">
        <f t="shared" si="3"/>
        <v>14575638</v>
      </c>
    </row>
    <row r="38" spans="1:10" ht="16.899999999999999" customHeight="1" x14ac:dyDescent="0.2">
      <c r="A38" s="46">
        <v>32</v>
      </c>
      <c r="B38" s="291" t="s">
        <v>36</v>
      </c>
      <c r="C38" s="48">
        <f>'7_Local Revenue'!AE38</f>
        <v>18084010</v>
      </c>
      <c r="D38" s="48">
        <f>'7_Local Revenue'!H38</f>
        <v>513960638</v>
      </c>
      <c r="E38" s="48">
        <f t="shared" si="1"/>
        <v>7674887</v>
      </c>
      <c r="F38" s="48">
        <f>'7_Local Revenue'!AI38</f>
        <v>50459200</v>
      </c>
      <c r="G38" s="48">
        <f>'7_Local Revenue'!AM38</f>
        <v>2018368000</v>
      </c>
      <c r="H38" s="48">
        <f t="shared" si="2"/>
        <v>15107000</v>
      </c>
      <c r="I38" s="48">
        <f>'7_Local Revenue'!AP38</f>
        <v>986735</v>
      </c>
      <c r="J38" s="292">
        <f t="shared" si="3"/>
        <v>23768622</v>
      </c>
    </row>
    <row r="39" spans="1:10" ht="16.899999999999999" customHeight="1" x14ac:dyDescent="0.2">
      <c r="A39" s="46">
        <v>33</v>
      </c>
      <c r="B39" s="291" t="s">
        <v>37</v>
      </c>
      <c r="C39" s="48">
        <f>'7_Local Revenue'!AE39</f>
        <v>2381370</v>
      </c>
      <c r="D39" s="48">
        <f>'7_Local Revenue'!H39</f>
        <v>109359250</v>
      </c>
      <c r="E39" s="48">
        <f t="shared" ref="E39:E70" si="4">ROUND(D39*$E$3/1000,0)</f>
        <v>1633043</v>
      </c>
      <c r="F39" s="48">
        <f>'7_Local Revenue'!AI39</f>
        <v>3342577</v>
      </c>
      <c r="G39" s="48">
        <f>'7_Local Revenue'!AM39</f>
        <v>133703080</v>
      </c>
      <c r="H39" s="48">
        <f t="shared" ref="H39:H70" si="5">ROUND(G39*$H$3,0)</f>
        <v>1000735</v>
      </c>
      <c r="I39" s="48">
        <f>'7_Local Revenue'!AP39</f>
        <v>45847</v>
      </c>
      <c r="J39" s="292">
        <f t="shared" ref="J39:J70" si="6">E39+H39+I39</f>
        <v>2679625</v>
      </c>
    </row>
    <row r="40" spans="1:10" ht="16.899999999999999" customHeight="1" x14ac:dyDescent="0.2">
      <c r="A40" s="46">
        <v>34</v>
      </c>
      <c r="B40" s="291" t="s">
        <v>38</v>
      </c>
      <c r="C40" s="48">
        <f>'7_Local Revenue'!AE40</f>
        <v>5526382</v>
      </c>
      <c r="D40" s="48">
        <f>'7_Local Revenue'!H40</f>
        <v>145640220</v>
      </c>
      <c r="E40" s="48">
        <f t="shared" si="4"/>
        <v>2174821</v>
      </c>
      <c r="F40" s="48">
        <f>'7_Local Revenue'!AI40</f>
        <v>5995560</v>
      </c>
      <c r="G40" s="48">
        <f>'7_Local Revenue'!AM40</f>
        <v>299778000</v>
      </c>
      <c r="H40" s="48">
        <f t="shared" si="5"/>
        <v>2243766</v>
      </c>
      <c r="I40" s="48">
        <f>'7_Local Revenue'!AP40</f>
        <v>209484</v>
      </c>
      <c r="J40" s="292">
        <f>E40+H40+I40</f>
        <v>4628071</v>
      </c>
    </row>
    <row r="41" spans="1:10" ht="16.899999999999999" customHeight="1" x14ac:dyDescent="0.2">
      <c r="A41" s="501">
        <v>35</v>
      </c>
      <c r="B41" s="503" t="s">
        <v>39</v>
      </c>
      <c r="C41" s="505">
        <f>'7_Local Revenue'!AE41</f>
        <v>8049415</v>
      </c>
      <c r="D41" s="505">
        <f>'7_Local Revenue'!H41</f>
        <v>340186653</v>
      </c>
      <c r="E41" s="505">
        <f t="shared" si="4"/>
        <v>5079949</v>
      </c>
      <c r="F41" s="505">
        <f>'7_Local Revenue'!AI41</f>
        <v>15434082</v>
      </c>
      <c r="G41" s="505">
        <f>'7_Local Revenue'!AM41</f>
        <v>617363280</v>
      </c>
      <c r="H41" s="505">
        <f t="shared" si="5"/>
        <v>4620816</v>
      </c>
      <c r="I41" s="505">
        <f>'7_Local Revenue'!AP41</f>
        <v>699789</v>
      </c>
      <c r="J41" s="507">
        <f t="shared" si="6"/>
        <v>10400554</v>
      </c>
    </row>
    <row r="42" spans="1:10" s="81" customFormat="1" ht="16.899999999999999" customHeight="1" x14ac:dyDescent="0.2">
      <c r="A42" s="500">
        <v>36</v>
      </c>
      <c r="B42" s="502" t="s">
        <v>40</v>
      </c>
      <c r="C42" s="504">
        <f>'7_Local Revenue'!AE42</f>
        <v>169281560</v>
      </c>
      <c r="D42" s="504">
        <f>'7_Local Revenue'!H42</f>
        <v>3789022670</v>
      </c>
      <c r="E42" s="504">
        <f t="shared" si="4"/>
        <v>56580831</v>
      </c>
      <c r="F42" s="504">
        <f>'7_Local Revenue'!AI42</f>
        <v>139638108</v>
      </c>
      <c r="G42" s="504">
        <f>'7_Local Revenue'!AM42</f>
        <v>9309207200</v>
      </c>
      <c r="H42" s="504">
        <f t="shared" si="5"/>
        <v>69677182</v>
      </c>
      <c r="I42" s="504">
        <f>'7_Local Revenue'!AP42</f>
        <v>2847786</v>
      </c>
      <c r="J42" s="506">
        <f t="shared" si="6"/>
        <v>129105799</v>
      </c>
    </row>
    <row r="43" spans="1:10" s="81" customFormat="1" ht="16.899999999999999" customHeight="1" x14ac:dyDescent="0.2">
      <c r="A43" s="46">
        <v>37</v>
      </c>
      <c r="B43" s="291" t="s">
        <v>41</v>
      </c>
      <c r="C43" s="48">
        <f>'7_Local Revenue'!AE43</f>
        <v>29781840</v>
      </c>
      <c r="D43" s="48">
        <f>'7_Local Revenue'!H43</f>
        <v>713564414</v>
      </c>
      <c r="E43" s="48">
        <f t="shared" si="4"/>
        <v>10655536</v>
      </c>
      <c r="F43" s="48">
        <f>'7_Local Revenue'!AI43</f>
        <v>45501423</v>
      </c>
      <c r="G43" s="48">
        <f>'7_Local Revenue'!AM43</f>
        <v>1516714100</v>
      </c>
      <c r="H43" s="48">
        <f t="shared" si="5"/>
        <v>11352241</v>
      </c>
      <c r="I43" s="48">
        <f>'7_Local Revenue'!AP43</f>
        <v>836318</v>
      </c>
      <c r="J43" s="292">
        <f t="shared" si="6"/>
        <v>22844095</v>
      </c>
    </row>
    <row r="44" spans="1:10" s="81" customFormat="1" ht="16.899999999999999" customHeight="1" x14ac:dyDescent="0.2">
      <c r="A44" s="46">
        <v>38</v>
      </c>
      <c r="B44" s="291" t="s">
        <v>42</v>
      </c>
      <c r="C44" s="48">
        <f>'7_Local Revenue'!AE44</f>
        <v>26399062</v>
      </c>
      <c r="D44" s="48">
        <f>'7_Local Revenue'!H44</f>
        <v>1012141815</v>
      </c>
      <c r="E44" s="48">
        <f t="shared" si="4"/>
        <v>15114142</v>
      </c>
      <c r="F44" s="48">
        <f>'7_Local Revenue'!AI44</f>
        <v>17550223</v>
      </c>
      <c r="G44" s="48">
        <f>'7_Local Revenue'!AM44</f>
        <v>702008920</v>
      </c>
      <c r="H44" s="48">
        <f t="shared" si="5"/>
        <v>5254368</v>
      </c>
      <c r="I44" s="48">
        <f>'7_Local Revenue'!AP44</f>
        <v>102915</v>
      </c>
      <c r="J44" s="292">
        <f t="shared" si="6"/>
        <v>20471425</v>
      </c>
    </row>
    <row r="45" spans="1:10" s="81" customFormat="1" ht="16.899999999999999" customHeight="1" x14ac:dyDescent="0.2">
      <c r="A45" s="46">
        <v>39</v>
      </c>
      <c r="B45" s="291" t="s">
        <v>43</v>
      </c>
      <c r="C45" s="48">
        <f>'7_Local Revenue'!AE45</f>
        <v>7795425</v>
      </c>
      <c r="D45" s="48">
        <f>'7_Local Revenue'!H45</f>
        <v>474169906</v>
      </c>
      <c r="E45" s="48">
        <f t="shared" si="4"/>
        <v>7080699</v>
      </c>
      <c r="F45" s="48">
        <f>'7_Local Revenue'!AI45</f>
        <v>7065003</v>
      </c>
      <c r="G45" s="48">
        <f>'7_Local Revenue'!AM45</f>
        <v>353250150</v>
      </c>
      <c r="H45" s="48">
        <f t="shared" si="5"/>
        <v>2643993</v>
      </c>
      <c r="I45" s="48">
        <f>'7_Local Revenue'!AP45</f>
        <v>152093</v>
      </c>
      <c r="J45" s="292">
        <f t="shared" si="6"/>
        <v>9876785</v>
      </c>
    </row>
    <row r="46" spans="1:10" s="81" customFormat="1" ht="16.899999999999999" customHeight="1" x14ac:dyDescent="0.2">
      <c r="A46" s="501">
        <v>40</v>
      </c>
      <c r="B46" s="503" t="s">
        <v>44</v>
      </c>
      <c r="C46" s="505">
        <f>'7_Local Revenue'!AE46</f>
        <v>39230315</v>
      </c>
      <c r="D46" s="505">
        <f>'7_Local Revenue'!H46</f>
        <v>813097131</v>
      </c>
      <c r="E46" s="505">
        <f t="shared" si="4"/>
        <v>12141841</v>
      </c>
      <c r="F46" s="505">
        <f>'7_Local Revenue'!AI46</f>
        <v>50928120</v>
      </c>
      <c r="G46" s="505">
        <f>'7_Local Revenue'!AM46</f>
        <v>2546406000</v>
      </c>
      <c r="H46" s="505">
        <f t="shared" si="5"/>
        <v>19059238</v>
      </c>
      <c r="I46" s="505">
        <f>'7_Local Revenue'!AP46</f>
        <v>1062573</v>
      </c>
      <c r="J46" s="507">
        <f t="shared" si="6"/>
        <v>32263652</v>
      </c>
    </row>
    <row r="47" spans="1:10" s="81" customFormat="1" ht="16.899999999999999" customHeight="1" x14ac:dyDescent="0.2">
      <c r="A47" s="500">
        <v>41</v>
      </c>
      <c r="B47" s="502" t="s">
        <v>45</v>
      </c>
      <c r="C47" s="504">
        <f>'7_Local Revenue'!AE47</f>
        <v>10564712</v>
      </c>
      <c r="D47" s="504">
        <f>'7_Local Revenue'!H47</f>
        <v>236356170</v>
      </c>
      <c r="E47" s="504">
        <f t="shared" si="4"/>
        <v>3529467</v>
      </c>
      <c r="F47" s="504">
        <f>'7_Local Revenue'!AI47</f>
        <v>4645708</v>
      </c>
      <c r="G47" s="504">
        <f>'7_Local Revenue'!AM47</f>
        <v>212047809.99999997</v>
      </c>
      <c r="H47" s="504">
        <f t="shared" si="5"/>
        <v>1587127</v>
      </c>
      <c r="I47" s="504">
        <f>'7_Local Revenue'!AP47</f>
        <v>91520</v>
      </c>
      <c r="J47" s="506">
        <f t="shared" si="6"/>
        <v>5208114</v>
      </c>
    </row>
    <row r="48" spans="1:10" s="81" customFormat="1" ht="16.899999999999999" customHeight="1" x14ac:dyDescent="0.2">
      <c r="A48" s="46">
        <v>42</v>
      </c>
      <c r="B48" s="291" t="s">
        <v>46</v>
      </c>
      <c r="C48" s="48">
        <f>'7_Local Revenue'!AE48</f>
        <v>6359840</v>
      </c>
      <c r="D48" s="48">
        <f>'7_Local Revenue'!H48</f>
        <v>227088187</v>
      </c>
      <c r="E48" s="48">
        <f t="shared" si="4"/>
        <v>3391069</v>
      </c>
      <c r="F48" s="48">
        <f>'7_Local Revenue'!AI48</f>
        <v>6116304</v>
      </c>
      <c r="G48" s="48">
        <f>'7_Local Revenue'!AM48</f>
        <v>305815200</v>
      </c>
      <c r="H48" s="48">
        <f t="shared" si="5"/>
        <v>2288953</v>
      </c>
      <c r="I48" s="48">
        <f>'7_Local Revenue'!AP48</f>
        <v>205522</v>
      </c>
      <c r="J48" s="292">
        <f t="shared" si="6"/>
        <v>5885544</v>
      </c>
    </row>
    <row r="49" spans="1:10" s="81" customFormat="1" ht="16.899999999999999" customHeight="1" x14ac:dyDescent="0.2">
      <c r="A49" s="46">
        <v>43</v>
      </c>
      <c r="B49" s="291" t="s">
        <v>47</v>
      </c>
      <c r="C49" s="48">
        <f>'7_Local Revenue'!AE49</f>
        <v>6294219</v>
      </c>
      <c r="D49" s="48">
        <f>'7_Local Revenue'!H49</f>
        <v>174477756</v>
      </c>
      <c r="E49" s="48">
        <f t="shared" si="4"/>
        <v>2605447</v>
      </c>
      <c r="F49" s="48">
        <f>'7_Local Revenue'!AI49</f>
        <v>9703993</v>
      </c>
      <c r="G49" s="48">
        <f>'7_Local Revenue'!AM49</f>
        <v>374966010</v>
      </c>
      <c r="H49" s="48">
        <f t="shared" si="5"/>
        <v>2806531</v>
      </c>
      <c r="I49" s="48">
        <f>'7_Local Revenue'!AP49</f>
        <v>147620</v>
      </c>
      <c r="J49" s="292">
        <f t="shared" si="6"/>
        <v>5559598</v>
      </c>
    </row>
    <row r="50" spans="1:10" s="81" customFormat="1" ht="16.899999999999999" customHeight="1" x14ac:dyDescent="0.2">
      <c r="A50" s="46">
        <v>44</v>
      </c>
      <c r="B50" s="291" t="s">
        <v>48</v>
      </c>
      <c r="C50" s="48">
        <f>'7_Local Revenue'!AE50</f>
        <v>12817308</v>
      </c>
      <c r="D50" s="48">
        <f>'7_Local Revenue'!H50</f>
        <v>311778562</v>
      </c>
      <c r="E50" s="48">
        <f t="shared" si="4"/>
        <v>4655736</v>
      </c>
      <c r="F50" s="48">
        <f>'7_Local Revenue'!AI50</f>
        <v>16421148</v>
      </c>
      <c r="G50" s="48">
        <f>'7_Local Revenue'!AM50</f>
        <v>821057400</v>
      </c>
      <c r="H50" s="48">
        <f t="shared" si="5"/>
        <v>6145418</v>
      </c>
      <c r="I50" s="48">
        <f>'7_Local Revenue'!AP50</f>
        <v>116147</v>
      </c>
      <c r="J50" s="292">
        <f t="shared" si="6"/>
        <v>10917301</v>
      </c>
    </row>
    <row r="51" spans="1:10" ht="16.899999999999999" customHeight="1" x14ac:dyDescent="0.2">
      <c r="A51" s="501">
        <v>45</v>
      </c>
      <c r="B51" s="503" t="s">
        <v>49</v>
      </c>
      <c r="C51" s="505">
        <f>'7_Local Revenue'!AE51</f>
        <v>69078687</v>
      </c>
      <c r="D51" s="505">
        <f>'7_Local Revenue'!H51</f>
        <v>1268026118</v>
      </c>
      <c r="E51" s="505">
        <f t="shared" si="4"/>
        <v>18935218</v>
      </c>
      <c r="F51" s="505">
        <f>'7_Local Revenue'!AI51</f>
        <v>54617114</v>
      </c>
      <c r="G51" s="505">
        <f>'7_Local Revenue'!AM51</f>
        <v>1820570467</v>
      </c>
      <c r="H51" s="505">
        <f t="shared" si="5"/>
        <v>13626533</v>
      </c>
      <c r="I51" s="505">
        <f>'7_Local Revenue'!AP51</f>
        <v>276799</v>
      </c>
      <c r="J51" s="507">
        <f t="shared" si="6"/>
        <v>32838550</v>
      </c>
    </row>
    <row r="52" spans="1:10" ht="16.899999999999999" customHeight="1" x14ac:dyDescent="0.2">
      <c r="A52" s="500">
        <v>46</v>
      </c>
      <c r="B52" s="502" t="s">
        <v>50</v>
      </c>
      <c r="C52" s="504">
        <f>'7_Local Revenue'!AE52</f>
        <v>2117427</v>
      </c>
      <c r="D52" s="504">
        <f>'7_Local Revenue'!H52</f>
        <v>48929860</v>
      </c>
      <c r="E52" s="504">
        <f t="shared" si="4"/>
        <v>730661</v>
      </c>
      <c r="F52" s="504">
        <f>'7_Local Revenue'!AI52</f>
        <v>1407923</v>
      </c>
      <c r="G52" s="504">
        <f>'7_Local Revenue'!AM52</f>
        <v>70396150</v>
      </c>
      <c r="H52" s="504">
        <f t="shared" si="5"/>
        <v>526898</v>
      </c>
      <c r="I52" s="504">
        <f>'7_Local Revenue'!AP52</f>
        <v>31836</v>
      </c>
      <c r="J52" s="506">
        <f t="shared" si="6"/>
        <v>1289395</v>
      </c>
    </row>
    <row r="53" spans="1:10" ht="16.899999999999999" customHeight="1" x14ac:dyDescent="0.2">
      <c r="A53" s="46">
        <v>47</v>
      </c>
      <c r="B53" s="291" t="s">
        <v>51</v>
      </c>
      <c r="C53" s="48">
        <f>'7_Local Revenue'!AE53</f>
        <v>25688460</v>
      </c>
      <c r="D53" s="48">
        <f>'7_Local Revenue'!H53</f>
        <v>568518302</v>
      </c>
      <c r="E53" s="48">
        <f t="shared" si="4"/>
        <v>8489587</v>
      </c>
      <c r="F53" s="48">
        <f>'7_Local Revenue'!AI53</f>
        <v>19645026</v>
      </c>
      <c r="G53" s="48">
        <f>'7_Local Revenue'!AM53</f>
        <v>785801040</v>
      </c>
      <c r="H53" s="48">
        <f t="shared" si="5"/>
        <v>5881532</v>
      </c>
      <c r="I53" s="48">
        <f>'7_Local Revenue'!AP53</f>
        <v>82923</v>
      </c>
      <c r="J53" s="292">
        <f t="shared" si="6"/>
        <v>14454042</v>
      </c>
    </row>
    <row r="54" spans="1:10" ht="16.899999999999999" customHeight="1" x14ac:dyDescent="0.2">
      <c r="A54" s="46">
        <v>48</v>
      </c>
      <c r="B54" s="291" t="s">
        <v>73</v>
      </c>
      <c r="C54" s="48">
        <f>'7_Local Revenue'!AE54</f>
        <v>15192746</v>
      </c>
      <c r="D54" s="48">
        <f>'7_Local Revenue'!H54</f>
        <v>417380640</v>
      </c>
      <c r="E54" s="48">
        <f t="shared" si="4"/>
        <v>6232674</v>
      </c>
      <c r="F54" s="48">
        <f>'7_Local Revenue'!AI54</f>
        <v>24772288</v>
      </c>
      <c r="G54" s="48">
        <f>'7_Local Revenue'!AM54</f>
        <v>990891520</v>
      </c>
      <c r="H54" s="48">
        <f t="shared" si="5"/>
        <v>7416585</v>
      </c>
      <c r="I54" s="48">
        <f>'7_Local Revenue'!AP54</f>
        <v>251913</v>
      </c>
      <c r="J54" s="292">
        <f t="shared" si="6"/>
        <v>13901172</v>
      </c>
    </row>
    <row r="55" spans="1:10" ht="16.899999999999999" customHeight="1" x14ac:dyDescent="0.2">
      <c r="A55" s="46">
        <v>49</v>
      </c>
      <c r="B55" s="291" t="s">
        <v>52</v>
      </c>
      <c r="C55" s="48">
        <f>'7_Local Revenue'!AE55</f>
        <v>13250783</v>
      </c>
      <c r="D55" s="48">
        <f>'7_Local Revenue'!H55</f>
        <v>651988212</v>
      </c>
      <c r="E55" s="48">
        <f t="shared" si="4"/>
        <v>9736029</v>
      </c>
      <c r="F55" s="48">
        <f>'7_Local Revenue'!AI55</f>
        <v>23368563</v>
      </c>
      <c r="G55" s="48">
        <f>'7_Local Revenue'!AM55</f>
        <v>1168428150</v>
      </c>
      <c r="H55" s="48">
        <f t="shared" si="5"/>
        <v>8745404</v>
      </c>
      <c r="I55" s="48">
        <f>'7_Local Revenue'!AP55</f>
        <v>542634</v>
      </c>
      <c r="J55" s="292">
        <f t="shared" si="6"/>
        <v>19024067</v>
      </c>
    </row>
    <row r="56" spans="1:10" ht="16.899999999999999" customHeight="1" x14ac:dyDescent="0.2">
      <c r="A56" s="501">
        <v>50</v>
      </c>
      <c r="B56" s="503" t="s">
        <v>53</v>
      </c>
      <c r="C56" s="505">
        <f>'7_Local Revenue'!AE56</f>
        <v>12729214</v>
      </c>
      <c r="D56" s="505">
        <f>'7_Local Revenue'!H56</f>
        <v>383456179</v>
      </c>
      <c r="E56" s="505">
        <f t="shared" si="4"/>
        <v>5726086</v>
      </c>
      <c r="F56" s="505">
        <f>'7_Local Revenue'!AI56</f>
        <v>15367394</v>
      </c>
      <c r="G56" s="505">
        <f>'7_Local Revenue'!AM56</f>
        <v>768369700</v>
      </c>
      <c r="H56" s="505">
        <f t="shared" si="5"/>
        <v>5751063</v>
      </c>
      <c r="I56" s="505">
        <f>'7_Local Revenue'!AP56</f>
        <v>320519</v>
      </c>
      <c r="J56" s="507">
        <f t="shared" si="6"/>
        <v>11797668</v>
      </c>
    </row>
    <row r="57" spans="1:10" ht="16.899999999999999" customHeight="1" x14ac:dyDescent="0.2">
      <c r="A57" s="500">
        <v>51</v>
      </c>
      <c r="B57" s="502" t="s">
        <v>54</v>
      </c>
      <c r="C57" s="504">
        <f>'7_Local Revenue'!AE57</f>
        <v>19715437</v>
      </c>
      <c r="D57" s="504">
        <f>'7_Local Revenue'!H57</f>
        <v>551329902</v>
      </c>
      <c r="E57" s="504">
        <f t="shared" si="4"/>
        <v>8232916</v>
      </c>
      <c r="F57" s="504">
        <f>'7_Local Revenue'!AI57</f>
        <v>14811568</v>
      </c>
      <c r="G57" s="504">
        <f>'7_Local Revenue'!AM57</f>
        <v>846375314</v>
      </c>
      <c r="H57" s="504">
        <f t="shared" si="5"/>
        <v>6334916</v>
      </c>
      <c r="I57" s="504">
        <f>'7_Local Revenue'!AP57</f>
        <v>648143</v>
      </c>
      <c r="J57" s="506">
        <f t="shared" si="6"/>
        <v>15215975</v>
      </c>
    </row>
    <row r="58" spans="1:10" ht="16.899999999999999" customHeight="1" x14ac:dyDescent="0.2">
      <c r="A58" s="46">
        <v>52</v>
      </c>
      <c r="B58" s="291" t="s">
        <v>55</v>
      </c>
      <c r="C58" s="48">
        <f>'7_Local Revenue'!AE58</f>
        <v>130775265</v>
      </c>
      <c r="D58" s="48">
        <f>'7_Local Revenue'!H58</f>
        <v>2021346077</v>
      </c>
      <c r="E58" s="48">
        <f t="shared" si="4"/>
        <v>30184417</v>
      </c>
      <c r="F58" s="48">
        <f>'7_Local Revenue'!AI58</f>
        <v>97261498</v>
      </c>
      <c r="G58" s="48">
        <f>'7_Local Revenue'!AM58</f>
        <v>4863074900</v>
      </c>
      <c r="H58" s="48">
        <f t="shared" si="5"/>
        <v>36398948</v>
      </c>
      <c r="I58" s="48">
        <f>'7_Local Revenue'!AP58</f>
        <v>2009558</v>
      </c>
      <c r="J58" s="292">
        <f t="shared" si="6"/>
        <v>68592923</v>
      </c>
    </row>
    <row r="59" spans="1:10" ht="16.899999999999999" customHeight="1" x14ac:dyDescent="0.2">
      <c r="A59" s="46">
        <v>53</v>
      </c>
      <c r="B59" s="291" t="s">
        <v>56</v>
      </c>
      <c r="C59" s="48">
        <f>'7_Local Revenue'!AE59</f>
        <v>7041768</v>
      </c>
      <c r="D59" s="48">
        <f>'7_Local Revenue'!H59</f>
        <v>575918989</v>
      </c>
      <c r="E59" s="48">
        <f t="shared" si="4"/>
        <v>8600100</v>
      </c>
      <c r="F59" s="48">
        <f>'7_Local Revenue'!AI59</f>
        <v>44364304</v>
      </c>
      <c r="G59" s="48">
        <f>'7_Local Revenue'!AM59</f>
        <v>2218215200</v>
      </c>
      <c r="H59" s="48">
        <f t="shared" si="5"/>
        <v>16602808</v>
      </c>
      <c r="I59" s="48">
        <f>'7_Local Revenue'!AP59</f>
        <v>204399</v>
      </c>
      <c r="J59" s="292">
        <f t="shared" si="6"/>
        <v>25407307</v>
      </c>
    </row>
    <row r="60" spans="1:10" ht="16.899999999999999" customHeight="1" x14ac:dyDescent="0.2">
      <c r="A60" s="46">
        <v>54</v>
      </c>
      <c r="B60" s="291" t="s">
        <v>57</v>
      </c>
      <c r="C60" s="48">
        <f>'7_Local Revenue'!AE60</f>
        <v>2119616</v>
      </c>
      <c r="D60" s="48">
        <f>'7_Local Revenue'!H60</f>
        <v>55508652</v>
      </c>
      <c r="E60" s="48">
        <f t="shared" si="4"/>
        <v>828901</v>
      </c>
      <c r="F60" s="48">
        <f>'7_Local Revenue'!AI60</f>
        <v>688586</v>
      </c>
      <c r="G60" s="48">
        <f>'7_Local Revenue'!AM60</f>
        <v>45905733</v>
      </c>
      <c r="H60" s="48">
        <f t="shared" si="5"/>
        <v>343593</v>
      </c>
      <c r="I60" s="48">
        <f>'7_Local Revenue'!AP60</f>
        <v>46926</v>
      </c>
      <c r="J60" s="292">
        <f t="shared" si="6"/>
        <v>1219420</v>
      </c>
    </row>
    <row r="61" spans="1:10" ht="16.899999999999999" customHeight="1" x14ac:dyDescent="0.2">
      <c r="A61" s="501">
        <v>55</v>
      </c>
      <c r="B61" s="503" t="s">
        <v>58</v>
      </c>
      <c r="C61" s="505">
        <f>'7_Local Revenue'!AE61</f>
        <v>8797316</v>
      </c>
      <c r="D61" s="505">
        <f>'7_Local Revenue'!H61</f>
        <v>951124643</v>
      </c>
      <c r="E61" s="505">
        <f t="shared" si="4"/>
        <v>14202983</v>
      </c>
      <c r="F61" s="505">
        <f>'7_Local Revenue'!AI61</f>
        <v>55733558</v>
      </c>
      <c r="G61" s="505">
        <f>'7_Local Revenue'!AM61</f>
        <v>2160215426</v>
      </c>
      <c r="H61" s="505">
        <f t="shared" si="5"/>
        <v>16168694</v>
      </c>
      <c r="I61" s="505">
        <f>'7_Local Revenue'!AP61</f>
        <v>304730</v>
      </c>
      <c r="J61" s="507">
        <f t="shared" si="6"/>
        <v>30676407</v>
      </c>
    </row>
    <row r="62" spans="1:10" ht="16.899999999999999" customHeight="1" x14ac:dyDescent="0.2">
      <c r="A62" s="500">
        <v>56</v>
      </c>
      <c r="B62" s="502" t="s">
        <v>59</v>
      </c>
      <c r="C62" s="504">
        <f>'7_Local Revenue'!AE62</f>
        <v>3374833.37</v>
      </c>
      <c r="D62" s="504">
        <f>'7_Local Revenue'!H62</f>
        <v>152044358</v>
      </c>
      <c r="E62" s="504">
        <f t="shared" si="4"/>
        <v>2270453</v>
      </c>
      <c r="F62" s="504">
        <f>'7_Local Revenue'!AI62</f>
        <v>7373157</v>
      </c>
      <c r="G62" s="504">
        <f>'7_Local Revenue'!AM62</f>
        <v>245771900</v>
      </c>
      <c r="H62" s="504">
        <f t="shared" si="5"/>
        <v>1839544</v>
      </c>
      <c r="I62" s="504">
        <f>'7_Local Revenue'!AP62</f>
        <v>99794</v>
      </c>
      <c r="J62" s="506">
        <f t="shared" si="6"/>
        <v>4209791</v>
      </c>
    </row>
    <row r="63" spans="1:10" ht="16.899999999999999" customHeight="1" x14ac:dyDescent="0.2">
      <c r="A63" s="46">
        <v>57</v>
      </c>
      <c r="B63" s="291" t="s">
        <v>60</v>
      </c>
      <c r="C63" s="48">
        <f>'7_Local Revenue'!AE63</f>
        <v>12044214</v>
      </c>
      <c r="D63" s="48">
        <f>'7_Local Revenue'!H63</f>
        <v>309862263</v>
      </c>
      <c r="E63" s="48">
        <f t="shared" si="4"/>
        <v>4627120</v>
      </c>
      <c r="F63" s="48">
        <f>'7_Local Revenue'!AI63</f>
        <v>11227692</v>
      </c>
      <c r="G63" s="48">
        <f>'7_Local Revenue'!AM63</f>
        <v>748512800</v>
      </c>
      <c r="H63" s="48">
        <f t="shared" si="5"/>
        <v>5602439</v>
      </c>
      <c r="I63" s="48">
        <f>'7_Local Revenue'!AP63</f>
        <v>1347078</v>
      </c>
      <c r="J63" s="292">
        <f t="shared" si="6"/>
        <v>11576637</v>
      </c>
    </row>
    <row r="64" spans="1:10" ht="16.899999999999999" customHeight="1" x14ac:dyDescent="0.2">
      <c r="A64" s="46">
        <v>58</v>
      </c>
      <c r="B64" s="291" t="s">
        <v>61</v>
      </c>
      <c r="C64" s="48">
        <f>'7_Local Revenue'!AE64</f>
        <v>7686420</v>
      </c>
      <c r="D64" s="48">
        <f>'7_Local Revenue'!H64</f>
        <v>139452269</v>
      </c>
      <c r="E64" s="48">
        <f t="shared" si="4"/>
        <v>2082417</v>
      </c>
      <c r="F64" s="48">
        <f>'7_Local Revenue'!AI64</f>
        <v>11387088</v>
      </c>
      <c r="G64" s="48">
        <f>'7_Local Revenue'!AM64</f>
        <v>569354400</v>
      </c>
      <c r="H64" s="48">
        <f t="shared" si="5"/>
        <v>4261481</v>
      </c>
      <c r="I64" s="48">
        <f>'7_Local Revenue'!AP64</f>
        <v>397373</v>
      </c>
      <c r="J64" s="292">
        <f t="shared" si="6"/>
        <v>6741271</v>
      </c>
    </row>
    <row r="65" spans="1:10" ht="16.899999999999999" customHeight="1" x14ac:dyDescent="0.2">
      <c r="A65" s="46">
        <v>59</v>
      </c>
      <c r="B65" s="291" t="s">
        <v>62</v>
      </c>
      <c r="C65" s="48">
        <f>'7_Local Revenue'!AE65</f>
        <v>3106198</v>
      </c>
      <c r="D65" s="48">
        <f>'7_Local Revenue'!H65</f>
        <v>100956762</v>
      </c>
      <c r="E65" s="48">
        <f t="shared" si="4"/>
        <v>1507570</v>
      </c>
      <c r="F65" s="48">
        <f>'7_Local Revenue'!AI65</f>
        <v>4698517</v>
      </c>
      <c r="G65" s="48">
        <f>'7_Local Revenue'!AM65</f>
        <v>234925850</v>
      </c>
      <c r="H65" s="48">
        <f t="shared" si="5"/>
        <v>1758364</v>
      </c>
      <c r="I65" s="48">
        <f>'7_Local Revenue'!AP65</f>
        <v>159786</v>
      </c>
      <c r="J65" s="292">
        <f t="shared" si="6"/>
        <v>3425720</v>
      </c>
    </row>
    <row r="66" spans="1:10" ht="16.899999999999999" customHeight="1" x14ac:dyDescent="0.2">
      <c r="A66" s="501">
        <v>60</v>
      </c>
      <c r="B66" s="503" t="s">
        <v>63</v>
      </c>
      <c r="C66" s="505">
        <f>'7_Local Revenue'!AE66</f>
        <v>11638740</v>
      </c>
      <c r="D66" s="505">
        <f>'7_Local Revenue'!H66</f>
        <v>256926526</v>
      </c>
      <c r="E66" s="505">
        <f t="shared" si="4"/>
        <v>3836640</v>
      </c>
      <c r="F66" s="505">
        <f>'7_Local Revenue'!AI66</f>
        <v>14555945</v>
      </c>
      <c r="G66" s="505">
        <f>'7_Local Revenue'!AM66</f>
        <v>683377700</v>
      </c>
      <c r="H66" s="505">
        <f t="shared" si="5"/>
        <v>5114918</v>
      </c>
      <c r="I66" s="505">
        <f>'7_Local Revenue'!AP66</f>
        <v>298569</v>
      </c>
      <c r="J66" s="507">
        <f t="shared" si="6"/>
        <v>9250127</v>
      </c>
    </row>
    <row r="67" spans="1:10" ht="16.899999999999999" customHeight="1" x14ac:dyDescent="0.2">
      <c r="A67" s="500">
        <v>61</v>
      </c>
      <c r="B67" s="502" t="s">
        <v>64</v>
      </c>
      <c r="C67" s="504">
        <f>'7_Local Revenue'!AE67</f>
        <v>20606737</v>
      </c>
      <c r="D67" s="504">
        <f>'7_Local Revenue'!H67</f>
        <v>401558991</v>
      </c>
      <c r="E67" s="504">
        <f t="shared" si="4"/>
        <v>5996412</v>
      </c>
      <c r="F67" s="504">
        <f>'7_Local Revenue'!AI67</f>
        <v>16244186</v>
      </c>
      <c r="G67" s="504">
        <f>'7_Local Revenue'!AM67</f>
        <v>812209300</v>
      </c>
      <c r="H67" s="504">
        <f t="shared" si="5"/>
        <v>6079192</v>
      </c>
      <c r="I67" s="504">
        <f>'7_Local Revenue'!AP67</f>
        <v>177330</v>
      </c>
      <c r="J67" s="506">
        <f t="shared" si="6"/>
        <v>12252934</v>
      </c>
    </row>
    <row r="68" spans="1:10" ht="16.899999999999999" customHeight="1" x14ac:dyDescent="0.2">
      <c r="A68" s="46">
        <v>62</v>
      </c>
      <c r="B68" s="291" t="s">
        <v>65</v>
      </c>
      <c r="C68" s="48">
        <f>'7_Local Revenue'!AE68</f>
        <v>1610387</v>
      </c>
      <c r="D68" s="48">
        <f>'7_Local Revenue'!H68</f>
        <v>60831702</v>
      </c>
      <c r="E68" s="48">
        <f t="shared" si="4"/>
        <v>908389</v>
      </c>
      <c r="F68" s="48">
        <f>'7_Local Revenue'!AI68</f>
        <v>2714066</v>
      </c>
      <c r="G68" s="48">
        <f>'7_Local Revenue'!AM68</f>
        <v>135703300</v>
      </c>
      <c r="H68" s="48">
        <f t="shared" si="5"/>
        <v>1015707</v>
      </c>
      <c r="I68" s="48">
        <f>'7_Local Revenue'!AP68</f>
        <v>91139</v>
      </c>
      <c r="J68" s="292">
        <f t="shared" si="6"/>
        <v>2015235</v>
      </c>
    </row>
    <row r="69" spans="1:10" ht="16.899999999999999" customHeight="1" x14ac:dyDescent="0.2">
      <c r="A69" s="46">
        <v>63</v>
      </c>
      <c r="B69" s="291" t="s">
        <v>66</v>
      </c>
      <c r="C69" s="48">
        <f>'7_Local Revenue'!AE69</f>
        <v>9418278</v>
      </c>
      <c r="D69" s="48">
        <f>'7_Local Revenue'!H69</f>
        <v>284312541</v>
      </c>
      <c r="E69" s="48">
        <f t="shared" si="4"/>
        <v>4245591</v>
      </c>
      <c r="F69" s="48">
        <f>'7_Local Revenue'!AI69</f>
        <v>8123942</v>
      </c>
      <c r="G69" s="48">
        <f>'7_Local Revenue'!AM69</f>
        <v>270798067</v>
      </c>
      <c r="H69" s="48">
        <f t="shared" si="5"/>
        <v>2026859</v>
      </c>
      <c r="I69" s="48">
        <f>'7_Local Revenue'!AP69</f>
        <v>54886</v>
      </c>
      <c r="J69" s="292">
        <f t="shared" si="6"/>
        <v>6327336</v>
      </c>
    </row>
    <row r="70" spans="1:10" ht="16.899999999999999" customHeight="1" x14ac:dyDescent="0.2">
      <c r="A70" s="46">
        <v>64</v>
      </c>
      <c r="B70" s="291" t="s">
        <v>67</v>
      </c>
      <c r="C70" s="48">
        <f>'7_Local Revenue'!AE70</f>
        <v>2552157</v>
      </c>
      <c r="D70" s="48">
        <f>'7_Local Revenue'!H70</f>
        <v>68200692</v>
      </c>
      <c r="E70" s="48">
        <f t="shared" si="4"/>
        <v>1018429</v>
      </c>
      <c r="F70" s="48">
        <f>'7_Local Revenue'!AI70</f>
        <v>3911596</v>
      </c>
      <c r="G70" s="48">
        <f>'7_Local Revenue'!AM70</f>
        <v>195579800</v>
      </c>
      <c r="H70" s="48">
        <f t="shared" si="5"/>
        <v>1463868</v>
      </c>
      <c r="I70" s="48">
        <f>'7_Local Revenue'!AP70</f>
        <v>235607</v>
      </c>
      <c r="J70" s="292">
        <f t="shared" si="6"/>
        <v>2717904</v>
      </c>
    </row>
    <row r="71" spans="1:10" ht="16.899999999999999" customHeight="1" x14ac:dyDescent="0.2">
      <c r="A71" s="501">
        <v>65</v>
      </c>
      <c r="B71" s="503" t="s">
        <v>68</v>
      </c>
      <c r="C71" s="505">
        <f>'7_Local Revenue'!AE71</f>
        <v>16291933</v>
      </c>
      <c r="D71" s="505">
        <f>'7_Local Revenue'!H71</f>
        <v>389860761</v>
      </c>
      <c r="E71" s="505">
        <f>ROUND(D71*$E$3/1000,0)</f>
        <v>5821724</v>
      </c>
      <c r="F71" s="505">
        <f>'7_Local Revenue'!AI71</f>
        <v>28596883</v>
      </c>
      <c r="G71" s="505">
        <f>'7_Local Revenue'!AM71</f>
        <v>1429844150</v>
      </c>
      <c r="H71" s="505">
        <f>ROUND(G71*$H$3,0)</f>
        <v>10702040</v>
      </c>
      <c r="I71" s="505">
        <f>'7_Local Revenue'!AP71</f>
        <v>163871</v>
      </c>
      <c r="J71" s="507">
        <f>E71+H71+I71</f>
        <v>16687635</v>
      </c>
    </row>
    <row r="72" spans="1:10" ht="16.899999999999999" customHeight="1" x14ac:dyDescent="0.2">
      <c r="A72" s="500">
        <v>66</v>
      </c>
      <c r="B72" s="502" t="s">
        <v>69</v>
      </c>
      <c r="C72" s="504">
        <f>'7_Local Revenue'!AE72</f>
        <v>5283979</v>
      </c>
      <c r="D72" s="504">
        <f>'7_Local Revenue'!H72</f>
        <v>84429330</v>
      </c>
      <c r="E72" s="504">
        <f>ROUND(D72*$E$3/1000,0)</f>
        <v>1260769</v>
      </c>
      <c r="F72" s="504">
        <f>'7_Local Revenue'!AI72</f>
        <v>2738238</v>
      </c>
      <c r="G72" s="504">
        <f>'7_Local Revenue'!AM72</f>
        <v>273823800</v>
      </c>
      <c r="H72" s="504">
        <f>ROUND(G72*$H$3,0)</f>
        <v>2049505</v>
      </c>
      <c r="I72" s="504">
        <f>'7_Local Revenue'!AP72</f>
        <v>195641</v>
      </c>
      <c r="J72" s="506">
        <f>E72+H72+I72</f>
        <v>3505915</v>
      </c>
    </row>
    <row r="73" spans="1:10" ht="16.899999999999999" customHeight="1" x14ac:dyDescent="0.2">
      <c r="A73" s="46">
        <v>67</v>
      </c>
      <c r="B73" s="291" t="s">
        <v>2</v>
      </c>
      <c r="C73" s="48">
        <f>'7_Local Revenue'!AE73</f>
        <v>20159255</v>
      </c>
      <c r="D73" s="48">
        <f>'7_Local Revenue'!H73</f>
        <v>254509091</v>
      </c>
      <c r="E73" s="48">
        <f>ROUND(D73*$E$3/1000,0)</f>
        <v>3800541</v>
      </c>
      <c r="F73" s="48">
        <f>'7_Local Revenue'!AI73</f>
        <v>11418953</v>
      </c>
      <c r="G73" s="48">
        <f>'7_Local Revenue'!AM73</f>
        <v>570947650</v>
      </c>
      <c r="H73" s="48">
        <f>ROUND(G73*$H$3,0)</f>
        <v>4273406</v>
      </c>
      <c r="I73" s="48">
        <f>'7_Local Revenue'!AP73</f>
        <v>93470</v>
      </c>
      <c r="J73" s="292">
        <f>E73+H73+I73</f>
        <v>8167417</v>
      </c>
    </row>
    <row r="74" spans="1:10" ht="16.899999999999999" customHeight="1" x14ac:dyDescent="0.2">
      <c r="A74" s="46">
        <v>68</v>
      </c>
      <c r="B74" s="291" t="s">
        <v>1</v>
      </c>
      <c r="C74" s="48">
        <f>'7_Local Revenue'!AE74</f>
        <v>2074877</v>
      </c>
      <c r="D74" s="48">
        <f>'7_Local Revenue'!H74</f>
        <v>48195236.100000001</v>
      </c>
      <c r="E74" s="48">
        <f>ROUND(D74*$E$3/1000,0)</f>
        <v>719691</v>
      </c>
      <c r="F74" s="48">
        <f>'7_Local Revenue'!AI74</f>
        <v>3399115</v>
      </c>
      <c r="G74" s="48">
        <f>'7_Local Revenue'!AM74</f>
        <v>169955750</v>
      </c>
      <c r="H74" s="48">
        <f>ROUND(G74*$H$3,0)</f>
        <v>1272078</v>
      </c>
      <c r="I74" s="48">
        <f>'7_Local Revenue'!AP74</f>
        <v>42968</v>
      </c>
      <c r="J74" s="292">
        <f>E74+H74+I74</f>
        <v>2034737</v>
      </c>
    </row>
    <row r="75" spans="1:10" ht="16.899999999999999" customHeight="1" x14ac:dyDescent="0.2">
      <c r="A75" s="501">
        <v>69</v>
      </c>
      <c r="B75" s="503" t="s">
        <v>74</v>
      </c>
      <c r="C75" s="505">
        <f>'7_Local Revenue'!AE75</f>
        <v>8818879</v>
      </c>
      <c r="D75" s="505">
        <f>'7_Local Revenue'!H75</f>
        <v>134973014</v>
      </c>
      <c r="E75" s="505">
        <f>ROUND(D75*$E$3/1000,0)</f>
        <v>2015529</v>
      </c>
      <c r="F75" s="505">
        <f>'7_Local Revenue'!AI75</f>
        <v>9097969</v>
      </c>
      <c r="G75" s="505">
        <f>'7_Local Revenue'!AM75</f>
        <v>363918760</v>
      </c>
      <c r="H75" s="505">
        <f>ROUND(G75*$H$3,0)</f>
        <v>2723845</v>
      </c>
      <c r="I75" s="505">
        <f>'7_Local Revenue'!AP75</f>
        <v>4000</v>
      </c>
      <c r="J75" s="507">
        <f>E75+H75+I75</f>
        <v>4743374</v>
      </c>
    </row>
    <row r="76" spans="1:10" s="30" customFormat="1" ht="16.899999999999999" customHeight="1" thickBot="1" x14ac:dyDescent="0.25">
      <c r="A76" s="508"/>
      <c r="B76" s="195" t="s">
        <v>4</v>
      </c>
      <c r="C76" s="37">
        <f t="shared" ref="C76:J76" si="7">SUM(C7:C75)</f>
        <v>1686130989.3699999</v>
      </c>
      <c r="D76" s="37">
        <f t="shared" si="7"/>
        <v>41175170792.099998</v>
      </c>
      <c r="E76" s="37">
        <f t="shared" si="7"/>
        <v>614861822</v>
      </c>
      <c r="F76" s="37">
        <f t="shared" si="7"/>
        <v>1976079400</v>
      </c>
      <c r="G76" s="37">
        <f t="shared" si="7"/>
        <v>95996688676.550003</v>
      </c>
      <c r="H76" s="37">
        <f t="shared" si="7"/>
        <v>718512175</v>
      </c>
      <c r="I76" s="37">
        <f t="shared" si="7"/>
        <v>34428229</v>
      </c>
      <c r="J76" s="509">
        <f t="shared" si="7"/>
        <v>1367802226</v>
      </c>
    </row>
    <row r="77" spans="1:1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FY2019-20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R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3" style="7" bestFit="1" customWidth="1"/>
    <col min="2" max="2" width="17.5703125" style="7" bestFit="1" customWidth="1"/>
    <col min="3" max="3" width="16" style="7" customWidth="1"/>
    <col min="4" max="4" width="15.85546875" style="7" customWidth="1"/>
    <col min="5" max="6" width="16.28515625" style="7" bestFit="1" customWidth="1"/>
    <col min="7" max="7" width="9.5703125" style="7" customWidth="1"/>
    <col min="8" max="8" width="16.28515625" style="7" customWidth="1"/>
    <col min="9" max="9" width="9.5703125" style="7" customWidth="1"/>
    <col min="10" max="10" width="14.7109375" style="7" customWidth="1"/>
    <col min="11" max="11" width="9.5703125" style="7" customWidth="1"/>
    <col min="12" max="12" width="16.5703125" style="7" customWidth="1"/>
    <col min="13" max="15" width="9.5703125" style="7" customWidth="1"/>
    <col min="16" max="16" width="14.42578125" style="7" customWidth="1"/>
    <col min="17" max="17" width="16.7109375" style="7" customWidth="1"/>
    <col min="18" max="18" width="9.5703125" style="7" customWidth="1"/>
    <col min="19" max="19" width="15.42578125" style="7" customWidth="1"/>
    <col min="20" max="22" width="9.5703125" style="7" customWidth="1"/>
    <col min="23" max="24" width="13.85546875" style="7" customWidth="1"/>
    <col min="25" max="25" width="12.5703125" style="7" customWidth="1"/>
    <col min="26" max="26" width="15.5703125" style="7" bestFit="1" customWidth="1"/>
    <col min="27" max="27" width="13.7109375" style="7" bestFit="1" customWidth="1"/>
    <col min="28" max="30" width="10.7109375" style="7" customWidth="1"/>
    <col min="31" max="31" width="15.5703125" style="7" bestFit="1" customWidth="1"/>
    <col min="32" max="32" width="12.7109375" style="7" customWidth="1"/>
    <col min="33" max="34" width="16.28515625" style="7" customWidth="1"/>
    <col min="35" max="35" width="17.28515625" style="7" customWidth="1"/>
    <col min="36" max="37" width="18.5703125" style="7" customWidth="1"/>
    <col min="38" max="38" width="12.28515625" style="7" customWidth="1"/>
    <col min="39" max="39" width="18.5703125" style="7" customWidth="1"/>
    <col min="40" max="41" width="9.5703125" style="7" customWidth="1"/>
    <col min="42" max="42" width="22" style="7" customWidth="1"/>
    <col min="43" max="43" width="18.7109375" style="7" customWidth="1"/>
    <col min="44" max="44" width="12.28515625" style="7" customWidth="1"/>
    <col min="45" max="16384" width="8.85546875" style="7"/>
  </cols>
  <sheetData>
    <row r="1" spans="1:44" s="489" customFormat="1" ht="29.25" customHeight="1" x14ac:dyDescent="0.2">
      <c r="A1" s="1346" t="s">
        <v>79</v>
      </c>
      <c r="B1" s="1347"/>
      <c r="C1" s="1553" t="s">
        <v>1183</v>
      </c>
      <c r="D1" s="1554"/>
      <c r="E1" s="1555"/>
      <c r="F1" s="1555"/>
      <c r="G1" s="1555"/>
      <c r="H1" s="1556"/>
      <c r="I1" s="1550" t="s">
        <v>1184</v>
      </c>
      <c r="J1" s="1551"/>
      <c r="K1" s="1546" t="s">
        <v>382</v>
      </c>
      <c r="L1" s="1547"/>
      <c r="M1" s="1547"/>
      <c r="N1" s="1547"/>
      <c r="O1" s="1547"/>
      <c r="P1" s="1552"/>
      <c r="Q1" s="1539" t="s">
        <v>1352</v>
      </c>
      <c r="R1" s="1546" t="s">
        <v>384</v>
      </c>
      <c r="S1" s="1547"/>
      <c r="T1" s="1547"/>
      <c r="U1" s="1547"/>
      <c r="V1" s="1547"/>
      <c r="W1" s="1552"/>
      <c r="X1" s="1539" t="s">
        <v>1358</v>
      </c>
      <c r="Y1" s="1546" t="s">
        <v>386</v>
      </c>
      <c r="Z1" s="1547"/>
      <c r="AA1" s="1547"/>
      <c r="AB1" s="1547"/>
      <c r="AC1" s="1547"/>
      <c r="AD1" s="1547"/>
      <c r="AE1" s="1539" t="s">
        <v>1361</v>
      </c>
      <c r="AF1" s="1546" t="s">
        <v>387</v>
      </c>
      <c r="AG1" s="1547"/>
      <c r="AH1" s="1547"/>
      <c r="AI1" s="1539" t="s">
        <v>1349</v>
      </c>
      <c r="AJ1" s="1546" t="s">
        <v>385</v>
      </c>
      <c r="AK1" s="1547"/>
      <c r="AL1" s="1547"/>
      <c r="AM1" s="1547"/>
      <c r="AN1" s="1547"/>
      <c r="AO1" s="1552"/>
      <c r="AP1" s="1543" t="s">
        <v>1338</v>
      </c>
      <c r="AQ1" s="1536" t="s">
        <v>1103</v>
      </c>
      <c r="AR1" s="1536" t="s">
        <v>81</v>
      </c>
    </row>
    <row r="2" spans="1:44" s="30" customFormat="1" ht="64.5" customHeight="1" x14ac:dyDescent="0.2">
      <c r="A2" s="1317"/>
      <c r="B2" s="1318"/>
      <c r="C2" s="1535" t="s">
        <v>1179</v>
      </c>
      <c r="D2" s="1535" t="s">
        <v>1180</v>
      </c>
      <c r="E2" s="1548" t="s">
        <v>1181</v>
      </c>
      <c r="F2" s="1535" t="s">
        <v>1339</v>
      </c>
      <c r="G2" s="1535" t="s">
        <v>563</v>
      </c>
      <c r="H2" s="481" t="s">
        <v>1182</v>
      </c>
      <c r="I2" s="1535" t="s">
        <v>565</v>
      </c>
      <c r="J2" s="1535" t="s">
        <v>564</v>
      </c>
      <c r="K2" s="1535" t="s">
        <v>565</v>
      </c>
      <c r="L2" s="1535" t="s">
        <v>564</v>
      </c>
      <c r="M2" s="1535" t="s">
        <v>1340</v>
      </c>
      <c r="N2" s="1535" t="s">
        <v>1341</v>
      </c>
      <c r="O2" s="1535" t="s">
        <v>1342</v>
      </c>
      <c r="P2" s="1535" t="s">
        <v>1343</v>
      </c>
      <c r="Q2" s="1540" t="s">
        <v>383</v>
      </c>
      <c r="R2" s="1535" t="s">
        <v>565</v>
      </c>
      <c r="S2" s="1535" t="s">
        <v>564</v>
      </c>
      <c r="T2" s="1535" t="s">
        <v>1340</v>
      </c>
      <c r="U2" s="1535" t="s">
        <v>1341</v>
      </c>
      <c r="V2" s="1535" t="s">
        <v>1342</v>
      </c>
      <c r="W2" s="1535" t="s">
        <v>1343</v>
      </c>
      <c r="X2" s="1540" t="s">
        <v>383</v>
      </c>
      <c r="Y2" s="1535" t="s">
        <v>1344</v>
      </c>
      <c r="Z2" s="1535" t="s">
        <v>1345</v>
      </c>
      <c r="AA2" s="1535" t="s">
        <v>1346</v>
      </c>
      <c r="AB2" s="1535" t="s">
        <v>1359</v>
      </c>
      <c r="AC2" s="1535" t="s">
        <v>1360</v>
      </c>
      <c r="AD2" s="1535" t="s">
        <v>1347</v>
      </c>
      <c r="AE2" s="1540" t="s">
        <v>383</v>
      </c>
      <c r="AF2" s="1542" t="s">
        <v>566</v>
      </c>
      <c r="AG2" s="1542" t="s">
        <v>1350</v>
      </c>
      <c r="AH2" s="1542" t="s">
        <v>1351</v>
      </c>
      <c r="AI2" s="1540" t="s">
        <v>383</v>
      </c>
      <c r="AJ2" s="1542" t="s">
        <v>1374</v>
      </c>
      <c r="AK2" s="1542" t="s">
        <v>1348</v>
      </c>
      <c r="AL2" s="1542" t="s">
        <v>569</v>
      </c>
      <c r="AM2" s="107" t="s">
        <v>567</v>
      </c>
      <c r="AN2" s="1542" t="s">
        <v>570</v>
      </c>
      <c r="AO2" s="1542" t="s">
        <v>568</v>
      </c>
      <c r="AP2" s="1544"/>
      <c r="AQ2" s="1537"/>
      <c r="AR2" s="1537"/>
    </row>
    <row r="3" spans="1:44" s="30" customFormat="1" ht="16.149999999999999" customHeight="1" x14ac:dyDescent="0.2">
      <c r="A3" s="1348"/>
      <c r="B3" s="1349"/>
      <c r="C3" s="1535"/>
      <c r="D3" s="1535"/>
      <c r="E3" s="1549"/>
      <c r="F3" s="1535"/>
      <c r="G3" s="1535"/>
      <c r="H3" s="6">
        <v>0.1</v>
      </c>
      <c r="I3" s="1535"/>
      <c r="J3" s="1535"/>
      <c r="K3" s="1535"/>
      <c r="L3" s="1535"/>
      <c r="M3" s="1535"/>
      <c r="N3" s="1535"/>
      <c r="O3" s="1535"/>
      <c r="P3" s="1535"/>
      <c r="Q3" s="1541"/>
      <c r="R3" s="1535"/>
      <c r="S3" s="1535"/>
      <c r="T3" s="1535"/>
      <c r="U3" s="1535"/>
      <c r="V3" s="1535"/>
      <c r="W3" s="1535"/>
      <c r="X3" s="1541"/>
      <c r="Y3" s="1535"/>
      <c r="Z3" s="1535"/>
      <c r="AA3" s="1535"/>
      <c r="AB3" s="1535"/>
      <c r="AC3" s="1535"/>
      <c r="AD3" s="1535"/>
      <c r="AE3" s="1541"/>
      <c r="AF3" s="1542"/>
      <c r="AG3" s="1542"/>
      <c r="AH3" s="1542"/>
      <c r="AI3" s="1541"/>
      <c r="AJ3" s="1542"/>
      <c r="AK3" s="1542"/>
      <c r="AL3" s="1542"/>
      <c r="AM3" s="6">
        <v>0.15</v>
      </c>
      <c r="AN3" s="1542"/>
      <c r="AO3" s="1542"/>
      <c r="AP3" s="1545"/>
      <c r="AQ3" s="1538"/>
      <c r="AR3" s="1538"/>
    </row>
    <row r="4" spans="1:44" ht="15" customHeight="1" x14ac:dyDescent="0.2">
      <c r="A4" s="490"/>
      <c r="B4" s="490"/>
      <c r="C4" s="491">
        <v>1</v>
      </c>
      <c r="D4" s="492">
        <f>C4+1</f>
        <v>2</v>
      </c>
      <c r="E4" s="492">
        <v>3</v>
      </c>
      <c r="F4" s="493" t="s">
        <v>75</v>
      </c>
      <c r="G4" s="493" t="s">
        <v>76</v>
      </c>
      <c r="H4" s="493" t="s">
        <v>77</v>
      </c>
      <c r="I4" s="492">
        <f>E4+1</f>
        <v>4</v>
      </c>
      <c r="J4" s="492">
        <f t="shared" ref="J4:AR4" si="0">I4+1</f>
        <v>5</v>
      </c>
      <c r="K4" s="492">
        <f t="shared" si="0"/>
        <v>6</v>
      </c>
      <c r="L4" s="492">
        <f t="shared" si="0"/>
        <v>7</v>
      </c>
      <c r="M4" s="492">
        <f t="shared" si="0"/>
        <v>8</v>
      </c>
      <c r="N4" s="492">
        <f t="shared" si="0"/>
        <v>9</v>
      </c>
      <c r="O4" s="492">
        <f t="shared" si="0"/>
        <v>10</v>
      </c>
      <c r="P4" s="492">
        <f t="shared" si="0"/>
        <v>11</v>
      </c>
      <c r="Q4" s="492">
        <f t="shared" si="0"/>
        <v>12</v>
      </c>
      <c r="R4" s="492">
        <f t="shared" si="0"/>
        <v>13</v>
      </c>
      <c r="S4" s="492">
        <f t="shared" si="0"/>
        <v>14</v>
      </c>
      <c r="T4" s="492">
        <f t="shared" si="0"/>
        <v>15</v>
      </c>
      <c r="U4" s="492">
        <f t="shared" si="0"/>
        <v>16</v>
      </c>
      <c r="V4" s="492">
        <f t="shared" si="0"/>
        <v>17</v>
      </c>
      <c r="W4" s="492">
        <f t="shared" si="0"/>
        <v>18</v>
      </c>
      <c r="X4" s="492">
        <f t="shared" si="0"/>
        <v>19</v>
      </c>
      <c r="Y4" s="492">
        <f t="shared" si="0"/>
        <v>20</v>
      </c>
      <c r="Z4" s="492">
        <f t="shared" si="0"/>
        <v>21</v>
      </c>
      <c r="AA4" s="492">
        <f t="shared" si="0"/>
        <v>22</v>
      </c>
      <c r="AB4" s="492">
        <f t="shared" si="0"/>
        <v>23</v>
      </c>
      <c r="AC4" s="492">
        <f t="shared" si="0"/>
        <v>24</v>
      </c>
      <c r="AD4" s="492">
        <f t="shared" si="0"/>
        <v>25</v>
      </c>
      <c r="AE4" s="492">
        <f t="shared" si="0"/>
        <v>26</v>
      </c>
      <c r="AF4" s="492">
        <f t="shared" si="0"/>
        <v>27</v>
      </c>
      <c r="AG4" s="492">
        <f t="shared" si="0"/>
        <v>28</v>
      </c>
      <c r="AH4" s="492">
        <f t="shared" si="0"/>
        <v>29</v>
      </c>
      <c r="AI4" s="492">
        <f t="shared" si="0"/>
        <v>30</v>
      </c>
      <c r="AJ4" s="492">
        <f t="shared" si="0"/>
        <v>31</v>
      </c>
      <c r="AK4" s="492">
        <f t="shared" si="0"/>
        <v>32</v>
      </c>
      <c r="AL4" s="492">
        <f t="shared" si="0"/>
        <v>33</v>
      </c>
      <c r="AM4" s="492">
        <f t="shared" si="0"/>
        <v>34</v>
      </c>
      <c r="AN4" s="492">
        <f t="shared" si="0"/>
        <v>35</v>
      </c>
      <c r="AO4" s="492">
        <f t="shared" si="0"/>
        <v>36</v>
      </c>
      <c r="AP4" s="492">
        <f t="shared" si="0"/>
        <v>37</v>
      </c>
      <c r="AQ4" s="492">
        <f t="shared" si="0"/>
        <v>38</v>
      </c>
      <c r="AR4" s="492">
        <f t="shared" si="0"/>
        <v>39</v>
      </c>
    </row>
    <row r="5" spans="1:44" s="495" customFormat="1" ht="33.75" x14ac:dyDescent="0.2">
      <c r="A5" s="835"/>
      <c r="B5" s="835"/>
      <c r="C5" s="836" t="s">
        <v>1362</v>
      </c>
      <c r="D5" s="836" t="s">
        <v>1363</v>
      </c>
      <c r="E5" s="837" t="s">
        <v>605</v>
      </c>
      <c r="F5" s="838" t="s">
        <v>606</v>
      </c>
      <c r="G5" s="838" t="s">
        <v>1095</v>
      </c>
      <c r="H5" s="838" t="s">
        <v>1101</v>
      </c>
      <c r="I5" s="837" t="s">
        <v>607</v>
      </c>
      <c r="J5" s="837" t="s">
        <v>1353</v>
      </c>
      <c r="K5" s="837" t="s">
        <v>608</v>
      </c>
      <c r="L5" s="837" t="s">
        <v>1354</v>
      </c>
      <c r="M5" s="837" t="s">
        <v>609</v>
      </c>
      <c r="N5" s="837" t="s">
        <v>610</v>
      </c>
      <c r="O5" s="837" t="s">
        <v>611</v>
      </c>
      <c r="P5" s="837" t="s">
        <v>1355</v>
      </c>
      <c r="Q5" s="837" t="s">
        <v>612</v>
      </c>
      <c r="R5" s="837" t="s">
        <v>613</v>
      </c>
      <c r="S5" s="837" t="s">
        <v>1356</v>
      </c>
      <c r="T5" s="837" t="s">
        <v>614</v>
      </c>
      <c r="U5" s="837" t="s">
        <v>615</v>
      </c>
      <c r="V5" s="837" t="s">
        <v>616</v>
      </c>
      <c r="W5" s="837" t="s">
        <v>1357</v>
      </c>
      <c r="X5" s="837" t="s">
        <v>617</v>
      </c>
      <c r="Y5" s="837" t="s">
        <v>618</v>
      </c>
      <c r="Z5" s="837" t="s">
        <v>619</v>
      </c>
      <c r="AA5" s="837" t="s">
        <v>620</v>
      </c>
      <c r="AB5" s="837" t="s">
        <v>1104</v>
      </c>
      <c r="AC5" s="837" t="s">
        <v>1105</v>
      </c>
      <c r="AD5" s="837" t="s">
        <v>1106</v>
      </c>
      <c r="AE5" s="837" t="s">
        <v>621</v>
      </c>
      <c r="AF5" s="837" t="s">
        <v>622</v>
      </c>
      <c r="AG5" s="837" t="s">
        <v>623</v>
      </c>
      <c r="AH5" s="837" t="s">
        <v>624</v>
      </c>
      <c r="AI5" s="837" t="s">
        <v>625</v>
      </c>
      <c r="AJ5" s="838" t="s">
        <v>626</v>
      </c>
      <c r="AK5" s="837" t="s">
        <v>1096</v>
      </c>
      <c r="AL5" s="838" t="s">
        <v>1097</v>
      </c>
      <c r="AM5" s="838" t="s">
        <v>1102</v>
      </c>
      <c r="AN5" s="837" t="s">
        <v>1098</v>
      </c>
      <c r="AO5" s="837" t="s">
        <v>1099</v>
      </c>
      <c r="AP5" s="837" t="s">
        <v>627</v>
      </c>
      <c r="AQ5" s="837" t="s">
        <v>628</v>
      </c>
      <c r="AR5" s="837" t="s">
        <v>1100</v>
      </c>
    </row>
    <row r="6" spans="1:44" s="676" customFormat="1" ht="33.75" hidden="1" x14ac:dyDescent="0.2">
      <c r="A6" s="835"/>
      <c r="B6" s="835"/>
      <c r="C6" s="836" t="s">
        <v>1364</v>
      </c>
      <c r="D6" s="836" t="s">
        <v>1364</v>
      </c>
      <c r="E6" s="837" t="s">
        <v>604</v>
      </c>
      <c r="F6" s="838" t="s">
        <v>629</v>
      </c>
      <c r="G6" s="838" t="s">
        <v>604</v>
      </c>
      <c r="H6" s="838" t="s">
        <v>604</v>
      </c>
      <c r="I6" s="837" t="s">
        <v>630</v>
      </c>
      <c r="J6" s="837" t="s">
        <v>630</v>
      </c>
      <c r="K6" s="837" t="s">
        <v>630</v>
      </c>
      <c r="L6" s="837" t="s">
        <v>630</v>
      </c>
      <c r="M6" s="837" t="s">
        <v>630</v>
      </c>
      <c r="N6" s="837" t="s">
        <v>630</v>
      </c>
      <c r="O6" s="837" t="s">
        <v>630</v>
      </c>
      <c r="P6" s="837" t="s">
        <v>630</v>
      </c>
      <c r="Q6" s="837" t="s">
        <v>604</v>
      </c>
      <c r="R6" s="837" t="s">
        <v>630</v>
      </c>
      <c r="S6" s="837" t="s">
        <v>630</v>
      </c>
      <c r="T6" s="837" t="s">
        <v>630</v>
      </c>
      <c r="U6" s="837" t="s">
        <v>630</v>
      </c>
      <c r="V6" s="837" t="s">
        <v>630</v>
      </c>
      <c r="W6" s="837" t="s">
        <v>630</v>
      </c>
      <c r="X6" s="837" t="s">
        <v>604</v>
      </c>
      <c r="Y6" s="837" t="s">
        <v>604</v>
      </c>
      <c r="Z6" s="837" t="s">
        <v>604</v>
      </c>
      <c r="AA6" s="837" t="s">
        <v>604</v>
      </c>
      <c r="AB6" s="837" t="s">
        <v>604</v>
      </c>
      <c r="AC6" s="837" t="s">
        <v>604</v>
      </c>
      <c r="AD6" s="837" t="s">
        <v>604</v>
      </c>
      <c r="AE6" s="837" t="s">
        <v>604</v>
      </c>
      <c r="AF6" s="837" t="s">
        <v>630</v>
      </c>
      <c r="AG6" s="837" t="s">
        <v>630</v>
      </c>
      <c r="AH6" s="837" t="s">
        <v>630</v>
      </c>
      <c r="AI6" s="837" t="s">
        <v>604</v>
      </c>
      <c r="AJ6" s="838" t="s">
        <v>629</v>
      </c>
      <c r="AK6" s="837" t="s">
        <v>604</v>
      </c>
      <c r="AL6" s="837" t="s">
        <v>604</v>
      </c>
      <c r="AM6" s="837" t="s">
        <v>604</v>
      </c>
      <c r="AN6" s="837" t="s">
        <v>604</v>
      </c>
      <c r="AO6" s="837" t="s">
        <v>604</v>
      </c>
      <c r="AP6" s="837" t="s">
        <v>630</v>
      </c>
      <c r="AQ6" s="837" t="s">
        <v>604</v>
      </c>
      <c r="AR6" s="837" t="s">
        <v>604</v>
      </c>
    </row>
    <row r="7" spans="1:44" ht="15" customHeight="1" x14ac:dyDescent="0.2">
      <c r="A7" s="46">
        <v>1</v>
      </c>
      <c r="B7" s="47" t="s">
        <v>5</v>
      </c>
      <c r="C7" s="48">
        <v>468904249</v>
      </c>
      <c r="D7" s="48">
        <v>88081901</v>
      </c>
      <c r="E7" s="48">
        <f>C7-D7</f>
        <v>380822348</v>
      </c>
      <c r="F7" s="48">
        <v>382253415</v>
      </c>
      <c r="G7" s="49">
        <f>(E7-F7)/F7</f>
        <v>-3.7437651145641169E-3</v>
      </c>
      <c r="H7" s="50">
        <f t="shared" ref="H7:H38" si="1">IF((E7-F7)/F7&gt;$H$3,F7*(1+$H$3),E7)</f>
        <v>380822348</v>
      </c>
      <c r="I7" s="51">
        <v>5.23</v>
      </c>
      <c r="J7" s="52">
        <v>1984017</v>
      </c>
      <c r="K7" s="51">
        <v>20.38</v>
      </c>
      <c r="L7" s="52">
        <v>7513565</v>
      </c>
      <c r="M7" s="53">
        <v>0</v>
      </c>
      <c r="N7" s="53">
        <v>13.45</v>
      </c>
      <c r="O7" s="53">
        <v>3</v>
      </c>
      <c r="P7" s="52">
        <v>1858533</v>
      </c>
      <c r="Q7" s="48">
        <f>J7+L7+P7</f>
        <v>11356115</v>
      </c>
      <c r="R7" s="54">
        <v>0</v>
      </c>
      <c r="S7" s="52">
        <v>0</v>
      </c>
      <c r="T7" s="53">
        <v>0</v>
      </c>
      <c r="U7" s="53">
        <v>0</v>
      </c>
      <c r="V7" s="53">
        <v>0</v>
      </c>
      <c r="W7" s="52">
        <v>0</v>
      </c>
      <c r="X7" s="48">
        <f>S7+W7</f>
        <v>0</v>
      </c>
      <c r="Y7" s="55">
        <f>I7+K7+R7</f>
        <v>25.61</v>
      </c>
      <c r="Z7" s="48">
        <f>J7+L7+S7</f>
        <v>9497582</v>
      </c>
      <c r="AA7" s="48">
        <f>P7+W7</f>
        <v>1858533</v>
      </c>
      <c r="AB7" s="56">
        <f t="shared" ref="AB7:AB38" si="2">ROUND((X7/E7)*1000,2)</f>
        <v>0</v>
      </c>
      <c r="AC7" s="57">
        <f t="shared" ref="AC7:AC38" si="3">ROUND((Q7/E7)*1000,2)</f>
        <v>29.82</v>
      </c>
      <c r="AD7" s="58">
        <f t="shared" ref="AD7:AD38" si="4">ROUND((AE7/E7)*1000,2)</f>
        <v>29.82</v>
      </c>
      <c r="AE7" s="59">
        <f>X7+Q7+[18]Sheet1!$D3</f>
        <v>11356115</v>
      </c>
      <c r="AF7" s="60">
        <v>1.4999999999999999E-2</v>
      </c>
      <c r="AG7" s="61">
        <v>12576932</v>
      </c>
      <c r="AH7" s="61">
        <v>0</v>
      </c>
      <c r="AI7" s="62">
        <f>AG7+AH7+[18]Sheet1!$G3</f>
        <v>12576932</v>
      </c>
      <c r="AJ7" s="59">
        <v>799742733</v>
      </c>
      <c r="AK7" s="59">
        <f t="shared" ref="AK7:AK17" si="5">ROUND(AI7/AF7,0)</f>
        <v>838462133</v>
      </c>
      <c r="AL7" s="63">
        <f>(AK7-AJ7)/AJ7</f>
        <v>4.8414819419184393E-2</v>
      </c>
      <c r="AM7" s="59">
        <f>IF((AK7-AJ7)/AJ7&gt;$AM$3,AJ7*(1+$AM$3),AK7)</f>
        <v>838462133</v>
      </c>
      <c r="AN7" s="49">
        <f t="shared" ref="AN7:AN38" si="6">AG7/AK7</f>
        <v>1.5000000005963299E-2</v>
      </c>
      <c r="AO7" s="49">
        <f t="shared" ref="AO7:AO38" si="7">AH7/AK7</f>
        <v>0</v>
      </c>
      <c r="AP7" s="59">
        <v>548480</v>
      </c>
      <c r="AQ7" s="59">
        <f t="shared" ref="AQ7:AQ38" si="8">AP7+AE7+AI7</f>
        <v>24481527</v>
      </c>
      <c r="AR7" s="59">
        <f>ROUND(AQ7/'3_Levels 1&amp;2'!C7,2)</f>
        <v>2592.2800000000002</v>
      </c>
    </row>
    <row r="8" spans="1:44" ht="15" customHeight="1" x14ac:dyDescent="0.2">
      <c r="A8" s="46">
        <v>2</v>
      </c>
      <c r="B8" s="47" t="s">
        <v>6</v>
      </c>
      <c r="C8" s="48">
        <v>122784430</v>
      </c>
      <c r="D8" s="48">
        <v>28115639</v>
      </c>
      <c r="E8" s="48">
        <f t="shared" ref="E8:E71" si="9">C8-D8</f>
        <v>94668791</v>
      </c>
      <c r="F8" s="48">
        <v>93262303</v>
      </c>
      <c r="G8" s="49">
        <f t="shared" ref="G8:G71" si="10">(E8-F8)/F8</f>
        <v>1.5080991512722991E-2</v>
      </c>
      <c r="H8" s="50">
        <f t="shared" si="1"/>
        <v>94668791</v>
      </c>
      <c r="I8" s="51">
        <v>4.28</v>
      </c>
      <c r="J8" s="52">
        <v>395357</v>
      </c>
      <c r="K8" s="51">
        <v>5.15</v>
      </c>
      <c r="L8" s="52">
        <v>477676</v>
      </c>
      <c r="M8" s="53">
        <v>0</v>
      </c>
      <c r="N8" s="53">
        <v>89.88</v>
      </c>
      <c r="O8" s="53">
        <v>6</v>
      </c>
      <c r="P8" s="52">
        <v>1899292</v>
      </c>
      <c r="Q8" s="48">
        <f t="shared" ref="Q8:Q71" si="11">J8+L8+P8</f>
        <v>2772325</v>
      </c>
      <c r="R8" s="53">
        <v>0</v>
      </c>
      <c r="S8" s="52">
        <v>0</v>
      </c>
      <c r="T8" s="53">
        <v>0</v>
      </c>
      <c r="U8" s="53">
        <v>27.5</v>
      </c>
      <c r="V8" s="53">
        <v>5</v>
      </c>
      <c r="W8" s="52">
        <v>1632074</v>
      </c>
      <c r="X8" s="48">
        <f t="shared" ref="X8:X71" si="12">S8+W8</f>
        <v>1632074</v>
      </c>
      <c r="Y8" s="55">
        <f t="shared" ref="Y8:Y71" si="13">I8+K8+R8</f>
        <v>9.43</v>
      </c>
      <c r="Z8" s="48">
        <f t="shared" ref="Z8:Z71" si="14">J8+L8+S8</f>
        <v>873033</v>
      </c>
      <c r="AA8" s="48">
        <f t="shared" ref="AA8:AA71" si="15">P8+W8</f>
        <v>3531366</v>
      </c>
      <c r="AB8" s="56">
        <f t="shared" si="2"/>
        <v>17.239999999999998</v>
      </c>
      <c r="AC8" s="57">
        <f t="shared" si="3"/>
        <v>29.28</v>
      </c>
      <c r="AD8" s="58">
        <f t="shared" si="4"/>
        <v>46.52</v>
      </c>
      <c r="AE8" s="59">
        <f>X8+Q8+[18]Sheet1!$D4</f>
        <v>4404399</v>
      </c>
      <c r="AF8" s="60">
        <v>0.03</v>
      </c>
      <c r="AG8" s="61">
        <v>7837493</v>
      </c>
      <c r="AH8" s="61">
        <v>0</v>
      </c>
      <c r="AI8" s="62">
        <f>AG8+AH8+[18]Sheet1!$G4</f>
        <v>7837493</v>
      </c>
      <c r="AJ8" s="59">
        <v>253690500</v>
      </c>
      <c r="AK8" s="59">
        <f t="shared" si="5"/>
        <v>261249767</v>
      </c>
      <c r="AL8" s="63">
        <f t="shared" ref="AL8:AL71" si="16">(AK8-AJ8)/AJ8</f>
        <v>2.9797201708380881E-2</v>
      </c>
      <c r="AM8" s="59">
        <f t="shared" ref="AM8:AM71" si="17">IF((AK8-AJ8)/AJ8&gt;$AM$3,AJ8*(1+$AM$3),AK8)</f>
        <v>261249767</v>
      </c>
      <c r="AN8" s="49">
        <f t="shared" si="6"/>
        <v>2.9999999961722455E-2</v>
      </c>
      <c r="AO8" s="49">
        <f t="shared" si="7"/>
        <v>0</v>
      </c>
      <c r="AP8" s="59">
        <v>89377</v>
      </c>
      <c r="AQ8" s="59">
        <f t="shared" si="8"/>
        <v>12331269</v>
      </c>
      <c r="AR8" s="59">
        <f>ROUND(AQ8/'3_Levels 1&amp;2'!C8,2)</f>
        <v>3082.05</v>
      </c>
    </row>
    <row r="9" spans="1:44" ht="15" customHeight="1" x14ac:dyDescent="0.2">
      <c r="A9" s="46">
        <v>3</v>
      </c>
      <c r="B9" s="47" t="s">
        <v>7</v>
      </c>
      <c r="C9" s="48">
        <v>1440772700</v>
      </c>
      <c r="D9" s="48">
        <v>221468722</v>
      </c>
      <c r="E9" s="48">
        <f t="shared" si="9"/>
        <v>1219303978</v>
      </c>
      <c r="F9" s="48">
        <v>1175188871</v>
      </c>
      <c r="G9" s="49">
        <f t="shared" si="10"/>
        <v>3.7538737890243347E-2</v>
      </c>
      <c r="H9" s="50">
        <f t="shared" si="1"/>
        <v>1219303978</v>
      </c>
      <c r="I9" s="51">
        <v>3.61</v>
      </c>
      <c r="J9" s="52">
        <v>4396940</v>
      </c>
      <c r="K9" s="51">
        <v>42.9</v>
      </c>
      <c r="L9" s="52">
        <v>52244510</v>
      </c>
      <c r="M9" s="53">
        <v>0</v>
      </c>
      <c r="N9" s="53">
        <v>0</v>
      </c>
      <c r="O9" s="53">
        <v>0</v>
      </c>
      <c r="P9" s="52">
        <v>0</v>
      </c>
      <c r="Q9" s="48">
        <f t="shared" si="11"/>
        <v>56641450</v>
      </c>
      <c r="R9" s="53">
        <v>15.08</v>
      </c>
      <c r="S9" s="52">
        <v>18365257</v>
      </c>
      <c r="T9" s="53">
        <v>0</v>
      </c>
      <c r="U9" s="53">
        <v>0</v>
      </c>
      <c r="V9" s="53">
        <v>0</v>
      </c>
      <c r="W9" s="52">
        <v>0</v>
      </c>
      <c r="X9" s="48">
        <f t="shared" si="12"/>
        <v>18365257</v>
      </c>
      <c r="Y9" s="55">
        <f t="shared" si="13"/>
        <v>61.589999999999996</v>
      </c>
      <c r="Z9" s="48">
        <f t="shared" si="14"/>
        <v>75006707</v>
      </c>
      <c r="AA9" s="48">
        <f t="shared" si="15"/>
        <v>0</v>
      </c>
      <c r="AB9" s="56">
        <f t="shared" si="2"/>
        <v>15.06</v>
      </c>
      <c r="AC9" s="57">
        <f t="shared" si="3"/>
        <v>46.45</v>
      </c>
      <c r="AD9" s="58">
        <f t="shared" si="4"/>
        <v>61.52</v>
      </c>
      <c r="AE9" s="59">
        <f>X9+Q9+[18]Sheet1!$D5</f>
        <v>75006707</v>
      </c>
      <c r="AF9" s="60">
        <v>0.02</v>
      </c>
      <c r="AG9" s="61">
        <v>64809603</v>
      </c>
      <c r="AH9" s="61">
        <v>0</v>
      </c>
      <c r="AI9" s="62">
        <f>AG9+AH9+[18]Sheet1!$G5</f>
        <v>64809603</v>
      </c>
      <c r="AJ9" s="59">
        <v>3552030900</v>
      </c>
      <c r="AK9" s="59">
        <f t="shared" si="5"/>
        <v>3240480150</v>
      </c>
      <c r="AL9" s="60">
        <f t="shared" si="16"/>
        <v>-8.7710596774369279E-2</v>
      </c>
      <c r="AM9" s="59">
        <f t="shared" si="17"/>
        <v>3240480150</v>
      </c>
      <c r="AN9" s="49">
        <f t="shared" si="6"/>
        <v>0.02</v>
      </c>
      <c r="AO9" s="49">
        <f t="shared" si="7"/>
        <v>0</v>
      </c>
      <c r="AP9" s="59">
        <v>201736</v>
      </c>
      <c r="AQ9" s="59">
        <f t="shared" si="8"/>
        <v>140018046</v>
      </c>
      <c r="AR9" s="59">
        <f>ROUND(AQ9/'3_Levels 1&amp;2'!C9,2)</f>
        <v>6254.16</v>
      </c>
    </row>
    <row r="10" spans="1:44" ht="15" customHeight="1" x14ac:dyDescent="0.2">
      <c r="A10" s="46">
        <v>4</v>
      </c>
      <c r="B10" s="47" t="s">
        <v>8</v>
      </c>
      <c r="C10" s="48">
        <v>215256567</v>
      </c>
      <c r="D10" s="48">
        <v>36696029</v>
      </c>
      <c r="E10" s="48">
        <f t="shared" si="9"/>
        <v>178560538</v>
      </c>
      <c r="F10" s="48">
        <v>167244252</v>
      </c>
      <c r="G10" s="49">
        <f t="shared" si="10"/>
        <v>6.7663228270469944E-2</v>
      </c>
      <c r="H10" s="50">
        <f t="shared" si="1"/>
        <v>178560538</v>
      </c>
      <c r="I10" s="51">
        <v>5.49</v>
      </c>
      <c r="J10" s="52">
        <v>970277</v>
      </c>
      <c r="K10" s="51">
        <v>33.880000000000003</v>
      </c>
      <c r="L10" s="52">
        <v>5980499</v>
      </c>
      <c r="M10" s="53">
        <v>0</v>
      </c>
      <c r="N10" s="53">
        <v>0</v>
      </c>
      <c r="O10" s="53">
        <v>0</v>
      </c>
      <c r="P10" s="52">
        <v>0</v>
      </c>
      <c r="Q10" s="48">
        <f t="shared" si="11"/>
        <v>6950776</v>
      </c>
      <c r="R10" s="53">
        <v>0</v>
      </c>
      <c r="S10" s="52">
        <v>0</v>
      </c>
      <c r="T10" s="53">
        <v>0</v>
      </c>
      <c r="U10" s="53">
        <v>0</v>
      </c>
      <c r="V10" s="53">
        <v>0</v>
      </c>
      <c r="W10" s="52">
        <v>0</v>
      </c>
      <c r="X10" s="48">
        <f t="shared" si="12"/>
        <v>0</v>
      </c>
      <c r="Y10" s="55">
        <f t="shared" si="13"/>
        <v>39.370000000000005</v>
      </c>
      <c r="Z10" s="48">
        <f t="shared" si="14"/>
        <v>6950776</v>
      </c>
      <c r="AA10" s="48">
        <f t="shared" si="15"/>
        <v>0</v>
      </c>
      <c r="AB10" s="56">
        <f t="shared" si="2"/>
        <v>0</v>
      </c>
      <c r="AC10" s="57">
        <f t="shared" si="3"/>
        <v>38.93</v>
      </c>
      <c r="AD10" s="58">
        <f t="shared" si="4"/>
        <v>38.92</v>
      </c>
      <c r="AE10" s="59">
        <f>X10+Q10+[18]Sheet1!$D6</f>
        <v>6949587</v>
      </c>
      <c r="AF10" s="60">
        <v>0.03</v>
      </c>
      <c r="AG10" s="61">
        <v>6573503</v>
      </c>
      <c r="AH10" s="61">
        <v>0</v>
      </c>
      <c r="AI10" s="62">
        <f>AG10+AH10+[18]Sheet1!$G6</f>
        <v>6574692</v>
      </c>
      <c r="AJ10" s="59">
        <v>201659567</v>
      </c>
      <c r="AK10" s="59">
        <f t="shared" si="5"/>
        <v>219156400</v>
      </c>
      <c r="AL10" s="60">
        <f t="shared" si="16"/>
        <v>8.676420990232514E-2</v>
      </c>
      <c r="AM10" s="59">
        <f t="shared" si="17"/>
        <v>219156400</v>
      </c>
      <c r="AN10" s="49">
        <f t="shared" si="6"/>
        <v>2.9994574650797329E-2</v>
      </c>
      <c r="AO10" s="49">
        <f t="shared" si="7"/>
        <v>0</v>
      </c>
      <c r="AP10" s="59">
        <v>105619</v>
      </c>
      <c r="AQ10" s="59">
        <f t="shared" si="8"/>
        <v>13629898</v>
      </c>
      <c r="AR10" s="59">
        <f>ROUND(AQ10/'3_Levels 1&amp;2'!C10,2)</f>
        <v>4328.33</v>
      </c>
    </row>
    <row r="11" spans="1:44" ht="15" customHeight="1" x14ac:dyDescent="0.2">
      <c r="A11" s="65">
        <v>5</v>
      </c>
      <c r="B11" s="66" t="s">
        <v>9</v>
      </c>
      <c r="C11" s="67">
        <v>202165700</v>
      </c>
      <c r="D11" s="67">
        <v>61352905</v>
      </c>
      <c r="E11" s="67">
        <f t="shared" si="9"/>
        <v>140812795</v>
      </c>
      <c r="F11" s="67">
        <v>140066332</v>
      </c>
      <c r="G11" s="68">
        <f t="shared" si="10"/>
        <v>5.3293535237290282E-3</v>
      </c>
      <c r="H11" s="69">
        <f t="shared" si="1"/>
        <v>140812795</v>
      </c>
      <c r="I11" s="70">
        <v>3.62</v>
      </c>
      <c r="J11" s="71">
        <v>525757</v>
      </c>
      <c r="K11" s="70">
        <v>20</v>
      </c>
      <c r="L11" s="71">
        <v>2904698</v>
      </c>
      <c r="M11" s="72">
        <v>0</v>
      </c>
      <c r="N11" s="72">
        <v>0</v>
      </c>
      <c r="O11" s="72">
        <v>0</v>
      </c>
      <c r="P11" s="71">
        <v>0</v>
      </c>
      <c r="Q11" s="67">
        <f t="shared" si="11"/>
        <v>3430455</v>
      </c>
      <c r="R11" s="72">
        <v>0</v>
      </c>
      <c r="S11" s="71">
        <v>0</v>
      </c>
      <c r="T11" s="72">
        <v>0</v>
      </c>
      <c r="U11" s="72">
        <v>0</v>
      </c>
      <c r="V11" s="72">
        <v>0</v>
      </c>
      <c r="W11" s="71">
        <v>0</v>
      </c>
      <c r="X11" s="67">
        <f t="shared" si="12"/>
        <v>0</v>
      </c>
      <c r="Y11" s="73">
        <f t="shared" si="13"/>
        <v>23.62</v>
      </c>
      <c r="Z11" s="67">
        <f t="shared" si="14"/>
        <v>3430455</v>
      </c>
      <c r="AA11" s="67">
        <f t="shared" si="15"/>
        <v>0</v>
      </c>
      <c r="AB11" s="74">
        <f t="shared" si="2"/>
        <v>0</v>
      </c>
      <c r="AC11" s="75">
        <f t="shared" si="3"/>
        <v>24.36</v>
      </c>
      <c r="AD11" s="76">
        <f t="shared" si="4"/>
        <v>24.36</v>
      </c>
      <c r="AE11" s="77">
        <f>X11+Q11+[18]Sheet1!$D7</f>
        <v>3430455</v>
      </c>
      <c r="AF11" s="78">
        <v>1.7500000000000002E-2</v>
      </c>
      <c r="AG11" s="79">
        <v>7953986</v>
      </c>
      <c r="AH11" s="79">
        <v>0</v>
      </c>
      <c r="AI11" s="80">
        <f>AG11+AH11+[18]Sheet1!$G7</f>
        <v>7953986</v>
      </c>
      <c r="AJ11" s="497">
        <v>451093543</v>
      </c>
      <c r="AK11" s="497">
        <f t="shared" si="5"/>
        <v>454513486</v>
      </c>
      <c r="AL11" s="499">
        <f t="shared" si="16"/>
        <v>7.5814496861463607E-3</v>
      </c>
      <c r="AM11" s="497">
        <f t="shared" si="17"/>
        <v>454513486</v>
      </c>
      <c r="AN11" s="498">
        <f t="shared" si="6"/>
        <v>1.7499999988999225E-2</v>
      </c>
      <c r="AO11" s="498">
        <f t="shared" si="7"/>
        <v>0</v>
      </c>
      <c r="AP11" s="497">
        <v>431002</v>
      </c>
      <c r="AQ11" s="497">
        <f t="shared" si="8"/>
        <v>11815443</v>
      </c>
      <c r="AR11" s="497">
        <f>ROUND(AQ11/'3_Levels 1&amp;2'!C11,2)</f>
        <v>2302.7600000000002</v>
      </c>
    </row>
    <row r="12" spans="1:44" ht="15" customHeight="1" x14ac:dyDescent="0.2">
      <c r="A12" s="46">
        <v>6</v>
      </c>
      <c r="B12" s="47" t="s">
        <v>10</v>
      </c>
      <c r="C12" s="48">
        <v>291357209</v>
      </c>
      <c r="D12" s="48">
        <v>56743742</v>
      </c>
      <c r="E12" s="48">
        <f t="shared" si="9"/>
        <v>234613467</v>
      </c>
      <c r="F12" s="48">
        <v>214969867</v>
      </c>
      <c r="G12" s="49">
        <f t="shared" si="10"/>
        <v>9.1378388395244245E-2</v>
      </c>
      <c r="H12" s="50">
        <f t="shared" si="1"/>
        <v>234613467</v>
      </c>
      <c r="I12" s="51">
        <v>4.8600000000000003</v>
      </c>
      <c r="J12" s="52">
        <v>1150074</v>
      </c>
      <c r="K12" s="51">
        <v>30.12</v>
      </c>
      <c r="L12" s="52">
        <v>7135838</v>
      </c>
      <c r="M12" s="53">
        <v>0</v>
      </c>
      <c r="N12" s="53">
        <v>0</v>
      </c>
      <c r="O12" s="53">
        <v>0</v>
      </c>
      <c r="P12" s="52">
        <v>0</v>
      </c>
      <c r="Q12" s="48">
        <f t="shared" si="11"/>
        <v>8285912</v>
      </c>
      <c r="R12" s="54">
        <v>17.8</v>
      </c>
      <c r="S12" s="52">
        <v>3990501</v>
      </c>
      <c r="T12" s="53">
        <v>0</v>
      </c>
      <c r="U12" s="53">
        <v>0</v>
      </c>
      <c r="V12" s="53">
        <v>0</v>
      </c>
      <c r="W12" s="52">
        <v>0</v>
      </c>
      <c r="X12" s="48">
        <f t="shared" si="12"/>
        <v>3990501</v>
      </c>
      <c r="Y12" s="55">
        <f t="shared" si="13"/>
        <v>52.78</v>
      </c>
      <c r="Z12" s="48">
        <f t="shared" si="14"/>
        <v>12276413</v>
      </c>
      <c r="AA12" s="48">
        <f t="shared" si="15"/>
        <v>0</v>
      </c>
      <c r="AB12" s="56">
        <f t="shared" si="2"/>
        <v>17.010000000000002</v>
      </c>
      <c r="AC12" s="57">
        <f t="shared" si="3"/>
        <v>35.32</v>
      </c>
      <c r="AD12" s="58">
        <f t="shared" si="4"/>
        <v>52.33</v>
      </c>
      <c r="AE12" s="59">
        <f>X12+Q12+[18]Sheet1!$D8</f>
        <v>12276413</v>
      </c>
      <c r="AF12" s="60">
        <v>0.02</v>
      </c>
      <c r="AG12" s="61">
        <v>10764650</v>
      </c>
      <c r="AH12" s="61">
        <v>0</v>
      </c>
      <c r="AI12" s="62">
        <f>AG12+AH12+[18]Sheet1!$G8</f>
        <v>10764650</v>
      </c>
      <c r="AJ12" s="59">
        <v>543433450</v>
      </c>
      <c r="AK12" s="59">
        <f t="shared" si="5"/>
        <v>538232500</v>
      </c>
      <c r="AL12" s="63">
        <f t="shared" si="16"/>
        <v>-9.5705371099257877E-3</v>
      </c>
      <c r="AM12" s="64">
        <f t="shared" si="17"/>
        <v>538232500</v>
      </c>
      <c r="AN12" s="49">
        <f t="shared" si="6"/>
        <v>0.02</v>
      </c>
      <c r="AO12" s="49">
        <f t="shared" si="7"/>
        <v>0</v>
      </c>
      <c r="AP12" s="59">
        <v>322930</v>
      </c>
      <c r="AQ12" s="59">
        <f t="shared" si="8"/>
        <v>23363993</v>
      </c>
      <c r="AR12" s="59">
        <f>ROUND(AQ12/'3_Levels 1&amp;2'!C12,2)</f>
        <v>4037.32</v>
      </c>
    </row>
    <row r="13" spans="1:44" ht="15" customHeight="1" x14ac:dyDescent="0.2">
      <c r="A13" s="46">
        <v>7</v>
      </c>
      <c r="B13" s="47" t="s">
        <v>11</v>
      </c>
      <c r="C13" s="48">
        <v>377131440</v>
      </c>
      <c r="D13" s="48">
        <v>17357396</v>
      </c>
      <c r="E13" s="48">
        <f t="shared" si="9"/>
        <v>359774044</v>
      </c>
      <c r="F13" s="48">
        <v>346491397</v>
      </c>
      <c r="G13" s="49">
        <f t="shared" si="10"/>
        <v>3.8334709360763726E-2</v>
      </c>
      <c r="H13" s="50">
        <f t="shared" si="1"/>
        <v>359774044</v>
      </c>
      <c r="I13" s="51">
        <v>5.88</v>
      </c>
      <c r="J13" s="52">
        <v>2029806</v>
      </c>
      <c r="K13" s="51">
        <v>53.06</v>
      </c>
      <c r="L13" s="52">
        <v>18318047</v>
      </c>
      <c r="M13" s="53">
        <v>0</v>
      </c>
      <c r="N13" s="53">
        <v>0</v>
      </c>
      <c r="O13" s="53">
        <v>0</v>
      </c>
      <c r="P13" s="52">
        <v>0</v>
      </c>
      <c r="Q13" s="48">
        <f t="shared" si="11"/>
        <v>20347853</v>
      </c>
      <c r="R13" s="53">
        <v>0</v>
      </c>
      <c r="S13" s="52">
        <v>0</v>
      </c>
      <c r="T13" s="53">
        <v>0</v>
      </c>
      <c r="U13" s="53">
        <v>60</v>
      </c>
      <c r="V13" s="53">
        <v>4</v>
      </c>
      <c r="W13" s="52">
        <v>816001</v>
      </c>
      <c r="X13" s="48">
        <f t="shared" si="12"/>
        <v>816001</v>
      </c>
      <c r="Y13" s="55">
        <f t="shared" si="13"/>
        <v>58.940000000000005</v>
      </c>
      <c r="Z13" s="48">
        <f t="shared" si="14"/>
        <v>20347853</v>
      </c>
      <c r="AA13" s="48">
        <f t="shared" si="15"/>
        <v>816001</v>
      </c>
      <c r="AB13" s="56">
        <f t="shared" si="2"/>
        <v>2.27</v>
      </c>
      <c r="AC13" s="57">
        <f t="shared" si="3"/>
        <v>56.56</v>
      </c>
      <c r="AD13" s="58">
        <f t="shared" si="4"/>
        <v>58.83</v>
      </c>
      <c r="AE13" s="59">
        <f>X13+Q13+[18]Sheet1!$D9</f>
        <v>21163854</v>
      </c>
      <c r="AF13" s="60">
        <v>0.02</v>
      </c>
      <c r="AG13" s="61">
        <v>5083322</v>
      </c>
      <c r="AH13" s="61">
        <v>0</v>
      </c>
      <c r="AI13" s="62">
        <f>AG13+AH13+[18]Sheet1!$G9</f>
        <v>5083322</v>
      </c>
      <c r="AJ13" s="59">
        <v>192131150</v>
      </c>
      <c r="AK13" s="59">
        <f t="shared" si="5"/>
        <v>254166100</v>
      </c>
      <c r="AL13" s="63">
        <f t="shared" si="16"/>
        <v>0.32287814859797592</v>
      </c>
      <c r="AM13" s="64">
        <f t="shared" si="17"/>
        <v>220950822.49999997</v>
      </c>
      <c r="AN13" s="49">
        <f t="shared" si="6"/>
        <v>0.02</v>
      </c>
      <c r="AO13" s="49">
        <f t="shared" si="7"/>
        <v>0</v>
      </c>
      <c r="AP13" s="59">
        <v>131348</v>
      </c>
      <c r="AQ13" s="59">
        <f t="shared" si="8"/>
        <v>26378524</v>
      </c>
      <c r="AR13" s="59">
        <f>ROUND(AQ13/'3_Levels 1&amp;2'!C13,2)</f>
        <v>12645.51</v>
      </c>
    </row>
    <row r="14" spans="1:44" ht="15" customHeight="1" x14ac:dyDescent="0.2">
      <c r="A14" s="46">
        <v>8</v>
      </c>
      <c r="B14" s="47" t="s">
        <v>12</v>
      </c>
      <c r="C14" s="48">
        <v>1153641525</v>
      </c>
      <c r="D14" s="48">
        <v>190715384</v>
      </c>
      <c r="E14" s="48">
        <f t="shared" si="9"/>
        <v>962926141</v>
      </c>
      <c r="F14" s="48">
        <v>978207233</v>
      </c>
      <c r="G14" s="49">
        <f t="shared" si="10"/>
        <v>-1.5621528327014527E-2</v>
      </c>
      <c r="H14" s="50">
        <f t="shared" si="1"/>
        <v>962926141</v>
      </c>
      <c r="I14" s="51">
        <v>3.47</v>
      </c>
      <c r="J14" s="52">
        <v>3295861</v>
      </c>
      <c r="K14" s="51">
        <v>48.06</v>
      </c>
      <c r="L14" s="52">
        <v>45648561</v>
      </c>
      <c r="M14" s="53">
        <v>0</v>
      </c>
      <c r="N14" s="53">
        <v>0</v>
      </c>
      <c r="O14" s="53">
        <v>0</v>
      </c>
      <c r="P14" s="52">
        <v>0</v>
      </c>
      <c r="Q14" s="48">
        <f t="shared" si="11"/>
        <v>48944422</v>
      </c>
      <c r="R14" s="53">
        <v>13.83</v>
      </c>
      <c r="S14" s="52">
        <v>13135902</v>
      </c>
      <c r="T14" s="53">
        <v>0</v>
      </c>
      <c r="U14" s="53">
        <v>0</v>
      </c>
      <c r="V14" s="53">
        <v>0</v>
      </c>
      <c r="W14" s="52">
        <v>0</v>
      </c>
      <c r="X14" s="48">
        <f t="shared" si="12"/>
        <v>13135902</v>
      </c>
      <c r="Y14" s="55">
        <f t="shared" si="13"/>
        <v>65.36</v>
      </c>
      <c r="Z14" s="48">
        <f t="shared" si="14"/>
        <v>62080324</v>
      </c>
      <c r="AA14" s="48">
        <f t="shared" si="15"/>
        <v>0</v>
      </c>
      <c r="AB14" s="56">
        <f t="shared" si="2"/>
        <v>13.64</v>
      </c>
      <c r="AC14" s="57">
        <f t="shared" si="3"/>
        <v>50.83</v>
      </c>
      <c r="AD14" s="58">
        <f t="shared" si="4"/>
        <v>64.47</v>
      </c>
      <c r="AE14" s="59">
        <f>X14+Q14+[18]Sheet1!$D10</f>
        <v>62080324</v>
      </c>
      <c r="AF14" s="60">
        <v>1.7500000000000002E-2</v>
      </c>
      <c r="AG14" s="61">
        <v>45934580</v>
      </c>
      <c r="AH14" s="61">
        <v>0</v>
      </c>
      <c r="AI14" s="62">
        <f>AG14+AH14+[18]Sheet1!$G10</f>
        <v>45934580</v>
      </c>
      <c r="AJ14" s="59">
        <v>2430531257</v>
      </c>
      <c r="AK14" s="59">
        <f t="shared" si="5"/>
        <v>2624833143</v>
      </c>
      <c r="AL14" s="60">
        <f t="shared" si="16"/>
        <v>7.9942146574089504E-2</v>
      </c>
      <c r="AM14" s="59">
        <f t="shared" si="17"/>
        <v>2624833143</v>
      </c>
      <c r="AN14" s="49">
        <f t="shared" si="6"/>
        <v>1.7499999999047559E-2</v>
      </c>
      <c r="AO14" s="49">
        <f t="shared" si="7"/>
        <v>0</v>
      </c>
      <c r="AP14" s="59">
        <v>778815</v>
      </c>
      <c r="AQ14" s="59">
        <f t="shared" si="8"/>
        <v>108793719</v>
      </c>
      <c r="AR14" s="59">
        <f>ROUND(AQ14/'3_Levels 1&amp;2'!C14,2)</f>
        <v>4845.6099999999997</v>
      </c>
    </row>
    <row r="15" spans="1:44" ht="15" customHeight="1" x14ac:dyDescent="0.2">
      <c r="A15" s="46">
        <v>9</v>
      </c>
      <c r="B15" s="47" t="s">
        <v>13</v>
      </c>
      <c r="C15" s="48">
        <v>2093594788</v>
      </c>
      <c r="D15" s="48">
        <v>335245281</v>
      </c>
      <c r="E15" s="48">
        <f t="shared" si="9"/>
        <v>1758349507</v>
      </c>
      <c r="F15" s="48">
        <v>1748031376</v>
      </c>
      <c r="G15" s="49">
        <f t="shared" si="10"/>
        <v>5.9027149865071987E-3</v>
      </c>
      <c r="H15" s="50">
        <f t="shared" si="1"/>
        <v>1758349507</v>
      </c>
      <c r="I15" s="51">
        <v>7.7</v>
      </c>
      <c r="J15" s="52">
        <v>13506149</v>
      </c>
      <c r="K15" s="51">
        <v>61.12</v>
      </c>
      <c r="L15" s="52">
        <v>107185607</v>
      </c>
      <c r="M15" s="53">
        <v>0</v>
      </c>
      <c r="N15" s="53">
        <v>0</v>
      </c>
      <c r="O15" s="53">
        <v>0</v>
      </c>
      <c r="P15" s="52">
        <v>0</v>
      </c>
      <c r="Q15" s="48">
        <f t="shared" si="11"/>
        <v>120691756</v>
      </c>
      <c r="R15" s="53">
        <v>5</v>
      </c>
      <c r="S15" s="52">
        <v>8768622</v>
      </c>
      <c r="T15" s="53">
        <v>0</v>
      </c>
      <c r="U15" s="53">
        <v>0</v>
      </c>
      <c r="V15" s="53">
        <v>0</v>
      </c>
      <c r="W15" s="52">
        <v>0</v>
      </c>
      <c r="X15" s="48">
        <f t="shared" si="12"/>
        <v>8768622</v>
      </c>
      <c r="Y15" s="55">
        <f t="shared" si="13"/>
        <v>73.819999999999993</v>
      </c>
      <c r="Z15" s="48">
        <f t="shared" si="14"/>
        <v>129460378</v>
      </c>
      <c r="AA15" s="48">
        <f t="shared" si="15"/>
        <v>0</v>
      </c>
      <c r="AB15" s="56">
        <f t="shared" si="2"/>
        <v>4.99</v>
      </c>
      <c r="AC15" s="57">
        <f t="shared" si="3"/>
        <v>68.64</v>
      </c>
      <c r="AD15" s="58">
        <f t="shared" si="4"/>
        <v>73.63</v>
      </c>
      <c r="AE15" s="59">
        <f>X15+Q15+[18]Sheet1!$D11</f>
        <v>129460378</v>
      </c>
      <c r="AF15" s="60">
        <v>1.4999999999999999E-2</v>
      </c>
      <c r="AG15" s="61">
        <v>78464255</v>
      </c>
      <c r="AH15" s="61">
        <v>0</v>
      </c>
      <c r="AI15" s="62">
        <f>AG15+AH15+[18]Sheet1!$G11</f>
        <v>78464255</v>
      </c>
      <c r="AJ15" s="59">
        <v>4859455533</v>
      </c>
      <c r="AK15" s="59">
        <f t="shared" si="5"/>
        <v>5230950333</v>
      </c>
      <c r="AL15" s="60">
        <f t="shared" si="16"/>
        <v>7.6447823727827491E-2</v>
      </c>
      <c r="AM15" s="59">
        <f t="shared" si="17"/>
        <v>5230950333</v>
      </c>
      <c r="AN15" s="49">
        <f t="shared" si="6"/>
        <v>1.5000000000955849E-2</v>
      </c>
      <c r="AO15" s="49">
        <f t="shared" si="7"/>
        <v>0</v>
      </c>
      <c r="AP15" s="59">
        <v>1940066</v>
      </c>
      <c r="AQ15" s="59">
        <f t="shared" si="8"/>
        <v>209864699</v>
      </c>
      <c r="AR15" s="59">
        <f>ROUND(AQ15/'3_Levels 1&amp;2'!C15,2)</f>
        <v>5445.8</v>
      </c>
    </row>
    <row r="16" spans="1:44" ht="15" customHeight="1" x14ac:dyDescent="0.2">
      <c r="A16" s="65">
        <v>10</v>
      </c>
      <c r="B16" s="66" t="s">
        <v>14</v>
      </c>
      <c r="C16" s="67">
        <v>2432880232</v>
      </c>
      <c r="D16" s="67">
        <v>289671721</v>
      </c>
      <c r="E16" s="67">
        <f t="shared" si="9"/>
        <v>2143208511</v>
      </c>
      <c r="F16" s="67">
        <v>2048915100</v>
      </c>
      <c r="G16" s="68">
        <f t="shared" si="10"/>
        <v>4.6021141139523061E-2</v>
      </c>
      <c r="H16" s="69">
        <f t="shared" si="1"/>
        <v>2143208511</v>
      </c>
      <c r="I16" s="70">
        <v>5.13</v>
      </c>
      <c r="J16" s="71">
        <v>10821413</v>
      </c>
      <c r="K16" s="70">
        <v>12.1</v>
      </c>
      <c r="L16" s="71">
        <v>25569098</v>
      </c>
      <c r="M16" s="72">
        <v>0</v>
      </c>
      <c r="N16" s="72">
        <v>0</v>
      </c>
      <c r="O16" s="72">
        <v>0</v>
      </c>
      <c r="P16" s="71">
        <v>271177</v>
      </c>
      <c r="Q16" s="67">
        <f t="shared" si="11"/>
        <v>36661688</v>
      </c>
      <c r="R16" s="72">
        <v>0</v>
      </c>
      <c r="S16" s="71">
        <v>0</v>
      </c>
      <c r="T16" s="72">
        <v>0</v>
      </c>
      <c r="U16" s="72">
        <v>34.200000000000003</v>
      </c>
      <c r="V16" s="72">
        <v>10</v>
      </c>
      <c r="W16" s="71">
        <v>21982955</v>
      </c>
      <c r="X16" s="67">
        <f t="shared" si="12"/>
        <v>21982955</v>
      </c>
      <c r="Y16" s="73">
        <f t="shared" si="13"/>
        <v>17.23</v>
      </c>
      <c r="Z16" s="67">
        <f t="shared" si="14"/>
        <v>36390511</v>
      </c>
      <c r="AA16" s="67">
        <f t="shared" si="15"/>
        <v>22254132</v>
      </c>
      <c r="AB16" s="74">
        <f t="shared" si="2"/>
        <v>10.26</v>
      </c>
      <c r="AC16" s="75">
        <f t="shared" si="3"/>
        <v>17.11</v>
      </c>
      <c r="AD16" s="76">
        <f t="shared" si="4"/>
        <v>27.36</v>
      </c>
      <c r="AE16" s="77">
        <f>X16+Q16+[18]Sheet1!$D12</f>
        <v>58644643</v>
      </c>
      <c r="AF16" s="78">
        <v>2.5000000000000001E-2</v>
      </c>
      <c r="AG16" s="79">
        <v>201848143</v>
      </c>
      <c r="AH16" s="79">
        <v>0</v>
      </c>
      <c r="AI16" s="80">
        <f>AG16+AH16+[18]Sheet1!$G12</f>
        <v>201848143</v>
      </c>
      <c r="AJ16" s="77">
        <v>6738997800</v>
      </c>
      <c r="AK16" s="77">
        <f t="shared" si="5"/>
        <v>8073925720</v>
      </c>
      <c r="AL16" s="78">
        <f t="shared" si="16"/>
        <v>0.19808997711796256</v>
      </c>
      <c r="AM16" s="77">
        <f t="shared" si="17"/>
        <v>7749847469.999999</v>
      </c>
      <c r="AN16" s="68">
        <f t="shared" si="6"/>
        <v>2.5000000000000001E-2</v>
      </c>
      <c r="AO16" s="68">
        <f t="shared" si="7"/>
        <v>0</v>
      </c>
      <c r="AP16" s="77">
        <v>1028612</v>
      </c>
      <c r="AQ16" s="77">
        <f t="shared" si="8"/>
        <v>261521398</v>
      </c>
      <c r="AR16" s="77">
        <f>ROUND(AQ16/'3_Levels 1&amp;2'!C16,2)</f>
        <v>7876.91</v>
      </c>
    </row>
    <row r="17" spans="1:44" ht="15" customHeight="1" x14ac:dyDescent="0.2">
      <c r="A17" s="46">
        <v>11</v>
      </c>
      <c r="B17" s="47" t="s">
        <v>15</v>
      </c>
      <c r="C17" s="48">
        <v>75820883</v>
      </c>
      <c r="D17" s="48">
        <v>14499822</v>
      </c>
      <c r="E17" s="48">
        <f t="shared" si="9"/>
        <v>61321061</v>
      </c>
      <c r="F17" s="48">
        <v>60316755</v>
      </c>
      <c r="G17" s="49">
        <f t="shared" si="10"/>
        <v>1.6650531017459412E-2</v>
      </c>
      <c r="H17" s="50">
        <f t="shared" si="1"/>
        <v>61321061</v>
      </c>
      <c r="I17" s="51">
        <v>5.4</v>
      </c>
      <c r="J17" s="52">
        <v>323634</v>
      </c>
      <c r="K17" s="51">
        <v>32.83</v>
      </c>
      <c r="L17" s="52">
        <v>1980166</v>
      </c>
      <c r="M17" s="53">
        <v>0</v>
      </c>
      <c r="N17" s="53">
        <v>0</v>
      </c>
      <c r="O17" s="53">
        <v>0</v>
      </c>
      <c r="P17" s="52">
        <v>0</v>
      </c>
      <c r="Q17" s="48">
        <f t="shared" si="11"/>
        <v>2303800</v>
      </c>
      <c r="R17" s="54">
        <v>18.5</v>
      </c>
      <c r="S17" s="52">
        <v>1108747</v>
      </c>
      <c r="T17" s="53">
        <v>0</v>
      </c>
      <c r="U17" s="53">
        <v>0</v>
      </c>
      <c r="V17" s="53">
        <v>0</v>
      </c>
      <c r="W17" s="52">
        <v>0</v>
      </c>
      <c r="X17" s="48">
        <f t="shared" si="12"/>
        <v>1108747</v>
      </c>
      <c r="Y17" s="55">
        <f t="shared" si="13"/>
        <v>56.73</v>
      </c>
      <c r="Z17" s="48">
        <f t="shared" si="14"/>
        <v>3412547</v>
      </c>
      <c r="AA17" s="48">
        <f t="shared" si="15"/>
        <v>0</v>
      </c>
      <c r="AB17" s="56">
        <f t="shared" si="2"/>
        <v>18.079999999999998</v>
      </c>
      <c r="AC17" s="57">
        <f t="shared" si="3"/>
        <v>37.57</v>
      </c>
      <c r="AD17" s="58">
        <f t="shared" si="4"/>
        <v>55.65</v>
      </c>
      <c r="AE17" s="59">
        <f>X17+Q17+[18]Sheet1!$D13</f>
        <v>3412547</v>
      </c>
      <c r="AF17" s="60">
        <v>0.02</v>
      </c>
      <c r="AG17" s="61">
        <v>2129190</v>
      </c>
      <c r="AH17" s="61">
        <v>0</v>
      </c>
      <c r="AI17" s="62">
        <f>AG17+AH17+[18]Sheet1!$G13</f>
        <v>2129190</v>
      </c>
      <c r="AJ17" s="59">
        <v>105703750</v>
      </c>
      <c r="AK17" s="59">
        <f t="shared" si="5"/>
        <v>106459500</v>
      </c>
      <c r="AL17" s="63">
        <f t="shared" si="16"/>
        <v>7.1496990409517167E-3</v>
      </c>
      <c r="AM17" s="64">
        <f t="shared" si="17"/>
        <v>106459500</v>
      </c>
      <c r="AN17" s="49">
        <f t="shared" si="6"/>
        <v>0.02</v>
      </c>
      <c r="AO17" s="49">
        <f t="shared" si="7"/>
        <v>0</v>
      </c>
      <c r="AP17" s="59">
        <v>89085</v>
      </c>
      <c r="AQ17" s="59">
        <f t="shared" si="8"/>
        <v>5630822</v>
      </c>
      <c r="AR17" s="59">
        <f>ROUND(AQ17/'3_Levels 1&amp;2'!C17,2)</f>
        <v>3642.19</v>
      </c>
    </row>
    <row r="18" spans="1:44" ht="15" customHeight="1" x14ac:dyDescent="0.2">
      <c r="A18" s="46">
        <v>12</v>
      </c>
      <c r="B18" s="896" t="s">
        <v>16</v>
      </c>
      <c r="C18" s="48">
        <v>269705881</v>
      </c>
      <c r="D18" s="48">
        <v>12210851</v>
      </c>
      <c r="E18" s="48">
        <f t="shared" si="9"/>
        <v>257495030</v>
      </c>
      <c r="F18" s="48">
        <v>241097528</v>
      </c>
      <c r="G18" s="49">
        <f t="shared" si="10"/>
        <v>6.8011904294597331E-2</v>
      </c>
      <c r="H18" s="50">
        <f t="shared" si="1"/>
        <v>257495030</v>
      </c>
      <c r="I18" s="51">
        <v>4.84</v>
      </c>
      <c r="J18" s="52">
        <v>1169273</v>
      </c>
      <c r="K18" s="51">
        <v>29.46</v>
      </c>
      <c r="L18" s="52">
        <v>7117489</v>
      </c>
      <c r="M18" s="53">
        <v>0</v>
      </c>
      <c r="N18" s="53">
        <v>0</v>
      </c>
      <c r="O18" s="53">
        <v>0</v>
      </c>
      <c r="P18" s="52">
        <v>0</v>
      </c>
      <c r="Q18" s="48">
        <f t="shared" si="11"/>
        <v>8286762</v>
      </c>
      <c r="R18" s="53">
        <v>0</v>
      </c>
      <c r="S18" s="52">
        <v>0</v>
      </c>
      <c r="T18" s="53">
        <v>0</v>
      </c>
      <c r="U18" s="53">
        <v>0</v>
      </c>
      <c r="V18" s="53">
        <v>0</v>
      </c>
      <c r="W18" s="52">
        <v>0</v>
      </c>
      <c r="X18" s="48">
        <f t="shared" si="12"/>
        <v>0</v>
      </c>
      <c r="Y18" s="55">
        <f t="shared" si="13"/>
        <v>34.299999999999997</v>
      </c>
      <c r="Z18" s="48">
        <f t="shared" si="14"/>
        <v>8286762</v>
      </c>
      <c r="AA18" s="48">
        <f t="shared" si="15"/>
        <v>0</v>
      </c>
      <c r="AB18" s="56">
        <f t="shared" si="2"/>
        <v>0</v>
      </c>
      <c r="AC18" s="57">
        <f t="shared" si="3"/>
        <v>32.18</v>
      </c>
      <c r="AD18" s="58">
        <f t="shared" si="4"/>
        <v>32.18</v>
      </c>
      <c r="AE18" s="59">
        <f>X18+Q18+[18]Sheet1!$D14</f>
        <v>8286762</v>
      </c>
      <c r="AF18" s="60">
        <v>0</v>
      </c>
      <c r="AG18" s="61">
        <v>0</v>
      </c>
      <c r="AH18" s="61">
        <v>0</v>
      </c>
      <c r="AI18" s="62">
        <f>AG18+AH18+[18]Sheet1!$G14</f>
        <v>0</v>
      </c>
      <c r="AJ18" s="59">
        <v>503325740.39999998</v>
      </c>
      <c r="AK18" s="59">
        <v>351063173</v>
      </c>
      <c r="AL18" s="63">
        <f t="shared" si="16"/>
        <v>-0.30251297555136919</v>
      </c>
      <c r="AM18" s="64">
        <f t="shared" si="17"/>
        <v>351063173</v>
      </c>
      <c r="AN18" s="49">
        <f t="shared" si="6"/>
        <v>0</v>
      </c>
      <c r="AO18" s="49">
        <f t="shared" si="7"/>
        <v>0</v>
      </c>
      <c r="AP18" s="59">
        <v>341218</v>
      </c>
      <c r="AQ18" s="59">
        <f t="shared" si="8"/>
        <v>8627980</v>
      </c>
      <c r="AR18" s="59">
        <f>ROUND(AQ18/'3_Levels 1&amp;2'!C18,2)</f>
        <v>6561.2</v>
      </c>
    </row>
    <row r="19" spans="1:44" ht="15" customHeight="1" x14ac:dyDescent="0.2">
      <c r="A19" s="46">
        <v>13</v>
      </c>
      <c r="B19" s="47" t="s">
        <v>17</v>
      </c>
      <c r="C19" s="48">
        <v>53900364</v>
      </c>
      <c r="D19" s="48">
        <v>14716895</v>
      </c>
      <c r="E19" s="48">
        <f t="shared" si="9"/>
        <v>39183469</v>
      </c>
      <c r="F19" s="48">
        <v>39254223</v>
      </c>
      <c r="G19" s="49">
        <f t="shared" si="10"/>
        <v>-1.8024557510665795E-3</v>
      </c>
      <c r="H19" s="50">
        <f t="shared" si="1"/>
        <v>39183469</v>
      </c>
      <c r="I19" s="51">
        <v>4.16</v>
      </c>
      <c r="J19" s="52">
        <v>162802</v>
      </c>
      <c r="K19" s="51">
        <v>13.27</v>
      </c>
      <c r="L19" s="52">
        <v>521044</v>
      </c>
      <c r="M19" s="53">
        <v>0</v>
      </c>
      <c r="N19" s="53">
        <v>5.56</v>
      </c>
      <c r="O19" s="53">
        <v>4</v>
      </c>
      <c r="P19" s="52">
        <v>172290</v>
      </c>
      <c r="Q19" s="48">
        <f t="shared" si="11"/>
        <v>856136</v>
      </c>
      <c r="R19" s="53">
        <v>0</v>
      </c>
      <c r="S19" s="52">
        <v>0</v>
      </c>
      <c r="T19" s="53">
        <v>0</v>
      </c>
      <c r="U19" s="53">
        <v>14.5</v>
      </c>
      <c r="V19" s="53">
        <v>1</v>
      </c>
      <c r="W19" s="52">
        <v>52004</v>
      </c>
      <c r="X19" s="48">
        <f t="shared" si="12"/>
        <v>52004</v>
      </c>
      <c r="Y19" s="55">
        <f t="shared" si="13"/>
        <v>17.43</v>
      </c>
      <c r="Z19" s="48">
        <f t="shared" si="14"/>
        <v>683846</v>
      </c>
      <c r="AA19" s="48">
        <f t="shared" si="15"/>
        <v>224294</v>
      </c>
      <c r="AB19" s="56">
        <f t="shared" si="2"/>
        <v>1.33</v>
      </c>
      <c r="AC19" s="57">
        <f t="shared" si="3"/>
        <v>21.85</v>
      </c>
      <c r="AD19" s="58">
        <f t="shared" si="4"/>
        <v>23.18</v>
      </c>
      <c r="AE19" s="59">
        <f>X19+Q19+[18]Sheet1!$D15</f>
        <v>908140</v>
      </c>
      <c r="AF19" s="60">
        <v>0.03</v>
      </c>
      <c r="AG19" s="61">
        <v>2640149</v>
      </c>
      <c r="AH19" s="61">
        <v>0</v>
      </c>
      <c r="AI19" s="62">
        <f>AG19+AH19+[18]Sheet1!$G15</f>
        <v>2640149</v>
      </c>
      <c r="AJ19" s="59">
        <v>90986600</v>
      </c>
      <c r="AK19" s="59">
        <f t="shared" ref="AK19:AK50" si="18">ROUND(AI19/AF19,0)</f>
        <v>88004967</v>
      </c>
      <c r="AL19" s="60">
        <f t="shared" si="16"/>
        <v>-3.2770023278153045E-2</v>
      </c>
      <c r="AM19" s="59">
        <f t="shared" si="17"/>
        <v>88004967</v>
      </c>
      <c r="AN19" s="49">
        <f t="shared" si="6"/>
        <v>2.999999988637005E-2</v>
      </c>
      <c r="AO19" s="49">
        <f t="shared" si="7"/>
        <v>0</v>
      </c>
      <c r="AP19" s="59">
        <v>126637</v>
      </c>
      <c r="AQ19" s="59">
        <f t="shared" si="8"/>
        <v>3674926</v>
      </c>
      <c r="AR19" s="59">
        <f>ROUND(AQ19/'3_Levels 1&amp;2'!C19,2)</f>
        <v>2905.08</v>
      </c>
    </row>
    <row r="20" spans="1:44" ht="15" customHeight="1" x14ac:dyDescent="0.2">
      <c r="A20" s="46">
        <v>14</v>
      </c>
      <c r="B20" s="47" t="s">
        <v>18</v>
      </c>
      <c r="C20" s="48">
        <v>150006719</v>
      </c>
      <c r="D20" s="48">
        <v>19317804</v>
      </c>
      <c r="E20" s="48">
        <f t="shared" si="9"/>
        <v>130688915</v>
      </c>
      <c r="F20" s="48">
        <v>137804877</v>
      </c>
      <c r="G20" s="49">
        <f t="shared" si="10"/>
        <v>-5.1637954729280011E-2</v>
      </c>
      <c r="H20" s="50">
        <f t="shared" si="1"/>
        <v>130688915</v>
      </c>
      <c r="I20" s="51">
        <v>5.29</v>
      </c>
      <c r="J20" s="52">
        <v>691945</v>
      </c>
      <c r="K20" s="51">
        <v>10.3</v>
      </c>
      <c r="L20" s="52">
        <v>1347381</v>
      </c>
      <c r="M20" s="53">
        <v>0</v>
      </c>
      <c r="N20" s="53">
        <v>11.88</v>
      </c>
      <c r="O20" s="53">
        <v>3</v>
      </c>
      <c r="P20" s="52">
        <v>559887</v>
      </c>
      <c r="Q20" s="48">
        <f t="shared" si="11"/>
        <v>2599213</v>
      </c>
      <c r="R20" s="53">
        <v>0</v>
      </c>
      <c r="S20" s="52">
        <v>0</v>
      </c>
      <c r="T20" s="53">
        <v>0</v>
      </c>
      <c r="U20" s="53">
        <v>17.5</v>
      </c>
      <c r="V20" s="53">
        <v>1</v>
      </c>
      <c r="W20" s="52">
        <v>545222</v>
      </c>
      <c r="X20" s="48">
        <f t="shared" si="12"/>
        <v>545222</v>
      </c>
      <c r="Y20" s="55">
        <f t="shared" si="13"/>
        <v>15.59</v>
      </c>
      <c r="Z20" s="48">
        <f t="shared" si="14"/>
        <v>2039326</v>
      </c>
      <c r="AA20" s="48">
        <f t="shared" si="15"/>
        <v>1105109</v>
      </c>
      <c r="AB20" s="56">
        <f t="shared" si="2"/>
        <v>4.17</v>
      </c>
      <c r="AC20" s="57">
        <f t="shared" si="3"/>
        <v>19.89</v>
      </c>
      <c r="AD20" s="58">
        <f t="shared" si="4"/>
        <v>24.06</v>
      </c>
      <c r="AE20" s="59">
        <f>X20+Q20+[18]Sheet1!$D16</f>
        <v>3144435</v>
      </c>
      <c r="AF20" s="60">
        <v>0.02</v>
      </c>
      <c r="AG20" s="61">
        <v>2739124</v>
      </c>
      <c r="AH20" s="61">
        <v>0</v>
      </c>
      <c r="AI20" s="62">
        <f>AG20+AH20+[18]Sheet1!$G16</f>
        <v>2739124</v>
      </c>
      <c r="AJ20" s="59">
        <v>127456300</v>
      </c>
      <c r="AK20" s="59">
        <f t="shared" si="18"/>
        <v>136956200</v>
      </c>
      <c r="AL20" s="60">
        <f t="shared" si="16"/>
        <v>7.4534565964962107E-2</v>
      </c>
      <c r="AM20" s="59">
        <f t="shared" si="17"/>
        <v>136956200</v>
      </c>
      <c r="AN20" s="49">
        <f t="shared" si="6"/>
        <v>0.02</v>
      </c>
      <c r="AO20" s="49">
        <f t="shared" si="7"/>
        <v>0</v>
      </c>
      <c r="AP20" s="59">
        <v>131214</v>
      </c>
      <c r="AQ20" s="59">
        <f t="shared" si="8"/>
        <v>6014773</v>
      </c>
      <c r="AR20" s="59">
        <f>ROUND(AQ20/'3_Levels 1&amp;2'!C20,2)</f>
        <v>3454.78</v>
      </c>
    </row>
    <row r="21" spans="1:44" ht="15" customHeight="1" x14ac:dyDescent="0.2">
      <c r="A21" s="65">
        <v>15</v>
      </c>
      <c r="B21" s="66" t="s">
        <v>19</v>
      </c>
      <c r="C21" s="67">
        <v>163633760</v>
      </c>
      <c r="D21" s="67">
        <v>28174439</v>
      </c>
      <c r="E21" s="67">
        <f t="shared" si="9"/>
        <v>135459321</v>
      </c>
      <c r="F21" s="67">
        <v>138800333</v>
      </c>
      <c r="G21" s="68">
        <f t="shared" si="10"/>
        <v>-2.4070633893940298E-2</v>
      </c>
      <c r="H21" s="69">
        <f t="shared" si="1"/>
        <v>135459321</v>
      </c>
      <c r="I21" s="70">
        <v>2.81</v>
      </c>
      <c r="J21" s="71">
        <v>380672</v>
      </c>
      <c r="K21" s="70">
        <v>37.6</v>
      </c>
      <c r="L21" s="71">
        <v>5093603</v>
      </c>
      <c r="M21" s="72">
        <v>0</v>
      </c>
      <c r="N21" s="72">
        <v>0</v>
      </c>
      <c r="O21" s="72">
        <v>0</v>
      </c>
      <c r="P21" s="71">
        <v>0</v>
      </c>
      <c r="Q21" s="67">
        <f t="shared" si="11"/>
        <v>5474275</v>
      </c>
      <c r="R21" s="72"/>
      <c r="S21" s="71"/>
      <c r="T21" s="72"/>
      <c r="U21" s="72"/>
      <c r="V21" s="72"/>
      <c r="W21" s="71"/>
      <c r="X21" s="67">
        <f t="shared" si="12"/>
        <v>0</v>
      </c>
      <c r="Y21" s="73">
        <f t="shared" si="13"/>
        <v>40.410000000000004</v>
      </c>
      <c r="Z21" s="67">
        <f t="shared" si="14"/>
        <v>5474275</v>
      </c>
      <c r="AA21" s="67">
        <f t="shared" si="15"/>
        <v>0</v>
      </c>
      <c r="AB21" s="74">
        <f t="shared" si="2"/>
        <v>0</v>
      </c>
      <c r="AC21" s="75">
        <f t="shared" si="3"/>
        <v>40.409999999999997</v>
      </c>
      <c r="AD21" s="76">
        <f t="shared" si="4"/>
        <v>40.409999999999997</v>
      </c>
      <c r="AE21" s="77">
        <f>X21+Q21+[18]Sheet1!$D17</f>
        <v>5474275</v>
      </c>
      <c r="AF21" s="78">
        <v>0.02</v>
      </c>
      <c r="AG21" s="79">
        <v>5001407</v>
      </c>
      <c r="AH21" s="79">
        <v>0</v>
      </c>
      <c r="AI21" s="80">
        <f>AG21+AH21+[18]Sheet1!$G17</f>
        <v>5001407</v>
      </c>
      <c r="AJ21" s="77">
        <v>256735900</v>
      </c>
      <c r="AK21" s="77">
        <f t="shared" si="18"/>
        <v>250070350</v>
      </c>
      <c r="AL21" s="78">
        <f t="shared" si="16"/>
        <v>-2.5962672146746909E-2</v>
      </c>
      <c r="AM21" s="77">
        <f t="shared" si="17"/>
        <v>250070350</v>
      </c>
      <c r="AN21" s="68">
        <f t="shared" si="6"/>
        <v>0.02</v>
      </c>
      <c r="AO21" s="68">
        <f t="shared" si="7"/>
        <v>0</v>
      </c>
      <c r="AP21" s="77">
        <v>172691</v>
      </c>
      <c r="AQ21" s="77">
        <f t="shared" si="8"/>
        <v>10648373</v>
      </c>
      <c r="AR21" s="77">
        <f>ROUND(AQ21/'3_Levels 1&amp;2'!C21,2)</f>
        <v>2984.41</v>
      </c>
    </row>
    <row r="22" spans="1:44" ht="15" customHeight="1" x14ac:dyDescent="0.2">
      <c r="A22" s="46">
        <v>16</v>
      </c>
      <c r="B22" s="47" t="s">
        <v>20</v>
      </c>
      <c r="C22" s="48">
        <v>719797208</v>
      </c>
      <c r="D22" s="48">
        <v>41700737</v>
      </c>
      <c r="E22" s="48">
        <f t="shared" si="9"/>
        <v>678096471</v>
      </c>
      <c r="F22" s="48">
        <v>690170772</v>
      </c>
      <c r="G22" s="49">
        <f t="shared" si="10"/>
        <v>-1.7494657104951988E-2</v>
      </c>
      <c r="H22" s="50">
        <f t="shared" si="1"/>
        <v>678096471</v>
      </c>
      <c r="I22" s="51">
        <v>5.32</v>
      </c>
      <c r="J22" s="52">
        <v>3742920</v>
      </c>
      <c r="K22" s="51">
        <v>51.34</v>
      </c>
      <c r="L22" s="52">
        <v>36120531</v>
      </c>
      <c r="M22" s="53">
        <v>0</v>
      </c>
      <c r="N22" s="53">
        <v>0</v>
      </c>
      <c r="O22" s="53">
        <v>0</v>
      </c>
      <c r="P22" s="52">
        <v>0</v>
      </c>
      <c r="Q22" s="48">
        <f t="shared" si="11"/>
        <v>39863451</v>
      </c>
      <c r="R22" s="54">
        <v>0</v>
      </c>
      <c r="S22" s="52">
        <v>0</v>
      </c>
      <c r="T22" s="53">
        <v>0</v>
      </c>
      <c r="U22" s="53">
        <v>4</v>
      </c>
      <c r="V22" s="53">
        <v>2</v>
      </c>
      <c r="W22" s="52">
        <v>1884305</v>
      </c>
      <c r="X22" s="48">
        <f t="shared" si="12"/>
        <v>1884305</v>
      </c>
      <c r="Y22" s="55">
        <f t="shared" si="13"/>
        <v>56.660000000000004</v>
      </c>
      <c r="Z22" s="48">
        <f t="shared" si="14"/>
        <v>39863451</v>
      </c>
      <c r="AA22" s="48">
        <f t="shared" si="15"/>
        <v>1884305</v>
      </c>
      <c r="AB22" s="56">
        <f t="shared" si="2"/>
        <v>2.78</v>
      </c>
      <c r="AC22" s="57">
        <f t="shared" si="3"/>
        <v>58.79</v>
      </c>
      <c r="AD22" s="58">
        <f t="shared" si="4"/>
        <v>61.57</v>
      </c>
      <c r="AE22" s="59">
        <f>X22+Q22+[18]Sheet1!$D18</f>
        <v>41747756</v>
      </c>
      <c r="AF22" s="60">
        <v>2.5000000000000001E-2</v>
      </c>
      <c r="AG22" s="61">
        <v>28710088</v>
      </c>
      <c r="AH22" s="61">
        <v>2456759</v>
      </c>
      <c r="AI22" s="62">
        <f>AG22+AH22+[18]Sheet1!$G18</f>
        <v>31166847</v>
      </c>
      <c r="AJ22" s="59">
        <v>802935600</v>
      </c>
      <c r="AK22" s="59">
        <f t="shared" si="18"/>
        <v>1246673880</v>
      </c>
      <c r="AL22" s="63">
        <f t="shared" si="16"/>
        <v>0.55264491946801209</v>
      </c>
      <c r="AM22" s="64">
        <f t="shared" si="17"/>
        <v>923375939.99999988</v>
      </c>
      <c r="AN22" s="49">
        <f t="shared" si="6"/>
        <v>2.3029349102910539E-2</v>
      </c>
      <c r="AO22" s="49">
        <f t="shared" si="7"/>
        <v>1.9706508970894617E-3</v>
      </c>
      <c r="AP22" s="59">
        <v>920741</v>
      </c>
      <c r="AQ22" s="59">
        <f t="shared" si="8"/>
        <v>73835344</v>
      </c>
      <c r="AR22" s="59">
        <f>ROUND(AQ22/'3_Levels 1&amp;2'!C22,2)</f>
        <v>15302.66</v>
      </c>
    </row>
    <row r="23" spans="1:44" s="81" customFormat="1" ht="15" customHeight="1" x14ac:dyDescent="0.2">
      <c r="A23" s="46">
        <v>17</v>
      </c>
      <c r="B23" s="896" t="s">
        <v>21</v>
      </c>
      <c r="C23" s="59">
        <v>4273778589</v>
      </c>
      <c r="D23" s="48">
        <v>554588135</v>
      </c>
      <c r="E23" s="48">
        <f>C23-D23</f>
        <v>3719190454</v>
      </c>
      <c r="F23" s="48">
        <v>3562644190</v>
      </c>
      <c r="G23" s="49">
        <f t="shared" si="10"/>
        <v>4.3941032461060896E-2</v>
      </c>
      <c r="H23" s="50">
        <f t="shared" si="1"/>
        <v>3719190454</v>
      </c>
      <c r="I23" s="51">
        <v>5.25</v>
      </c>
      <c r="J23" s="52">
        <v>19513213</v>
      </c>
      <c r="K23" s="51">
        <v>38.200000000000003</v>
      </c>
      <c r="L23" s="52">
        <v>141974714</v>
      </c>
      <c r="M23" s="53">
        <v>0</v>
      </c>
      <c r="N23" s="53">
        <v>0</v>
      </c>
      <c r="O23" s="53">
        <v>0</v>
      </c>
      <c r="P23" s="52">
        <v>0</v>
      </c>
      <c r="Q23" s="48">
        <f>J23+L23+P23</f>
        <v>161487927</v>
      </c>
      <c r="R23" s="53">
        <v>0</v>
      </c>
      <c r="S23" s="52">
        <v>0</v>
      </c>
      <c r="T23" s="53">
        <v>0</v>
      </c>
      <c r="U23" s="53">
        <v>0</v>
      </c>
      <c r="V23" s="53">
        <v>0</v>
      </c>
      <c r="W23" s="52">
        <v>0</v>
      </c>
      <c r="X23" s="48">
        <f t="shared" si="12"/>
        <v>0</v>
      </c>
      <c r="Y23" s="55">
        <f t="shared" si="13"/>
        <v>43.45</v>
      </c>
      <c r="Z23" s="48">
        <f t="shared" si="14"/>
        <v>161487927</v>
      </c>
      <c r="AA23" s="48">
        <f t="shared" si="15"/>
        <v>0</v>
      </c>
      <c r="AB23" s="56">
        <f t="shared" si="2"/>
        <v>0</v>
      </c>
      <c r="AC23" s="57">
        <f t="shared" si="3"/>
        <v>43.42</v>
      </c>
      <c r="AD23" s="58">
        <f t="shared" si="4"/>
        <v>43.42</v>
      </c>
      <c r="AE23" s="59">
        <f>X23+Q23+[18]Sheet1!$D19</f>
        <v>161487927</v>
      </c>
      <c r="AF23" s="60">
        <v>0.02</v>
      </c>
      <c r="AG23" s="61">
        <v>179415810</v>
      </c>
      <c r="AH23" s="61">
        <v>0</v>
      </c>
      <c r="AI23" s="62">
        <f>AG23+AH23+[18]Sheet1!$G19</f>
        <v>179415810</v>
      </c>
      <c r="AJ23" s="59">
        <v>9574714750</v>
      </c>
      <c r="AK23" s="59">
        <f t="shared" si="18"/>
        <v>8970790500</v>
      </c>
      <c r="AL23" s="63">
        <f t="shared" si="16"/>
        <v>-6.3074907792944959E-2</v>
      </c>
      <c r="AM23" s="64">
        <f t="shared" si="17"/>
        <v>8970790500</v>
      </c>
      <c r="AN23" s="49">
        <f t="shared" si="6"/>
        <v>0.02</v>
      </c>
      <c r="AO23" s="49">
        <f t="shared" si="7"/>
        <v>0</v>
      </c>
      <c r="AP23" s="59">
        <v>4053406</v>
      </c>
      <c r="AQ23" s="59">
        <f t="shared" si="8"/>
        <v>344957143</v>
      </c>
      <c r="AR23" s="59">
        <f>ROUND(AQ23/'3_Levels 1&amp;2'!C23,2)</f>
        <v>7709.4</v>
      </c>
    </row>
    <row r="24" spans="1:44" ht="15" customHeight="1" x14ac:dyDescent="0.2">
      <c r="A24" s="46">
        <v>18</v>
      </c>
      <c r="B24" s="47" t="s">
        <v>22</v>
      </c>
      <c r="C24" s="48">
        <v>48493997</v>
      </c>
      <c r="D24" s="48">
        <v>5278215</v>
      </c>
      <c r="E24" s="48">
        <f t="shared" si="9"/>
        <v>43215782</v>
      </c>
      <c r="F24" s="48">
        <v>43091224</v>
      </c>
      <c r="G24" s="49">
        <f t="shared" si="10"/>
        <v>2.8905653735897593E-3</v>
      </c>
      <c r="H24" s="50">
        <f t="shared" si="1"/>
        <v>43215782</v>
      </c>
      <c r="I24" s="51">
        <v>8.1999999999999993</v>
      </c>
      <c r="J24" s="52">
        <v>355905</v>
      </c>
      <c r="K24" s="51">
        <v>8.24</v>
      </c>
      <c r="L24" s="52">
        <v>354178</v>
      </c>
      <c r="M24" s="53">
        <v>0</v>
      </c>
      <c r="N24" s="53">
        <v>0</v>
      </c>
      <c r="O24" s="53">
        <v>0</v>
      </c>
      <c r="P24" s="52">
        <v>0</v>
      </c>
      <c r="Q24" s="48">
        <f t="shared" si="11"/>
        <v>710083</v>
      </c>
      <c r="R24" s="53">
        <v>0</v>
      </c>
      <c r="S24" s="52">
        <v>0</v>
      </c>
      <c r="T24" s="53">
        <v>0</v>
      </c>
      <c r="U24" s="53">
        <v>0</v>
      </c>
      <c r="V24" s="53">
        <v>0</v>
      </c>
      <c r="W24" s="52">
        <v>0</v>
      </c>
      <c r="X24" s="48">
        <f t="shared" si="12"/>
        <v>0</v>
      </c>
      <c r="Y24" s="55">
        <f t="shared" si="13"/>
        <v>16.439999999999998</v>
      </c>
      <c r="Z24" s="48">
        <f t="shared" si="14"/>
        <v>710083</v>
      </c>
      <c r="AA24" s="48">
        <f t="shared" si="15"/>
        <v>0</v>
      </c>
      <c r="AB24" s="56">
        <f t="shared" si="2"/>
        <v>0</v>
      </c>
      <c r="AC24" s="57">
        <f t="shared" si="3"/>
        <v>16.43</v>
      </c>
      <c r="AD24" s="58">
        <f t="shared" si="4"/>
        <v>16.43</v>
      </c>
      <c r="AE24" s="59">
        <f>X24+Q24+[18]Sheet1!$D20</f>
        <v>710083</v>
      </c>
      <c r="AF24" s="60">
        <v>0.03</v>
      </c>
      <c r="AG24" s="61">
        <v>2827792</v>
      </c>
      <c r="AH24" s="61">
        <v>0</v>
      </c>
      <c r="AI24" s="62">
        <f>AG24+AH24+[18]Sheet1!$G20</f>
        <v>2891256</v>
      </c>
      <c r="AJ24" s="59">
        <v>62789367</v>
      </c>
      <c r="AK24" s="59">
        <f t="shared" si="18"/>
        <v>96375200</v>
      </c>
      <c r="AL24" s="60">
        <f t="shared" si="16"/>
        <v>0.53489682417088236</v>
      </c>
      <c r="AM24" s="59">
        <f t="shared" si="17"/>
        <v>72207772.049999997</v>
      </c>
      <c r="AN24" s="49">
        <f t="shared" si="6"/>
        <v>2.9341490341913686E-2</v>
      </c>
      <c r="AO24" s="49">
        <f t="shared" si="7"/>
        <v>0</v>
      </c>
      <c r="AP24" s="59">
        <v>151577</v>
      </c>
      <c r="AQ24" s="59">
        <f t="shared" si="8"/>
        <v>3752916</v>
      </c>
      <c r="AR24" s="59">
        <f>ROUND(AQ24/'3_Levels 1&amp;2'!C24,2)</f>
        <v>4179.1899999999996</v>
      </c>
    </row>
    <row r="25" spans="1:44" ht="15" customHeight="1" x14ac:dyDescent="0.2">
      <c r="A25" s="46">
        <v>19</v>
      </c>
      <c r="B25" s="47" t="s">
        <v>23</v>
      </c>
      <c r="C25" s="48">
        <v>187671734</v>
      </c>
      <c r="D25" s="48">
        <v>35707022</v>
      </c>
      <c r="E25" s="48">
        <f t="shared" si="9"/>
        <v>151964712</v>
      </c>
      <c r="F25" s="48">
        <v>146189894</v>
      </c>
      <c r="G25" s="49">
        <f t="shared" si="10"/>
        <v>3.9502169691702491E-2</v>
      </c>
      <c r="H25" s="50">
        <f t="shared" si="1"/>
        <v>151964712</v>
      </c>
      <c r="I25" s="51">
        <v>3.34</v>
      </c>
      <c r="J25" s="52">
        <v>485211</v>
      </c>
      <c r="K25" s="51">
        <v>17</v>
      </c>
      <c r="L25" s="52">
        <v>2468316</v>
      </c>
      <c r="M25" s="53">
        <v>0</v>
      </c>
      <c r="N25" s="53">
        <v>0</v>
      </c>
      <c r="O25" s="53">
        <v>0</v>
      </c>
      <c r="P25" s="52">
        <v>0</v>
      </c>
      <c r="Q25" s="48">
        <f t="shared" si="11"/>
        <v>2953527</v>
      </c>
      <c r="R25" s="53"/>
      <c r="S25" s="52"/>
      <c r="T25" s="53"/>
      <c r="U25" s="53"/>
      <c r="V25" s="53"/>
      <c r="W25" s="52"/>
      <c r="X25" s="48">
        <f t="shared" si="12"/>
        <v>0</v>
      </c>
      <c r="Y25" s="55">
        <f t="shared" si="13"/>
        <v>20.34</v>
      </c>
      <c r="Z25" s="48">
        <f t="shared" si="14"/>
        <v>2953527</v>
      </c>
      <c r="AA25" s="48">
        <f t="shared" si="15"/>
        <v>0</v>
      </c>
      <c r="AB25" s="56">
        <f t="shared" si="2"/>
        <v>0</v>
      </c>
      <c r="AC25" s="57">
        <f t="shared" si="3"/>
        <v>19.440000000000001</v>
      </c>
      <c r="AD25" s="58">
        <f t="shared" si="4"/>
        <v>19.440000000000001</v>
      </c>
      <c r="AE25" s="59">
        <f>X25+Q25+[18]Sheet1!$D21</f>
        <v>2953527</v>
      </c>
      <c r="AF25" s="60">
        <v>0.02</v>
      </c>
      <c r="AG25" s="61">
        <v>3746497</v>
      </c>
      <c r="AH25" s="61">
        <v>0</v>
      </c>
      <c r="AI25" s="62">
        <f>AG25+AH25+[18]Sheet1!$G21</f>
        <v>3746497</v>
      </c>
      <c r="AJ25" s="59">
        <v>172340600</v>
      </c>
      <c r="AK25" s="59">
        <f t="shared" si="18"/>
        <v>187324850</v>
      </c>
      <c r="AL25" s="60">
        <f t="shared" si="16"/>
        <v>8.6945560129186042E-2</v>
      </c>
      <c r="AM25" s="59">
        <f t="shared" si="17"/>
        <v>187324850</v>
      </c>
      <c r="AN25" s="49">
        <f t="shared" si="6"/>
        <v>0.02</v>
      </c>
      <c r="AO25" s="49">
        <f t="shared" si="7"/>
        <v>0</v>
      </c>
      <c r="AP25" s="59">
        <v>79328</v>
      </c>
      <c r="AQ25" s="59">
        <f t="shared" si="8"/>
        <v>6779352</v>
      </c>
      <c r="AR25" s="59">
        <f>ROUND(AQ25/'3_Levels 1&amp;2'!C25,2)</f>
        <v>3642.85</v>
      </c>
    </row>
    <row r="26" spans="1:44" ht="15" customHeight="1" x14ac:dyDescent="0.2">
      <c r="A26" s="65">
        <v>20</v>
      </c>
      <c r="B26" s="66" t="s">
        <v>24</v>
      </c>
      <c r="C26" s="67">
        <v>296178740</v>
      </c>
      <c r="D26" s="67">
        <v>52010880</v>
      </c>
      <c r="E26" s="67">
        <f t="shared" si="9"/>
        <v>244167860</v>
      </c>
      <c r="F26" s="67">
        <v>245154853</v>
      </c>
      <c r="G26" s="68">
        <f t="shared" si="10"/>
        <v>-4.0259982126480687E-3</v>
      </c>
      <c r="H26" s="69">
        <f t="shared" si="1"/>
        <v>244167860</v>
      </c>
      <c r="I26" s="70">
        <v>4.5</v>
      </c>
      <c r="J26" s="71">
        <v>1095546</v>
      </c>
      <c r="K26" s="70">
        <v>9.99</v>
      </c>
      <c r="L26" s="71">
        <v>2457776</v>
      </c>
      <c r="M26" s="72">
        <v>0</v>
      </c>
      <c r="N26" s="72">
        <v>11.96</v>
      </c>
      <c r="O26" s="72">
        <v>3</v>
      </c>
      <c r="P26" s="71">
        <v>3332383</v>
      </c>
      <c r="Q26" s="67">
        <f t="shared" si="11"/>
        <v>6885705</v>
      </c>
      <c r="R26" s="72">
        <v>0</v>
      </c>
      <c r="S26" s="71">
        <v>0</v>
      </c>
      <c r="T26" s="72">
        <v>0</v>
      </c>
      <c r="U26" s="72">
        <v>11.75</v>
      </c>
      <c r="V26" s="72">
        <v>1</v>
      </c>
      <c r="W26" s="71">
        <v>475339</v>
      </c>
      <c r="X26" s="67">
        <f t="shared" si="12"/>
        <v>475339</v>
      </c>
      <c r="Y26" s="73">
        <f t="shared" si="13"/>
        <v>14.49</v>
      </c>
      <c r="Z26" s="67">
        <f t="shared" si="14"/>
        <v>3553322</v>
      </c>
      <c r="AA26" s="67">
        <f t="shared" si="15"/>
        <v>3807722</v>
      </c>
      <c r="AB26" s="74">
        <f t="shared" si="2"/>
        <v>1.95</v>
      </c>
      <c r="AC26" s="75">
        <f t="shared" si="3"/>
        <v>28.2</v>
      </c>
      <c r="AD26" s="76">
        <f t="shared" si="4"/>
        <v>30.15</v>
      </c>
      <c r="AE26" s="77">
        <f>X26+Q26+[18]Sheet1!$D22</f>
        <v>7361044</v>
      </c>
      <c r="AF26" s="78">
        <v>0.02</v>
      </c>
      <c r="AG26" s="79">
        <v>7260049</v>
      </c>
      <c r="AH26" s="79">
        <v>0</v>
      </c>
      <c r="AI26" s="80">
        <f>AG26+AH26+[18]Sheet1!$G22</f>
        <v>7260049</v>
      </c>
      <c r="AJ26" s="77">
        <v>372278900</v>
      </c>
      <c r="AK26" s="77">
        <f t="shared" si="18"/>
        <v>363002450</v>
      </c>
      <c r="AL26" s="78">
        <f t="shared" si="16"/>
        <v>-2.491801173797387E-2</v>
      </c>
      <c r="AM26" s="77">
        <f t="shared" si="17"/>
        <v>363002450</v>
      </c>
      <c r="AN26" s="68">
        <f t="shared" si="6"/>
        <v>0.02</v>
      </c>
      <c r="AO26" s="68">
        <f t="shared" si="7"/>
        <v>0</v>
      </c>
      <c r="AP26" s="77">
        <v>461912</v>
      </c>
      <c r="AQ26" s="77">
        <f t="shared" si="8"/>
        <v>15083005</v>
      </c>
      <c r="AR26" s="77">
        <f>ROUND(AQ26/'3_Levels 1&amp;2'!C26,2)</f>
        <v>2689.07</v>
      </c>
    </row>
    <row r="27" spans="1:44" ht="15" customHeight="1" x14ac:dyDescent="0.2">
      <c r="A27" s="46">
        <v>21</v>
      </c>
      <c r="B27" s="47" t="s">
        <v>25</v>
      </c>
      <c r="C27" s="48">
        <v>129270178</v>
      </c>
      <c r="D27" s="48">
        <v>29326606</v>
      </c>
      <c r="E27" s="48">
        <f t="shared" si="9"/>
        <v>99943572</v>
      </c>
      <c r="F27" s="48">
        <v>95872261</v>
      </c>
      <c r="G27" s="49">
        <f t="shared" si="10"/>
        <v>4.2465995456183098E-2</v>
      </c>
      <c r="H27" s="50">
        <f t="shared" si="1"/>
        <v>99943572</v>
      </c>
      <c r="I27" s="51">
        <v>4.53</v>
      </c>
      <c r="J27" s="52">
        <v>457789</v>
      </c>
      <c r="K27" s="51">
        <v>20.25</v>
      </c>
      <c r="L27" s="52">
        <v>2002956</v>
      </c>
      <c r="M27" s="53">
        <v>0</v>
      </c>
      <c r="N27" s="53">
        <v>0</v>
      </c>
      <c r="O27" s="53">
        <v>0</v>
      </c>
      <c r="P27" s="52">
        <v>0</v>
      </c>
      <c r="Q27" s="48">
        <f t="shared" si="11"/>
        <v>2460745</v>
      </c>
      <c r="R27" s="54">
        <v>0</v>
      </c>
      <c r="S27" s="52">
        <v>0</v>
      </c>
      <c r="T27" s="53">
        <v>0</v>
      </c>
      <c r="U27" s="53">
        <v>0</v>
      </c>
      <c r="V27" s="53">
        <v>0</v>
      </c>
      <c r="W27" s="52">
        <v>0</v>
      </c>
      <c r="X27" s="48">
        <f t="shared" si="12"/>
        <v>0</v>
      </c>
      <c r="Y27" s="55">
        <f t="shared" si="13"/>
        <v>24.78</v>
      </c>
      <c r="Z27" s="48">
        <f t="shared" si="14"/>
        <v>2460745</v>
      </c>
      <c r="AA27" s="48">
        <f t="shared" si="15"/>
        <v>0</v>
      </c>
      <c r="AB27" s="56">
        <f t="shared" si="2"/>
        <v>0</v>
      </c>
      <c r="AC27" s="57">
        <f t="shared" si="3"/>
        <v>24.62</v>
      </c>
      <c r="AD27" s="58">
        <f t="shared" si="4"/>
        <v>24.62</v>
      </c>
      <c r="AE27" s="59">
        <f>X27+Q27+[18]Sheet1!$D23</f>
        <v>2460745</v>
      </c>
      <c r="AF27" s="60">
        <v>0.02</v>
      </c>
      <c r="AG27" s="61">
        <v>5193625</v>
      </c>
      <c r="AH27" s="61">
        <v>0</v>
      </c>
      <c r="AI27" s="62">
        <f>AG27+AH27+[18]Sheet1!$G23</f>
        <v>5193625</v>
      </c>
      <c r="AJ27" s="59">
        <v>274082800</v>
      </c>
      <c r="AK27" s="59">
        <f t="shared" si="18"/>
        <v>259681250</v>
      </c>
      <c r="AL27" s="63">
        <f t="shared" si="16"/>
        <v>-5.2544523041942071E-2</v>
      </c>
      <c r="AM27" s="64">
        <f t="shared" si="17"/>
        <v>259681250</v>
      </c>
      <c r="AN27" s="49">
        <f t="shared" si="6"/>
        <v>0.02</v>
      </c>
      <c r="AO27" s="49">
        <f t="shared" si="7"/>
        <v>0</v>
      </c>
      <c r="AP27" s="59">
        <v>80058</v>
      </c>
      <c r="AQ27" s="59">
        <f t="shared" si="8"/>
        <v>7734428</v>
      </c>
      <c r="AR27" s="59">
        <f>ROUND(AQ27/'3_Levels 1&amp;2'!C27,2)</f>
        <v>2616.52</v>
      </c>
    </row>
    <row r="28" spans="1:44" ht="15" customHeight="1" x14ac:dyDescent="0.2">
      <c r="A28" s="46">
        <v>22</v>
      </c>
      <c r="B28" s="47" t="s">
        <v>26</v>
      </c>
      <c r="C28" s="48">
        <v>83311363</v>
      </c>
      <c r="D28" s="48">
        <v>32981233</v>
      </c>
      <c r="E28" s="48">
        <f t="shared" si="9"/>
        <v>50330130</v>
      </c>
      <c r="F28" s="48">
        <v>52344770</v>
      </c>
      <c r="G28" s="49">
        <f t="shared" si="10"/>
        <v>-3.8487894779172784E-2</v>
      </c>
      <c r="H28" s="50">
        <f t="shared" si="1"/>
        <v>50330130</v>
      </c>
      <c r="I28" s="51">
        <v>5.63</v>
      </c>
      <c r="J28" s="52">
        <v>282083</v>
      </c>
      <c r="K28" s="51">
        <v>23.06</v>
      </c>
      <c r="L28" s="52">
        <v>1646977</v>
      </c>
      <c r="M28" s="53">
        <v>0</v>
      </c>
      <c r="N28" s="53">
        <v>15.86</v>
      </c>
      <c r="O28" s="53">
        <v>8</v>
      </c>
      <c r="P28" s="52">
        <v>0</v>
      </c>
      <c r="Q28" s="48">
        <f t="shared" si="11"/>
        <v>1929060</v>
      </c>
      <c r="R28" s="53">
        <v>59</v>
      </c>
      <c r="S28" s="52">
        <v>977135</v>
      </c>
      <c r="T28" s="53">
        <v>0</v>
      </c>
      <c r="U28" s="53">
        <v>23</v>
      </c>
      <c r="V28" s="53">
        <v>3</v>
      </c>
      <c r="W28" s="52">
        <v>0</v>
      </c>
      <c r="X28" s="48">
        <f t="shared" si="12"/>
        <v>977135</v>
      </c>
      <c r="Y28" s="55">
        <f t="shared" si="13"/>
        <v>87.69</v>
      </c>
      <c r="Z28" s="48">
        <f t="shared" si="14"/>
        <v>2906195</v>
      </c>
      <c r="AA28" s="48">
        <f t="shared" si="15"/>
        <v>0</v>
      </c>
      <c r="AB28" s="56">
        <f t="shared" si="2"/>
        <v>19.41</v>
      </c>
      <c r="AC28" s="57">
        <f t="shared" si="3"/>
        <v>38.33</v>
      </c>
      <c r="AD28" s="58">
        <f t="shared" si="4"/>
        <v>57.74</v>
      </c>
      <c r="AE28" s="59">
        <f>X28+Q28+[18]Sheet1!$D24</f>
        <v>2906195</v>
      </c>
      <c r="AF28" s="60">
        <v>0.02</v>
      </c>
      <c r="AG28" s="61">
        <v>2487436</v>
      </c>
      <c r="AH28" s="61">
        <v>0</v>
      </c>
      <c r="AI28" s="62">
        <f>AG28+AH28+[18]Sheet1!$G24</f>
        <v>2487436</v>
      </c>
      <c r="AJ28" s="59">
        <v>129922050</v>
      </c>
      <c r="AK28" s="59">
        <f t="shared" si="18"/>
        <v>124371800</v>
      </c>
      <c r="AL28" s="63">
        <f t="shared" si="16"/>
        <v>-4.2719846246268435E-2</v>
      </c>
      <c r="AM28" s="64">
        <f t="shared" si="17"/>
        <v>124371800</v>
      </c>
      <c r="AN28" s="49">
        <f t="shared" si="6"/>
        <v>0.02</v>
      </c>
      <c r="AO28" s="49">
        <f t="shared" si="7"/>
        <v>0</v>
      </c>
      <c r="AP28" s="59">
        <v>333924</v>
      </c>
      <c r="AQ28" s="59">
        <f t="shared" si="8"/>
        <v>5727555</v>
      </c>
      <c r="AR28" s="59">
        <f>ROUND(AQ28/'3_Levels 1&amp;2'!C28,2)</f>
        <v>1964.86</v>
      </c>
    </row>
    <row r="29" spans="1:44" ht="15" customHeight="1" x14ac:dyDescent="0.2">
      <c r="A29" s="46">
        <v>23</v>
      </c>
      <c r="B29" s="47" t="s">
        <v>27</v>
      </c>
      <c r="C29" s="48">
        <v>740847952</v>
      </c>
      <c r="D29" s="48">
        <v>112303330</v>
      </c>
      <c r="E29" s="48">
        <f t="shared" si="9"/>
        <v>628544622</v>
      </c>
      <c r="F29" s="48">
        <v>626744993</v>
      </c>
      <c r="G29" s="49">
        <f t="shared" si="10"/>
        <v>2.8713895126402707E-3</v>
      </c>
      <c r="H29" s="50">
        <f t="shared" si="1"/>
        <v>628544622</v>
      </c>
      <c r="I29" s="51">
        <v>4.47</v>
      </c>
      <c r="J29" s="52">
        <v>2700889</v>
      </c>
      <c r="K29" s="51">
        <v>6.15</v>
      </c>
      <c r="L29" s="52">
        <v>3716564</v>
      </c>
      <c r="M29" s="53">
        <v>0</v>
      </c>
      <c r="N29" s="53">
        <v>0</v>
      </c>
      <c r="O29" s="53">
        <v>0</v>
      </c>
      <c r="P29" s="52">
        <v>0</v>
      </c>
      <c r="Q29" s="48">
        <f t="shared" si="11"/>
        <v>6417453</v>
      </c>
      <c r="R29" s="53">
        <v>21.9</v>
      </c>
      <c r="S29" s="52">
        <v>13228284</v>
      </c>
      <c r="T29" s="53">
        <v>0</v>
      </c>
      <c r="U29" s="53">
        <v>0</v>
      </c>
      <c r="V29" s="53">
        <v>0</v>
      </c>
      <c r="W29" s="52">
        <v>0</v>
      </c>
      <c r="X29" s="48">
        <f t="shared" si="12"/>
        <v>13228284</v>
      </c>
      <c r="Y29" s="55">
        <f t="shared" si="13"/>
        <v>32.519999999999996</v>
      </c>
      <c r="Z29" s="48">
        <f t="shared" si="14"/>
        <v>19645737</v>
      </c>
      <c r="AA29" s="48">
        <f t="shared" si="15"/>
        <v>0</v>
      </c>
      <c r="AB29" s="56">
        <f t="shared" si="2"/>
        <v>21.05</v>
      </c>
      <c r="AC29" s="57">
        <f t="shared" si="3"/>
        <v>10.210000000000001</v>
      </c>
      <c r="AD29" s="58">
        <f t="shared" si="4"/>
        <v>31.26</v>
      </c>
      <c r="AE29" s="59">
        <f>X29+Q29+[18]Sheet1!$D25</f>
        <v>19645737</v>
      </c>
      <c r="AF29" s="60">
        <v>0.02</v>
      </c>
      <c r="AG29" s="61">
        <v>23433835</v>
      </c>
      <c r="AH29" s="61">
        <v>0</v>
      </c>
      <c r="AI29" s="62">
        <f>AG29+AH29+[18]Sheet1!$G25</f>
        <v>23433835</v>
      </c>
      <c r="AJ29" s="59">
        <v>1182835250</v>
      </c>
      <c r="AK29" s="59">
        <f t="shared" si="18"/>
        <v>1171691750</v>
      </c>
      <c r="AL29" s="60">
        <f t="shared" si="16"/>
        <v>-9.4210077016220143E-3</v>
      </c>
      <c r="AM29" s="59">
        <f t="shared" si="17"/>
        <v>1171691750</v>
      </c>
      <c r="AN29" s="49">
        <f t="shared" si="6"/>
        <v>0.02</v>
      </c>
      <c r="AO29" s="49">
        <f t="shared" si="7"/>
        <v>0</v>
      </c>
      <c r="AP29" s="59">
        <v>493778</v>
      </c>
      <c r="AQ29" s="59">
        <f t="shared" si="8"/>
        <v>43573350</v>
      </c>
      <c r="AR29" s="59">
        <f>ROUND(AQ29/'3_Levels 1&amp;2'!C29,2)</f>
        <v>3559.62</v>
      </c>
    </row>
    <row r="30" spans="1:44" ht="15" customHeight="1" x14ac:dyDescent="0.2">
      <c r="A30" s="46">
        <v>24</v>
      </c>
      <c r="B30" s="47" t="s">
        <v>28</v>
      </c>
      <c r="C30" s="48">
        <v>620265705</v>
      </c>
      <c r="D30" s="48">
        <v>48118575</v>
      </c>
      <c r="E30" s="48">
        <f t="shared" si="9"/>
        <v>572147130</v>
      </c>
      <c r="F30" s="48">
        <v>603462355</v>
      </c>
      <c r="G30" s="49">
        <f t="shared" si="10"/>
        <v>-5.1892590715124226E-2</v>
      </c>
      <c r="H30" s="50">
        <f t="shared" si="1"/>
        <v>572147130</v>
      </c>
      <c r="I30" s="51">
        <v>3.49</v>
      </c>
      <c r="J30" s="52">
        <v>1809920</v>
      </c>
      <c r="K30" s="51">
        <v>54.34</v>
      </c>
      <c r="L30" s="52">
        <v>28163413</v>
      </c>
      <c r="M30" s="53">
        <v>0</v>
      </c>
      <c r="N30" s="53">
        <v>0</v>
      </c>
      <c r="O30" s="53">
        <v>0</v>
      </c>
      <c r="P30" s="52">
        <v>0</v>
      </c>
      <c r="Q30" s="48">
        <f t="shared" si="11"/>
        <v>29973333</v>
      </c>
      <c r="R30" s="53">
        <v>0</v>
      </c>
      <c r="S30" s="52">
        <v>3165000</v>
      </c>
      <c r="T30" s="53">
        <v>0</v>
      </c>
      <c r="U30" s="53">
        <v>0</v>
      </c>
      <c r="V30" s="53">
        <v>0</v>
      </c>
      <c r="W30" s="52">
        <v>0</v>
      </c>
      <c r="X30" s="48">
        <f t="shared" si="12"/>
        <v>3165000</v>
      </c>
      <c r="Y30" s="55">
        <f t="shared" si="13"/>
        <v>57.830000000000005</v>
      </c>
      <c r="Z30" s="48">
        <f t="shared" si="14"/>
        <v>33138333</v>
      </c>
      <c r="AA30" s="48">
        <f t="shared" si="15"/>
        <v>0</v>
      </c>
      <c r="AB30" s="56">
        <f t="shared" si="2"/>
        <v>5.53</v>
      </c>
      <c r="AC30" s="57">
        <f t="shared" si="3"/>
        <v>52.39</v>
      </c>
      <c r="AD30" s="58">
        <f t="shared" si="4"/>
        <v>57.92</v>
      </c>
      <c r="AE30" s="59">
        <f>X30+Q30+[18]Sheet1!$D26</f>
        <v>33138333</v>
      </c>
      <c r="AF30" s="60">
        <v>0.02</v>
      </c>
      <c r="AG30" s="61">
        <v>23438516</v>
      </c>
      <c r="AH30" s="61">
        <v>0</v>
      </c>
      <c r="AI30" s="62">
        <f>AG30+AH30+[18]Sheet1!$G26</f>
        <v>23438516</v>
      </c>
      <c r="AJ30" s="59">
        <v>1505137500</v>
      </c>
      <c r="AK30" s="59">
        <f t="shared" si="18"/>
        <v>1171925800</v>
      </c>
      <c r="AL30" s="60">
        <f t="shared" si="16"/>
        <v>-0.22138289691141175</v>
      </c>
      <c r="AM30" s="59">
        <f t="shared" si="17"/>
        <v>1171925800</v>
      </c>
      <c r="AN30" s="49">
        <f t="shared" si="6"/>
        <v>0.02</v>
      </c>
      <c r="AO30" s="49">
        <f t="shared" si="7"/>
        <v>0</v>
      </c>
      <c r="AP30" s="59">
        <v>137752</v>
      </c>
      <c r="AQ30" s="59">
        <f t="shared" si="8"/>
        <v>56714601</v>
      </c>
      <c r="AR30" s="59">
        <f>ROUND(AQ30/'3_Levels 1&amp;2'!C30,2)</f>
        <v>12451.06</v>
      </c>
    </row>
    <row r="31" spans="1:44" ht="15" customHeight="1" x14ac:dyDescent="0.2">
      <c r="A31" s="65">
        <v>25</v>
      </c>
      <c r="B31" s="66" t="s">
        <v>29</v>
      </c>
      <c r="C31" s="67">
        <v>244727840</v>
      </c>
      <c r="D31" s="67">
        <v>20631280</v>
      </c>
      <c r="E31" s="67">
        <f t="shared" si="9"/>
        <v>224096560</v>
      </c>
      <c r="F31" s="67">
        <v>226287680</v>
      </c>
      <c r="G31" s="68">
        <f t="shared" si="10"/>
        <v>-9.6828956839364825E-3</v>
      </c>
      <c r="H31" s="69">
        <f t="shared" si="1"/>
        <v>224096560</v>
      </c>
      <c r="I31" s="70">
        <v>4.9800000000000004</v>
      </c>
      <c r="J31" s="71">
        <v>1080009</v>
      </c>
      <c r="K31" s="70">
        <v>21.05</v>
      </c>
      <c r="L31" s="71">
        <v>4448247</v>
      </c>
      <c r="M31" s="72">
        <v>0</v>
      </c>
      <c r="N31" s="72">
        <v>0</v>
      </c>
      <c r="O31" s="72">
        <v>0</v>
      </c>
      <c r="P31" s="71">
        <v>0</v>
      </c>
      <c r="Q31" s="67">
        <f t="shared" si="11"/>
        <v>5528256</v>
      </c>
      <c r="R31" s="72">
        <v>0</v>
      </c>
      <c r="S31" s="71">
        <v>0</v>
      </c>
      <c r="T31" s="72">
        <v>0</v>
      </c>
      <c r="U31" s="72">
        <v>0</v>
      </c>
      <c r="V31" s="72">
        <v>0</v>
      </c>
      <c r="W31" s="71">
        <v>0</v>
      </c>
      <c r="X31" s="67">
        <f t="shared" si="12"/>
        <v>0</v>
      </c>
      <c r="Y31" s="73">
        <f t="shared" si="13"/>
        <v>26.03</v>
      </c>
      <c r="Z31" s="67">
        <f t="shared" si="14"/>
        <v>5528256</v>
      </c>
      <c r="AA31" s="67">
        <f t="shared" si="15"/>
        <v>0</v>
      </c>
      <c r="AB31" s="74">
        <f t="shared" si="2"/>
        <v>0</v>
      </c>
      <c r="AC31" s="75">
        <f t="shared" si="3"/>
        <v>24.67</v>
      </c>
      <c r="AD31" s="76">
        <f t="shared" si="4"/>
        <v>24.67</v>
      </c>
      <c r="AE31" s="77">
        <f>X31+Q31+[18]Sheet1!$D27</f>
        <v>5528256</v>
      </c>
      <c r="AF31" s="78">
        <v>0.03</v>
      </c>
      <c r="AG31" s="79">
        <v>5785377</v>
      </c>
      <c r="AH31" s="79">
        <v>0</v>
      </c>
      <c r="AI31" s="80">
        <f>AG31+AH31+[18]Sheet1!$G27</f>
        <v>5785377</v>
      </c>
      <c r="AJ31" s="77">
        <v>194253067</v>
      </c>
      <c r="AK31" s="77">
        <f t="shared" si="18"/>
        <v>192845900</v>
      </c>
      <c r="AL31" s="78">
        <f t="shared" si="16"/>
        <v>-7.243988585261308E-3</v>
      </c>
      <c r="AM31" s="77">
        <f t="shared" si="17"/>
        <v>192845900</v>
      </c>
      <c r="AN31" s="68">
        <f t="shared" si="6"/>
        <v>0.03</v>
      </c>
      <c r="AO31" s="68">
        <f t="shared" si="7"/>
        <v>0</v>
      </c>
      <c r="AP31" s="77">
        <v>89565</v>
      </c>
      <c r="AQ31" s="77">
        <f t="shared" si="8"/>
        <v>11403198</v>
      </c>
      <c r="AR31" s="77">
        <f>ROUND(AQ31/'3_Levels 1&amp;2'!C31,2)</f>
        <v>5083.8999999999996</v>
      </c>
    </row>
    <row r="32" spans="1:44" s="81" customFormat="1" ht="15" customHeight="1" x14ac:dyDescent="0.2">
      <c r="A32" s="46">
        <v>26</v>
      </c>
      <c r="B32" s="47" t="s">
        <v>30</v>
      </c>
      <c r="C32" s="48">
        <v>4382747747</v>
      </c>
      <c r="D32" s="48">
        <v>743245360</v>
      </c>
      <c r="E32" s="48">
        <f t="shared" si="9"/>
        <v>3639502387</v>
      </c>
      <c r="F32" s="48">
        <v>3591183716</v>
      </c>
      <c r="G32" s="49">
        <f t="shared" si="10"/>
        <v>1.3454803435625736E-2</v>
      </c>
      <c r="H32" s="50">
        <f t="shared" si="1"/>
        <v>3639502387</v>
      </c>
      <c r="I32" s="51">
        <v>2.91</v>
      </c>
      <c r="J32" s="52">
        <v>4838805</v>
      </c>
      <c r="K32" s="51">
        <v>20</v>
      </c>
      <c r="L32" s="52">
        <v>71128394</v>
      </c>
      <c r="M32" s="53">
        <v>0</v>
      </c>
      <c r="N32" s="53">
        <v>0</v>
      </c>
      <c r="O32" s="53">
        <v>0</v>
      </c>
      <c r="P32" s="52">
        <v>0</v>
      </c>
      <c r="Q32" s="48">
        <f t="shared" si="11"/>
        <v>75967199</v>
      </c>
      <c r="R32" s="54">
        <v>0</v>
      </c>
      <c r="S32" s="52">
        <v>7147599</v>
      </c>
      <c r="T32" s="53">
        <v>0</v>
      </c>
      <c r="U32" s="53">
        <v>0</v>
      </c>
      <c r="V32" s="53">
        <v>0</v>
      </c>
      <c r="W32" s="52">
        <v>0</v>
      </c>
      <c r="X32" s="48">
        <f t="shared" si="12"/>
        <v>7147599</v>
      </c>
      <c r="Y32" s="55">
        <f t="shared" si="13"/>
        <v>22.91</v>
      </c>
      <c r="Z32" s="48">
        <f t="shared" si="14"/>
        <v>83114798</v>
      </c>
      <c r="AA32" s="48">
        <f t="shared" si="15"/>
        <v>0</v>
      </c>
      <c r="AB32" s="56">
        <f t="shared" si="2"/>
        <v>1.96</v>
      </c>
      <c r="AC32" s="57">
        <f t="shared" si="3"/>
        <v>20.87</v>
      </c>
      <c r="AD32" s="58">
        <f t="shared" si="4"/>
        <v>22.84</v>
      </c>
      <c r="AE32" s="59">
        <f>X32+Q32+[18]Sheet1!$D28</f>
        <v>83114798</v>
      </c>
      <c r="AF32" s="60">
        <v>0.02</v>
      </c>
      <c r="AG32" s="61">
        <v>182978522</v>
      </c>
      <c r="AH32" s="61">
        <v>11765275</v>
      </c>
      <c r="AI32" s="62">
        <f>AG32+AH32+[18]Sheet1!$G28</f>
        <v>194743797</v>
      </c>
      <c r="AJ32" s="59">
        <v>9487182600</v>
      </c>
      <c r="AK32" s="59">
        <f t="shared" si="18"/>
        <v>9737189850</v>
      </c>
      <c r="AL32" s="63">
        <f t="shared" si="16"/>
        <v>2.6352106894200603E-2</v>
      </c>
      <c r="AM32" s="64">
        <f t="shared" si="17"/>
        <v>9737189850</v>
      </c>
      <c r="AN32" s="49">
        <f t="shared" si="6"/>
        <v>1.8791717612448525E-2</v>
      </c>
      <c r="AO32" s="49">
        <f t="shared" si="7"/>
        <v>1.2082823875514761E-3</v>
      </c>
      <c r="AP32" s="59">
        <v>1953014</v>
      </c>
      <c r="AQ32" s="59">
        <f t="shared" si="8"/>
        <v>279811609</v>
      </c>
      <c r="AR32" s="59">
        <f>ROUND(AQ32/'3_Levels 1&amp;2'!C32,2)</f>
        <v>5645.8</v>
      </c>
    </row>
    <row r="33" spans="1:44" ht="15" customHeight="1" x14ac:dyDescent="0.2">
      <c r="A33" s="46">
        <v>27</v>
      </c>
      <c r="B33" s="47" t="s">
        <v>31</v>
      </c>
      <c r="C33" s="48">
        <v>267170312</v>
      </c>
      <c r="D33" s="48">
        <v>50499281</v>
      </c>
      <c r="E33" s="48">
        <f t="shared" si="9"/>
        <v>216671031</v>
      </c>
      <c r="F33" s="48">
        <v>214642010</v>
      </c>
      <c r="G33" s="49">
        <f t="shared" si="10"/>
        <v>9.4530469594465687E-3</v>
      </c>
      <c r="H33" s="50">
        <f t="shared" si="1"/>
        <v>216671031</v>
      </c>
      <c r="I33" s="51">
        <v>6.48</v>
      </c>
      <c r="J33" s="52">
        <v>1390343</v>
      </c>
      <c r="K33" s="51">
        <v>10.77</v>
      </c>
      <c r="L33" s="52">
        <v>2310782</v>
      </c>
      <c r="M33" s="53">
        <v>0</v>
      </c>
      <c r="N33" s="53">
        <v>18.91</v>
      </c>
      <c r="O33" s="53">
        <v>7</v>
      </c>
      <c r="P33" s="52">
        <v>2522699</v>
      </c>
      <c r="Q33" s="48">
        <f t="shared" si="11"/>
        <v>6223824</v>
      </c>
      <c r="R33" s="53">
        <v>0</v>
      </c>
      <c r="S33" s="52">
        <v>0</v>
      </c>
      <c r="T33" s="53">
        <v>0</v>
      </c>
      <c r="U33" s="53">
        <v>13.75</v>
      </c>
      <c r="V33" s="53">
        <v>7</v>
      </c>
      <c r="W33" s="52">
        <v>2337656</v>
      </c>
      <c r="X33" s="48">
        <f t="shared" si="12"/>
        <v>2337656</v>
      </c>
      <c r="Y33" s="55">
        <f t="shared" si="13"/>
        <v>17.25</v>
      </c>
      <c r="Z33" s="48">
        <f t="shared" si="14"/>
        <v>3701125</v>
      </c>
      <c r="AA33" s="48">
        <f t="shared" si="15"/>
        <v>4860355</v>
      </c>
      <c r="AB33" s="56">
        <f t="shared" si="2"/>
        <v>10.79</v>
      </c>
      <c r="AC33" s="57">
        <f t="shared" si="3"/>
        <v>28.72</v>
      </c>
      <c r="AD33" s="58">
        <f t="shared" si="4"/>
        <v>39.51</v>
      </c>
      <c r="AE33" s="59">
        <f>X33+Q33+[18]Sheet1!$D29</f>
        <v>8561480</v>
      </c>
      <c r="AF33" s="60">
        <v>2.5000000000000001E-2</v>
      </c>
      <c r="AG33" s="61">
        <v>10220355</v>
      </c>
      <c r="AH33" s="61">
        <v>1429614</v>
      </c>
      <c r="AI33" s="62">
        <f>AG33+AH33+[18]Sheet1!$G29</f>
        <v>11649969</v>
      </c>
      <c r="AJ33" s="59">
        <v>441971800</v>
      </c>
      <c r="AK33" s="59">
        <f t="shared" si="18"/>
        <v>465998760</v>
      </c>
      <c r="AL33" s="63">
        <f t="shared" si="16"/>
        <v>5.4363106424437035E-2</v>
      </c>
      <c r="AM33" s="64">
        <f t="shared" si="17"/>
        <v>465998760</v>
      </c>
      <c r="AN33" s="49">
        <f t="shared" si="6"/>
        <v>2.193215063490727E-2</v>
      </c>
      <c r="AO33" s="49">
        <f t="shared" si="7"/>
        <v>3.0678493650927313E-3</v>
      </c>
      <c r="AP33" s="59">
        <v>320203</v>
      </c>
      <c r="AQ33" s="59">
        <f t="shared" si="8"/>
        <v>20531652</v>
      </c>
      <c r="AR33" s="59">
        <f>ROUND(AQ33/'3_Levels 1&amp;2'!C33,2)</f>
        <v>3712.78</v>
      </c>
    </row>
    <row r="34" spans="1:44" ht="15" customHeight="1" x14ac:dyDescent="0.2">
      <c r="A34" s="46">
        <v>28</v>
      </c>
      <c r="B34" s="47" t="s">
        <v>32</v>
      </c>
      <c r="C34" s="48">
        <v>2665288645</v>
      </c>
      <c r="D34" s="48">
        <v>388335004</v>
      </c>
      <c r="E34" s="48">
        <f t="shared" si="9"/>
        <v>2276953641</v>
      </c>
      <c r="F34" s="48">
        <v>2259086547</v>
      </c>
      <c r="G34" s="49">
        <f t="shared" si="10"/>
        <v>7.9089904827802943E-3</v>
      </c>
      <c r="H34" s="50">
        <f t="shared" si="1"/>
        <v>2276953641</v>
      </c>
      <c r="I34" s="51">
        <v>4.59</v>
      </c>
      <c r="J34" s="52">
        <v>9955983</v>
      </c>
      <c r="K34" s="51">
        <v>28.97</v>
      </c>
      <c r="L34" s="52">
        <v>62969140</v>
      </c>
      <c r="M34" s="53">
        <v>0</v>
      </c>
      <c r="N34" s="53">
        <v>0</v>
      </c>
      <c r="O34" s="53">
        <v>0</v>
      </c>
      <c r="P34" s="52">
        <v>0</v>
      </c>
      <c r="Q34" s="48">
        <f t="shared" si="11"/>
        <v>72925123</v>
      </c>
      <c r="R34" s="53">
        <v>0</v>
      </c>
      <c r="S34" s="52">
        <v>0</v>
      </c>
      <c r="T34" s="53">
        <v>0</v>
      </c>
      <c r="U34" s="53">
        <v>0</v>
      </c>
      <c r="V34" s="53">
        <v>0</v>
      </c>
      <c r="W34" s="52">
        <v>0</v>
      </c>
      <c r="X34" s="48">
        <f t="shared" si="12"/>
        <v>0</v>
      </c>
      <c r="Y34" s="55">
        <f t="shared" si="13"/>
        <v>33.56</v>
      </c>
      <c r="Z34" s="48">
        <f t="shared" si="14"/>
        <v>72925123</v>
      </c>
      <c r="AA34" s="48">
        <f t="shared" si="15"/>
        <v>0</v>
      </c>
      <c r="AB34" s="56">
        <f t="shared" si="2"/>
        <v>0</v>
      </c>
      <c r="AC34" s="57">
        <f t="shared" si="3"/>
        <v>32.03</v>
      </c>
      <c r="AD34" s="58">
        <f t="shared" si="4"/>
        <v>32.03</v>
      </c>
      <c r="AE34" s="59">
        <f>X34+Q34+[18]Sheet1!$D30</f>
        <v>72925123</v>
      </c>
      <c r="AF34" s="60">
        <v>0.02</v>
      </c>
      <c r="AG34" s="61">
        <v>105935403</v>
      </c>
      <c r="AH34" s="61">
        <v>7482321</v>
      </c>
      <c r="AI34" s="62">
        <f>AG34+AH34+[18]Sheet1!$G30</f>
        <v>113417724</v>
      </c>
      <c r="AJ34" s="59">
        <v>5602427550</v>
      </c>
      <c r="AK34" s="59">
        <f t="shared" si="18"/>
        <v>5670886200</v>
      </c>
      <c r="AL34" s="60">
        <f t="shared" si="16"/>
        <v>1.2219461900939709E-2</v>
      </c>
      <c r="AM34" s="59">
        <f t="shared" si="17"/>
        <v>5670886200</v>
      </c>
      <c r="AN34" s="49">
        <f t="shared" si="6"/>
        <v>1.8680572888237469E-2</v>
      </c>
      <c r="AO34" s="49">
        <f t="shared" si="7"/>
        <v>1.3194271117625319E-3</v>
      </c>
      <c r="AP34" s="59">
        <v>2390590</v>
      </c>
      <c r="AQ34" s="59">
        <f t="shared" si="8"/>
        <v>188733437</v>
      </c>
      <c r="AR34" s="59">
        <f>ROUND(AQ34/'3_Levels 1&amp;2'!C34,2)</f>
        <v>5791.68</v>
      </c>
    </row>
    <row r="35" spans="1:44" ht="15" customHeight="1" x14ac:dyDescent="0.2">
      <c r="A35" s="46">
        <v>29</v>
      </c>
      <c r="B35" s="47" t="s">
        <v>33</v>
      </c>
      <c r="C35" s="48">
        <v>1133345149</v>
      </c>
      <c r="D35" s="48">
        <v>174020751</v>
      </c>
      <c r="E35" s="48">
        <f t="shared" si="9"/>
        <v>959324398</v>
      </c>
      <c r="F35" s="48">
        <v>1063044930</v>
      </c>
      <c r="G35" s="49">
        <f t="shared" si="10"/>
        <v>-9.7569283360393805E-2</v>
      </c>
      <c r="H35" s="50">
        <f t="shared" si="1"/>
        <v>959324398</v>
      </c>
      <c r="I35" s="51">
        <v>3.63</v>
      </c>
      <c r="J35" s="52">
        <v>3434936</v>
      </c>
      <c r="K35" s="51">
        <v>28.47</v>
      </c>
      <c r="L35" s="52">
        <v>26913117</v>
      </c>
      <c r="M35" s="53">
        <v>0</v>
      </c>
      <c r="N35" s="53">
        <v>0</v>
      </c>
      <c r="O35" s="53">
        <v>0</v>
      </c>
      <c r="P35" s="52">
        <v>0</v>
      </c>
      <c r="Q35" s="48">
        <f t="shared" si="11"/>
        <v>30348053</v>
      </c>
      <c r="R35" s="53">
        <v>11.2</v>
      </c>
      <c r="S35" s="52">
        <v>10598148</v>
      </c>
      <c r="T35" s="53">
        <v>0</v>
      </c>
      <c r="U35" s="53">
        <v>0</v>
      </c>
      <c r="V35" s="53">
        <v>0</v>
      </c>
      <c r="W35" s="52">
        <v>0</v>
      </c>
      <c r="X35" s="48">
        <f t="shared" si="12"/>
        <v>10598148</v>
      </c>
      <c r="Y35" s="55">
        <f t="shared" si="13"/>
        <v>43.3</v>
      </c>
      <c r="Z35" s="48">
        <f t="shared" si="14"/>
        <v>40946201</v>
      </c>
      <c r="AA35" s="48">
        <f t="shared" si="15"/>
        <v>0</v>
      </c>
      <c r="AB35" s="56">
        <f t="shared" si="2"/>
        <v>11.05</v>
      </c>
      <c r="AC35" s="57">
        <f t="shared" si="3"/>
        <v>31.63</v>
      </c>
      <c r="AD35" s="58">
        <f t="shared" si="4"/>
        <v>42.71</v>
      </c>
      <c r="AE35" s="59">
        <f>X35+Q35+[18]Sheet1!$D31</f>
        <v>40973202</v>
      </c>
      <c r="AF35" s="60">
        <v>0.02</v>
      </c>
      <c r="AG35" s="61">
        <v>29935106</v>
      </c>
      <c r="AH35" s="61">
        <v>0</v>
      </c>
      <c r="AI35" s="62">
        <f>AG35+AH35+[18]Sheet1!$G31</f>
        <v>29935106</v>
      </c>
      <c r="AJ35" s="59">
        <v>1372600700</v>
      </c>
      <c r="AK35" s="59">
        <f t="shared" si="18"/>
        <v>1496755300</v>
      </c>
      <c r="AL35" s="60">
        <f t="shared" si="16"/>
        <v>9.0452088506147485E-2</v>
      </c>
      <c r="AM35" s="59">
        <f t="shared" si="17"/>
        <v>1496755300</v>
      </c>
      <c r="AN35" s="49">
        <f t="shared" si="6"/>
        <v>0.02</v>
      </c>
      <c r="AO35" s="49">
        <f t="shared" si="7"/>
        <v>0</v>
      </c>
      <c r="AP35" s="59">
        <v>471914</v>
      </c>
      <c r="AQ35" s="59">
        <f t="shared" si="8"/>
        <v>71380222</v>
      </c>
      <c r="AR35" s="59">
        <f>ROUND(AQ35/'3_Levels 1&amp;2'!C35,2)</f>
        <v>5119.0600000000004</v>
      </c>
    </row>
    <row r="36" spans="1:44" ht="15" customHeight="1" x14ac:dyDescent="0.2">
      <c r="A36" s="65">
        <v>30</v>
      </c>
      <c r="B36" s="66" t="s">
        <v>34</v>
      </c>
      <c r="C36" s="67">
        <v>100903970</v>
      </c>
      <c r="D36" s="67">
        <v>22176260</v>
      </c>
      <c r="E36" s="67">
        <f t="shared" si="9"/>
        <v>78727710</v>
      </c>
      <c r="F36" s="67">
        <v>76901570</v>
      </c>
      <c r="G36" s="68">
        <f t="shared" si="10"/>
        <v>2.3746459272548013E-2</v>
      </c>
      <c r="H36" s="69">
        <f t="shared" si="1"/>
        <v>78727710</v>
      </c>
      <c r="I36" s="70">
        <v>4.54</v>
      </c>
      <c r="J36" s="71">
        <v>351532</v>
      </c>
      <c r="K36" s="70">
        <v>39.75</v>
      </c>
      <c r="L36" s="71">
        <v>3090408</v>
      </c>
      <c r="M36" s="72">
        <v>0</v>
      </c>
      <c r="N36" s="72">
        <v>0</v>
      </c>
      <c r="O36" s="72">
        <v>0</v>
      </c>
      <c r="P36" s="71">
        <v>0</v>
      </c>
      <c r="Q36" s="67">
        <f t="shared" si="11"/>
        <v>3441940</v>
      </c>
      <c r="R36" s="72"/>
      <c r="S36" s="71"/>
      <c r="T36" s="72"/>
      <c r="U36" s="72"/>
      <c r="V36" s="72"/>
      <c r="W36" s="71"/>
      <c r="X36" s="67">
        <f t="shared" si="12"/>
        <v>0</v>
      </c>
      <c r="Y36" s="73">
        <f t="shared" si="13"/>
        <v>44.29</v>
      </c>
      <c r="Z36" s="67">
        <f t="shared" si="14"/>
        <v>3441940</v>
      </c>
      <c r="AA36" s="67">
        <f t="shared" si="15"/>
        <v>0</v>
      </c>
      <c r="AB36" s="74">
        <f t="shared" si="2"/>
        <v>0</v>
      </c>
      <c r="AC36" s="75">
        <f t="shared" si="3"/>
        <v>43.72</v>
      </c>
      <c r="AD36" s="76">
        <f t="shared" si="4"/>
        <v>43.72</v>
      </c>
      <c r="AE36" s="77">
        <f>X36+Q36+[18]Sheet1!$D32</f>
        <v>3441940</v>
      </c>
      <c r="AF36" s="78">
        <v>0.03</v>
      </c>
      <c r="AG36" s="79">
        <v>5607321</v>
      </c>
      <c r="AH36" s="79">
        <v>1455424</v>
      </c>
      <c r="AI36" s="80">
        <f>AG36+AH36+[18]Sheet1!$G32</f>
        <v>7062745</v>
      </c>
      <c r="AJ36" s="77">
        <v>214821133</v>
      </c>
      <c r="AK36" s="77">
        <f t="shared" si="18"/>
        <v>235424833</v>
      </c>
      <c r="AL36" s="78">
        <f t="shared" si="16"/>
        <v>9.5910954905912352E-2</v>
      </c>
      <c r="AM36" s="77">
        <f t="shared" si="17"/>
        <v>235424833</v>
      </c>
      <c r="AN36" s="68">
        <f t="shared" si="6"/>
        <v>2.381788245762502E-2</v>
      </c>
      <c r="AO36" s="68">
        <f t="shared" si="7"/>
        <v>6.1821175848513826E-3</v>
      </c>
      <c r="AP36" s="77">
        <v>75988</v>
      </c>
      <c r="AQ36" s="77">
        <f t="shared" si="8"/>
        <v>10580673</v>
      </c>
      <c r="AR36" s="77">
        <f>ROUND(AQ36/'3_Levels 1&amp;2'!C36,2)</f>
        <v>4271.57</v>
      </c>
    </row>
    <row r="37" spans="1:44" ht="15" customHeight="1" x14ac:dyDescent="0.2">
      <c r="A37" s="46">
        <v>31</v>
      </c>
      <c r="B37" s="47" t="s">
        <v>35</v>
      </c>
      <c r="C37" s="48">
        <v>512766680</v>
      </c>
      <c r="D37" s="48">
        <v>58144746</v>
      </c>
      <c r="E37" s="48">
        <f t="shared" si="9"/>
        <v>454621934</v>
      </c>
      <c r="F37" s="48">
        <v>455174766</v>
      </c>
      <c r="G37" s="49">
        <f t="shared" si="10"/>
        <v>-1.2145488750578059E-3</v>
      </c>
      <c r="H37" s="50">
        <f t="shared" si="1"/>
        <v>454621934</v>
      </c>
      <c r="I37" s="51">
        <v>3.91</v>
      </c>
      <c r="J37" s="52">
        <v>1774921</v>
      </c>
      <c r="K37" s="51">
        <v>26.45</v>
      </c>
      <c r="L37" s="52">
        <v>12006642</v>
      </c>
      <c r="M37" s="53">
        <v>0</v>
      </c>
      <c r="N37" s="53">
        <v>3.25</v>
      </c>
      <c r="O37" s="53">
        <v>4</v>
      </c>
      <c r="P37" s="52">
        <v>1139986</v>
      </c>
      <c r="Q37" s="48">
        <f t="shared" si="11"/>
        <v>14921549</v>
      </c>
      <c r="R37" s="54">
        <v>0</v>
      </c>
      <c r="S37" s="52">
        <v>0</v>
      </c>
      <c r="T37" s="53">
        <v>0</v>
      </c>
      <c r="U37" s="53">
        <v>18</v>
      </c>
      <c r="V37" s="53">
        <v>4</v>
      </c>
      <c r="W37" s="52">
        <v>4515196</v>
      </c>
      <c r="X37" s="48">
        <f t="shared" si="12"/>
        <v>4515196</v>
      </c>
      <c r="Y37" s="55">
        <f t="shared" si="13"/>
        <v>30.36</v>
      </c>
      <c r="Z37" s="48">
        <f t="shared" si="14"/>
        <v>13781563</v>
      </c>
      <c r="AA37" s="48">
        <f t="shared" si="15"/>
        <v>5655182</v>
      </c>
      <c r="AB37" s="56">
        <f t="shared" si="2"/>
        <v>9.93</v>
      </c>
      <c r="AC37" s="57">
        <f t="shared" si="3"/>
        <v>32.82</v>
      </c>
      <c r="AD37" s="58">
        <f t="shared" si="4"/>
        <v>42.75</v>
      </c>
      <c r="AE37" s="59">
        <f>X37+Q37+[18]Sheet1!$D33</f>
        <v>19436745</v>
      </c>
      <c r="AF37" s="60">
        <v>0.02</v>
      </c>
      <c r="AG37" s="61">
        <v>19929634</v>
      </c>
      <c r="AH37" s="61">
        <v>0</v>
      </c>
      <c r="AI37" s="62">
        <f>AG37+AH37+[18]Sheet1!$G33</f>
        <v>19766667</v>
      </c>
      <c r="AJ37" s="59">
        <v>960787200</v>
      </c>
      <c r="AK37" s="59">
        <f t="shared" si="18"/>
        <v>988333350</v>
      </c>
      <c r="AL37" s="63">
        <f t="shared" si="16"/>
        <v>2.8670396524849623E-2</v>
      </c>
      <c r="AM37" s="64">
        <f t="shared" si="17"/>
        <v>988333350</v>
      </c>
      <c r="AN37" s="49">
        <f t="shared" si="6"/>
        <v>2.0164890722345855E-2</v>
      </c>
      <c r="AO37" s="49">
        <f t="shared" si="7"/>
        <v>0</v>
      </c>
      <c r="AP37" s="59">
        <v>389408</v>
      </c>
      <c r="AQ37" s="59">
        <f t="shared" si="8"/>
        <v>39592820</v>
      </c>
      <c r="AR37" s="59">
        <f>ROUND(AQ37/'3_Levels 1&amp;2'!C37,2)</f>
        <v>6391.09</v>
      </c>
    </row>
    <row r="38" spans="1:44" ht="15" customHeight="1" x14ac:dyDescent="0.2">
      <c r="A38" s="46">
        <v>32</v>
      </c>
      <c r="B38" s="47" t="s">
        <v>36</v>
      </c>
      <c r="C38" s="48">
        <v>754188085</v>
      </c>
      <c r="D38" s="48">
        <v>240227447</v>
      </c>
      <c r="E38" s="48">
        <f t="shared" si="9"/>
        <v>513960638</v>
      </c>
      <c r="F38" s="48">
        <v>494419412</v>
      </c>
      <c r="G38" s="49">
        <f t="shared" si="10"/>
        <v>3.95235816509567E-2</v>
      </c>
      <c r="H38" s="50">
        <f t="shared" si="1"/>
        <v>513960638</v>
      </c>
      <c r="I38" s="51">
        <v>3.29</v>
      </c>
      <c r="J38" s="52">
        <v>1672906</v>
      </c>
      <c r="K38" s="51">
        <v>19.18</v>
      </c>
      <c r="L38" s="52">
        <v>9752630</v>
      </c>
      <c r="M38" s="53">
        <v>0</v>
      </c>
      <c r="N38" s="53">
        <v>0</v>
      </c>
      <c r="O38" s="53">
        <v>0</v>
      </c>
      <c r="P38" s="52">
        <v>0</v>
      </c>
      <c r="Q38" s="48">
        <f t="shared" si="11"/>
        <v>11425536</v>
      </c>
      <c r="R38" s="53">
        <v>0</v>
      </c>
      <c r="S38" s="52">
        <v>0</v>
      </c>
      <c r="T38" s="53">
        <v>0</v>
      </c>
      <c r="U38" s="53">
        <v>18.170000000000002</v>
      </c>
      <c r="V38" s="53">
        <v>10</v>
      </c>
      <c r="W38" s="52">
        <v>6658474</v>
      </c>
      <c r="X38" s="48">
        <f t="shared" si="12"/>
        <v>6658474</v>
      </c>
      <c r="Y38" s="55">
        <f t="shared" si="13"/>
        <v>22.47</v>
      </c>
      <c r="Z38" s="48">
        <f t="shared" si="14"/>
        <v>11425536</v>
      </c>
      <c r="AA38" s="48">
        <f t="shared" si="15"/>
        <v>6658474</v>
      </c>
      <c r="AB38" s="56">
        <f t="shared" si="2"/>
        <v>12.96</v>
      </c>
      <c r="AC38" s="57">
        <f t="shared" si="3"/>
        <v>22.23</v>
      </c>
      <c r="AD38" s="58">
        <f t="shared" si="4"/>
        <v>35.19</v>
      </c>
      <c r="AE38" s="59">
        <f>X38+Q38+[18]Sheet1!$D34</f>
        <v>18084010</v>
      </c>
      <c r="AF38" s="60">
        <v>2.5000000000000001E-2</v>
      </c>
      <c r="AG38" s="61">
        <v>48372400</v>
      </c>
      <c r="AH38" s="61">
        <v>2086800</v>
      </c>
      <c r="AI38" s="62">
        <f>AG38+AH38+[18]Sheet1!$G34</f>
        <v>50459200</v>
      </c>
      <c r="AJ38" s="59">
        <v>2324846800</v>
      </c>
      <c r="AK38" s="59">
        <f t="shared" si="18"/>
        <v>2018368000</v>
      </c>
      <c r="AL38" s="63">
        <f t="shared" si="16"/>
        <v>-0.1318275251513347</v>
      </c>
      <c r="AM38" s="64">
        <f t="shared" si="17"/>
        <v>2018368000</v>
      </c>
      <c r="AN38" s="49">
        <f t="shared" si="6"/>
        <v>2.3966095380029806E-2</v>
      </c>
      <c r="AO38" s="49">
        <f t="shared" si="7"/>
        <v>1.0339046199701937E-3</v>
      </c>
      <c r="AP38" s="59">
        <v>986735</v>
      </c>
      <c r="AQ38" s="59">
        <f t="shared" si="8"/>
        <v>69529945</v>
      </c>
      <c r="AR38" s="59">
        <f>ROUND(AQ38/'3_Levels 1&amp;2'!C38,2)</f>
        <v>2729.77</v>
      </c>
    </row>
    <row r="39" spans="1:44" ht="15" customHeight="1" x14ac:dyDescent="0.2">
      <c r="A39" s="46">
        <v>33</v>
      </c>
      <c r="B39" s="47" t="s">
        <v>37</v>
      </c>
      <c r="C39" s="48">
        <v>120013551</v>
      </c>
      <c r="D39" s="48">
        <v>10654301</v>
      </c>
      <c r="E39" s="48">
        <f t="shared" si="9"/>
        <v>109359250</v>
      </c>
      <c r="F39" s="48">
        <v>111158810</v>
      </c>
      <c r="G39" s="49">
        <f t="shared" si="10"/>
        <v>-1.6189090185474278E-2</v>
      </c>
      <c r="H39" s="50">
        <f t="shared" ref="H39:H75" si="19">IF((E39-F39)/F39&gt;$H$3,F39*(1+$H$3),E39)</f>
        <v>109359250</v>
      </c>
      <c r="I39" s="51">
        <v>4.58</v>
      </c>
      <c r="J39" s="52">
        <v>499618</v>
      </c>
      <c r="K39" s="51">
        <v>5.25</v>
      </c>
      <c r="L39" s="52">
        <v>572708</v>
      </c>
      <c r="M39" s="53">
        <v>0</v>
      </c>
      <c r="N39" s="53">
        <v>0</v>
      </c>
      <c r="O39" s="53">
        <v>0</v>
      </c>
      <c r="P39" s="52">
        <v>0</v>
      </c>
      <c r="Q39" s="48">
        <f t="shared" si="11"/>
        <v>1072326</v>
      </c>
      <c r="R39" s="53">
        <v>12</v>
      </c>
      <c r="S39" s="52">
        <v>1309044</v>
      </c>
      <c r="T39" s="53">
        <v>0</v>
      </c>
      <c r="U39" s="53">
        <v>0</v>
      </c>
      <c r="V39" s="53">
        <v>0</v>
      </c>
      <c r="W39" s="52">
        <v>0</v>
      </c>
      <c r="X39" s="48">
        <f t="shared" si="12"/>
        <v>1309044</v>
      </c>
      <c r="Y39" s="55">
        <f t="shared" si="13"/>
        <v>21.83</v>
      </c>
      <c r="Z39" s="48">
        <f t="shared" si="14"/>
        <v>2381370</v>
      </c>
      <c r="AA39" s="48">
        <f t="shared" si="15"/>
        <v>0</v>
      </c>
      <c r="AB39" s="56">
        <f t="shared" ref="AB39:AB70" si="20">ROUND((X39/E39)*1000,2)</f>
        <v>11.97</v>
      </c>
      <c r="AC39" s="57">
        <f t="shared" ref="AC39:AC70" si="21">ROUND((Q39/E39)*1000,2)</f>
        <v>9.81</v>
      </c>
      <c r="AD39" s="58">
        <f t="shared" ref="AD39:AD70" si="22">ROUND((AE39/E39)*1000,2)</f>
        <v>21.78</v>
      </c>
      <c r="AE39" s="59">
        <f>X39+Q39+[18]Sheet1!$D35</f>
        <v>2381370</v>
      </c>
      <c r="AF39" s="60">
        <v>2.5000000000000001E-2</v>
      </c>
      <c r="AG39" s="61">
        <v>2063451</v>
      </c>
      <c r="AH39" s="61">
        <v>1279126</v>
      </c>
      <c r="AI39" s="62">
        <f>AG39+AH39+[18]Sheet1!$G35</f>
        <v>3342577</v>
      </c>
      <c r="AJ39" s="59">
        <v>142580840</v>
      </c>
      <c r="AK39" s="59">
        <f t="shared" si="18"/>
        <v>133703080</v>
      </c>
      <c r="AL39" s="60">
        <f t="shared" si="16"/>
        <v>-6.2264747493421979E-2</v>
      </c>
      <c r="AM39" s="59">
        <f t="shared" si="17"/>
        <v>133703080</v>
      </c>
      <c r="AN39" s="49">
        <f t="shared" ref="AN39:AN75" si="23">AG39/AK39</f>
        <v>1.5433085011953352E-2</v>
      </c>
      <c r="AO39" s="49">
        <f t="shared" ref="AO39:AO75" si="24">AH39/AK39</f>
        <v>9.5669149880466473E-3</v>
      </c>
      <c r="AP39" s="59">
        <v>45847</v>
      </c>
      <c r="AQ39" s="59">
        <f t="shared" ref="AQ39:AQ70" si="25">AP39+AE39+AI39</f>
        <v>5769794</v>
      </c>
      <c r="AR39" s="59">
        <f>ROUND(AQ39/'3_Levels 1&amp;2'!C39,2)</f>
        <v>3776.04</v>
      </c>
    </row>
    <row r="40" spans="1:44" ht="15" customHeight="1" x14ac:dyDescent="0.2">
      <c r="A40" s="46">
        <v>34</v>
      </c>
      <c r="B40" s="47" t="s">
        <v>38</v>
      </c>
      <c r="C40" s="48">
        <v>181368227</v>
      </c>
      <c r="D40" s="48">
        <v>35728007</v>
      </c>
      <c r="E40" s="48">
        <f t="shared" si="9"/>
        <v>145640220</v>
      </c>
      <c r="F40" s="48">
        <v>143624727</v>
      </c>
      <c r="G40" s="49">
        <f t="shared" si="10"/>
        <v>1.4033050172481789E-2</v>
      </c>
      <c r="H40" s="50">
        <f t="shared" si="19"/>
        <v>145640220</v>
      </c>
      <c r="I40" s="51">
        <v>5.96</v>
      </c>
      <c r="J40" s="52">
        <v>853877</v>
      </c>
      <c r="K40" s="51">
        <v>22.46</v>
      </c>
      <c r="L40" s="52">
        <v>3218233</v>
      </c>
      <c r="M40" s="53">
        <v>0</v>
      </c>
      <c r="N40" s="53">
        <v>10</v>
      </c>
      <c r="O40" s="53">
        <v>0</v>
      </c>
      <c r="P40" s="52">
        <v>594311</v>
      </c>
      <c r="Q40" s="48">
        <f t="shared" si="11"/>
        <v>4666421</v>
      </c>
      <c r="R40" s="53">
        <v>6</v>
      </c>
      <c r="S40" s="52">
        <v>859961</v>
      </c>
      <c r="T40" s="53">
        <v>0</v>
      </c>
      <c r="U40" s="53">
        <v>0</v>
      </c>
      <c r="V40" s="53">
        <v>0</v>
      </c>
      <c r="W40" s="52">
        <v>0</v>
      </c>
      <c r="X40" s="48">
        <f t="shared" si="12"/>
        <v>859961</v>
      </c>
      <c r="Y40" s="55">
        <f t="shared" si="13"/>
        <v>34.42</v>
      </c>
      <c r="Z40" s="48">
        <f t="shared" si="14"/>
        <v>4932071</v>
      </c>
      <c r="AA40" s="48">
        <f t="shared" si="15"/>
        <v>594311</v>
      </c>
      <c r="AB40" s="56">
        <f t="shared" si="20"/>
        <v>5.9</v>
      </c>
      <c r="AC40" s="57">
        <f t="shared" si="21"/>
        <v>32.04</v>
      </c>
      <c r="AD40" s="58">
        <f t="shared" si="22"/>
        <v>37.950000000000003</v>
      </c>
      <c r="AE40" s="59">
        <f>X40+Q40+[18]Sheet1!$D36</f>
        <v>5526382</v>
      </c>
      <c r="AF40" s="60">
        <v>0.02</v>
      </c>
      <c r="AG40" s="61">
        <v>5995560</v>
      </c>
      <c r="AH40" s="61">
        <v>0</v>
      </c>
      <c r="AI40" s="62">
        <f>AG40+AH40+[18]Sheet1!$G36</f>
        <v>5995560</v>
      </c>
      <c r="AJ40" s="59">
        <v>329437600</v>
      </c>
      <c r="AK40" s="59">
        <f t="shared" si="18"/>
        <v>299778000</v>
      </c>
      <c r="AL40" s="60">
        <f t="shared" si="16"/>
        <v>-9.0031010425039526E-2</v>
      </c>
      <c r="AM40" s="59">
        <f t="shared" si="17"/>
        <v>299778000</v>
      </c>
      <c r="AN40" s="49">
        <f t="shared" si="23"/>
        <v>0.02</v>
      </c>
      <c r="AO40" s="49">
        <f t="shared" si="24"/>
        <v>0</v>
      </c>
      <c r="AP40" s="59">
        <v>209484</v>
      </c>
      <c r="AQ40" s="59">
        <f t="shared" si="25"/>
        <v>11731426</v>
      </c>
      <c r="AR40" s="59">
        <f>ROUND(AQ40/'3_Levels 1&amp;2'!C40,2)</f>
        <v>3169.8</v>
      </c>
    </row>
    <row r="41" spans="1:44" ht="15" customHeight="1" x14ac:dyDescent="0.2">
      <c r="A41" s="65">
        <v>35</v>
      </c>
      <c r="B41" s="66" t="s">
        <v>39</v>
      </c>
      <c r="C41" s="67">
        <v>393018744</v>
      </c>
      <c r="D41" s="67">
        <v>52832091</v>
      </c>
      <c r="E41" s="67">
        <f t="shared" si="9"/>
        <v>340186653</v>
      </c>
      <c r="F41" s="67">
        <v>337879825</v>
      </c>
      <c r="G41" s="68">
        <f t="shared" si="10"/>
        <v>6.8273623617509565E-3</v>
      </c>
      <c r="H41" s="69">
        <f t="shared" si="19"/>
        <v>340186653</v>
      </c>
      <c r="I41" s="70">
        <v>4.6500000000000004</v>
      </c>
      <c r="J41" s="71">
        <v>1514942</v>
      </c>
      <c r="K41" s="70">
        <v>7</v>
      </c>
      <c r="L41" s="71">
        <v>2280556</v>
      </c>
      <c r="M41" s="72">
        <v>0</v>
      </c>
      <c r="N41" s="72">
        <v>20</v>
      </c>
      <c r="O41" s="72">
        <v>5</v>
      </c>
      <c r="P41" s="71">
        <v>3400224</v>
      </c>
      <c r="Q41" s="67">
        <f t="shared" si="11"/>
        <v>7195722</v>
      </c>
      <c r="R41" s="72">
        <v>0</v>
      </c>
      <c r="S41" s="71">
        <v>0</v>
      </c>
      <c r="T41" s="72">
        <v>0</v>
      </c>
      <c r="U41" s="72">
        <v>33</v>
      </c>
      <c r="V41" s="72">
        <v>3</v>
      </c>
      <c r="W41" s="71">
        <v>853693</v>
      </c>
      <c r="X41" s="67">
        <f t="shared" si="12"/>
        <v>853693</v>
      </c>
      <c r="Y41" s="73">
        <f t="shared" si="13"/>
        <v>11.65</v>
      </c>
      <c r="Z41" s="67">
        <f t="shared" si="14"/>
        <v>3795498</v>
      </c>
      <c r="AA41" s="67">
        <f t="shared" si="15"/>
        <v>4253917</v>
      </c>
      <c r="AB41" s="74">
        <f t="shared" si="20"/>
        <v>2.5099999999999998</v>
      </c>
      <c r="AC41" s="75">
        <f t="shared" si="21"/>
        <v>21.15</v>
      </c>
      <c r="AD41" s="76">
        <f t="shared" si="22"/>
        <v>23.66</v>
      </c>
      <c r="AE41" s="77">
        <f>X41+Q41+[18]Sheet1!$D37</f>
        <v>8049415</v>
      </c>
      <c r="AF41" s="78">
        <v>2.5000000000000001E-2</v>
      </c>
      <c r="AG41" s="79">
        <v>15434082</v>
      </c>
      <c r="AH41" s="79">
        <v>0</v>
      </c>
      <c r="AI41" s="80">
        <f>AG41+AH41+[18]Sheet1!$G37</f>
        <v>15434082</v>
      </c>
      <c r="AJ41" s="77">
        <v>623469800</v>
      </c>
      <c r="AK41" s="77">
        <f t="shared" si="18"/>
        <v>617363280</v>
      </c>
      <c r="AL41" s="78">
        <f t="shared" si="16"/>
        <v>-9.7944118544314417E-3</v>
      </c>
      <c r="AM41" s="77">
        <f t="shared" si="17"/>
        <v>617363280</v>
      </c>
      <c r="AN41" s="68">
        <f t="shared" si="23"/>
        <v>2.5000000000000001E-2</v>
      </c>
      <c r="AO41" s="68">
        <f t="shared" si="24"/>
        <v>0</v>
      </c>
      <c r="AP41" s="77">
        <v>699789</v>
      </c>
      <c r="AQ41" s="77">
        <f t="shared" si="25"/>
        <v>24183286</v>
      </c>
      <c r="AR41" s="77">
        <f>ROUND(AQ41/'3_Levels 1&amp;2'!C41,2)</f>
        <v>4168.8100000000004</v>
      </c>
    </row>
    <row r="42" spans="1:44" ht="15" customHeight="1" x14ac:dyDescent="0.2">
      <c r="A42" s="46">
        <v>36</v>
      </c>
      <c r="B42" s="47" t="s">
        <v>40</v>
      </c>
      <c r="C42" s="48">
        <v>4263950700</v>
      </c>
      <c r="D42" s="48">
        <v>474928030</v>
      </c>
      <c r="E42" s="48">
        <f t="shared" si="9"/>
        <v>3789022670</v>
      </c>
      <c r="F42" s="48">
        <v>3653953630</v>
      </c>
      <c r="G42" s="49">
        <f t="shared" si="10"/>
        <v>3.6965176265797331E-2</v>
      </c>
      <c r="H42" s="50">
        <f t="shared" si="19"/>
        <v>3789022670</v>
      </c>
      <c r="I42" s="51">
        <v>27.65</v>
      </c>
      <c r="J42" s="52">
        <v>102628303</v>
      </c>
      <c r="K42" s="51">
        <v>12.69</v>
      </c>
      <c r="L42" s="52">
        <v>56119647</v>
      </c>
      <c r="M42" s="53">
        <v>0</v>
      </c>
      <c r="N42" s="53">
        <v>0</v>
      </c>
      <c r="O42" s="53">
        <v>0</v>
      </c>
      <c r="P42" s="52">
        <v>0</v>
      </c>
      <c r="Q42" s="48">
        <f t="shared" si="11"/>
        <v>158747950</v>
      </c>
      <c r="R42" s="54">
        <v>4.97</v>
      </c>
      <c r="S42" s="52">
        <v>10533610</v>
      </c>
      <c r="T42" s="53">
        <v>0</v>
      </c>
      <c r="U42" s="53">
        <v>0</v>
      </c>
      <c r="V42" s="53">
        <v>0</v>
      </c>
      <c r="W42" s="52">
        <v>0</v>
      </c>
      <c r="X42" s="48">
        <f t="shared" si="12"/>
        <v>10533610</v>
      </c>
      <c r="Y42" s="55">
        <f t="shared" si="13"/>
        <v>45.309999999999995</v>
      </c>
      <c r="Z42" s="48">
        <f t="shared" si="14"/>
        <v>169281560</v>
      </c>
      <c r="AA42" s="48">
        <f t="shared" si="15"/>
        <v>0</v>
      </c>
      <c r="AB42" s="56">
        <f t="shared" si="20"/>
        <v>2.78</v>
      </c>
      <c r="AC42" s="57">
        <f t="shared" si="21"/>
        <v>41.9</v>
      </c>
      <c r="AD42" s="58">
        <f t="shared" si="22"/>
        <v>44.68</v>
      </c>
      <c r="AE42" s="59">
        <f>X42+Q42+[18]Sheet1!$D38</f>
        <v>169281560</v>
      </c>
      <c r="AF42" s="60">
        <v>1.4999999999999999E-2</v>
      </c>
      <c r="AG42" s="61">
        <v>127902848</v>
      </c>
      <c r="AH42" s="61">
        <v>11735260</v>
      </c>
      <c r="AI42" s="62">
        <f>AG42+AH42+[18]Sheet1!$G38</f>
        <v>139638108</v>
      </c>
      <c r="AJ42" s="59">
        <v>8805295800</v>
      </c>
      <c r="AK42" s="59">
        <f t="shared" si="18"/>
        <v>9309207200</v>
      </c>
      <c r="AL42" s="63">
        <f t="shared" si="16"/>
        <v>5.7228219408597264E-2</v>
      </c>
      <c r="AM42" s="64">
        <f t="shared" si="17"/>
        <v>9309207200</v>
      </c>
      <c r="AN42" s="49">
        <f t="shared" si="23"/>
        <v>1.3739392114937564E-2</v>
      </c>
      <c r="AO42" s="49">
        <f t="shared" si="24"/>
        <v>1.2606078850624358E-3</v>
      </c>
      <c r="AP42" s="59">
        <v>2847786</v>
      </c>
      <c r="AQ42" s="59">
        <f t="shared" si="25"/>
        <v>311767454</v>
      </c>
      <c r="AR42" s="59">
        <f>ROUND(AQ42/'3_Levels 1&amp;2'!C42,2)</f>
        <v>6720.57</v>
      </c>
    </row>
    <row r="43" spans="1:44" ht="15" customHeight="1" x14ac:dyDescent="0.2">
      <c r="A43" s="46">
        <v>37</v>
      </c>
      <c r="B43" s="47" t="s">
        <v>41</v>
      </c>
      <c r="C43" s="48">
        <v>877561471</v>
      </c>
      <c r="D43" s="48">
        <v>163997057</v>
      </c>
      <c r="E43" s="48">
        <f t="shared" si="9"/>
        <v>713564414</v>
      </c>
      <c r="F43" s="48">
        <v>684904403</v>
      </c>
      <c r="G43" s="49">
        <f t="shared" si="10"/>
        <v>4.1845271945200213E-2</v>
      </c>
      <c r="H43" s="50">
        <f t="shared" si="19"/>
        <v>713564414</v>
      </c>
      <c r="I43" s="51">
        <v>5.18</v>
      </c>
      <c r="J43" s="52">
        <v>3729208</v>
      </c>
      <c r="K43" s="51">
        <v>24.15</v>
      </c>
      <c r="L43" s="52">
        <v>16958587</v>
      </c>
      <c r="M43" s="53">
        <v>0</v>
      </c>
      <c r="N43" s="53">
        <v>0</v>
      </c>
      <c r="O43" s="53">
        <v>0</v>
      </c>
      <c r="P43" s="52">
        <v>0</v>
      </c>
      <c r="Q43" s="48">
        <f t="shared" si="11"/>
        <v>20687795</v>
      </c>
      <c r="R43" s="53">
        <v>0</v>
      </c>
      <c r="S43" s="52">
        <v>0</v>
      </c>
      <c r="T43" s="53">
        <v>0</v>
      </c>
      <c r="U43" s="53">
        <v>33.200000000000003</v>
      </c>
      <c r="V43" s="53">
        <v>1</v>
      </c>
      <c r="W43" s="52">
        <v>9094045</v>
      </c>
      <c r="X43" s="48">
        <f t="shared" si="12"/>
        <v>9094045</v>
      </c>
      <c r="Y43" s="55">
        <f t="shared" si="13"/>
        <v>29.33</v>
      </c>
      <c r="Z43" s="48">
        <f t="shared" si="14"/>
        <v>20687795</v>
      </c>
      <c r="AA43" s="48">
        <f t="shared" si="15"/>
        <v>9094045</v>
      </c>
      <c r="AB43" s="56">
        <f t="shared" si="20"/>
        <v>12.74</v>
      </c>
      <c r="AC43" s="57">
        <f t="shared" si="21"/>
        <v>28.99</v>
      </c>
      <c r="AD43" s="58">
        <f t="shared" si="22"/>
        <v>41.74</v>
      </c>
      <c r="AE43" s="59">
        <f>X43+Q43+[18]Sheet1!$D39</f>
        <v>29781840</v>
      </c>
      <c r="AF43" s="60">
        <v>0.03</v>
      </c>
      <c r="AG43" s="61">
        <v>36273666</v>
      </c>
      <c r="AH43" s="61">
        <v>9227757</v>
      </c>
      <c r="AI43" s="62">
        <f>AG43+AH43+[18]Sheet1!$G39</f>
        <v>45501423</v>
      </c>
      <c r="AJ43" s="59">
        <v>1548740800</v>
      </c>
      <c r="AK43" s="59">
        <f t="shared" si="18"/>
        <v>1516714100</v>
      </c>
      <c r="AL43" s="63">
        <f t="shared" si="16"/>
        <v>-2.0679186601140747E-2</v>
      </c>
      <c r="AM43" s="64">
        <f t="shared" si="17"/>
        <v>1516714100</v>
      </c>
      <c r="AN43" s="49">
        <f t="shared" si="23"/>
        <v>2.3915954892223919E-2</v>
      </c>
      <c r="AO43" s="49">
        <f t="shared" si="24"/>
        <v>6.0840451077760795E-3</v>
      </c>
      <c r="AP43" s="59">
        <v>836318</v>
      </c>
      <c r="AQ43" s="59">
        <f t="shared" si="25"/>
        <v>76119581</v>
      </c>
      <c r="AR43" s="59">
        <f>ROUND(AQ43/'3_Levels 1&amp;2'!C43,2)</f>
        <v>4046.76</v>
      </c>
    </row>
    <row r="44" spans="1:44" ht="15" customHeight="1" x14ac:dyDescent="0.2">
      <c r="A44" s="46">
        <v>38</v>
      </c>
      <c r="B44" s="47" t="s">
        <v>42</v>
      </c>
      <c r="C44" s="48">
        <v>1042512352</v>
      </c>
      <c r="D44" s="48">
        <v>30370537</v>
      </c>
      <c r="E44" s="48">
        <f t="shared" si="9"/>
        <v>1012141815</v>
      </c>
      <c r="F44" s="48">
        <v>1026946701</v>
      </c>
      <c r="G44" s="49">
        <f t="shared" si="10"/>
        <v>-1.4416411275856467E-2</v>
      </c>
      <c r="H44" s="50">
        <f t="shared" si="19"/>
        <v>1012141815</v>
      </c>
      <c r="I44" s="51">
        <v>6.03</v>
      </c>
      <c r="J44" s="52">
        <v>6664340</v>
      </c>
      <c r="K44" s="51">
        <v>18.38</v>
      </c>
      <c r="L44" s="52">
        <v>19734722</v>
      </c>
      <c r="M44" s="53">
        <v>0</v>
      </c>
      <c r="N44" s="53">
        <v>0</v>
      </c>
      <c r="O44" s="53">
        <v>0</v>
      </c>
      <c r="P44" s="52">
        <v>0</v>
      </c>
      <c r="Q44" s="48">
        <f t="shared" si="11"/>
        <v>26399062</v>
      </c>
      <c r="R44" s="53">
        <v>0</v>
      </c>
      <c r="S44" s="52">
        <v>0</v>
      </c>
      <c r="T44" s="53">
        <v>0</v>
      </c>
      <c r="U44" s="53">
        <v>0</v>
      </c>
      <c r="V44" s="53">
        <v>0</v>
      </c>
      <c r="W44" s="52">
        <v>0</v>
      </c>
      <c r="X44" s="48">
        <f t="shared" si="12"/>
        <v>0</v>
      </c>
      <c r="Y44" s="55">
        <f t="shared" si="13"/>
        <v>24.41</v>
      </c>
      <c r="Z44" s="48">
        <f t="shared" si="14"/>
        <v>26399062</v>
      </c>
      <c r="AA44" s="48">
        <f t="shared" si="15"/>
        <v>0</v>
      </c>
      <c r="AB44" s="56">
        <f t="shared" si="20"/>
        <v>0</v>
      </c>
      <c r="AC44" s="57">
        <f t="shared" si="21"/>
        <v>26.08</v>
      </c>
      <c r="AD44" s="58">
        <f t="shared" si="22"/>
        <v>26.08</v>
      </c>
      <c r="AE44" s="59">
        <f>X44+Q44+[18]Sheet1!$D40</f>
        <v>26399062</v>
      </c>
      <c r="AF44" s="60">
        <v>2.5000000000000001E-2</v>
      </c>
      <c r="AG44" s="61">
        <v>17550223</v>
      </c>
      <c r="AH44" s="61">
        <v>0</v>
      </c>
      <c r="AI44" s="62">
        <f>AG44+AH44+[18]Sheet1!$G40</f>
        <v>17550223</v>
      </c>
      <c r="AJ44" s="59">
        <v>682898600</v>
      </c>
      <c r="AK44" s="59">
        <f t="shared" si="18"/>
        <v>702008920</v>
      </c>
      <c r="AL44" s="60">
        <f t="shared" si="16"/>
        <v>2.7984125315237137E-2</v>
      </c>
      <c r="AM44" s="59">
        <f t="shared" si="17"/>
        <v>702008920</v>
      </c>
      <c r="AN44" s="49">
        <f t="shared" si="23"/>
        <v>2.5000000000000001E-2</v>
      </c>
      <c r="AO44" s="49">
        <f t="shared" si="24"/>
        <v>0</v>
      </c>
      <c r="AP44" s="59">
        <v>102915</v>
      </c>
      <c r="AQ44" s="59">
        <f t="shared" si="25"/>
        <v>44052200</v>
      </c>
      <c r="AR44" s="59">
        <f>ROUND(AQ44/'3_Levels 1&amp;2'!C44,2)</f>
        <v>11327.38</v>
      </c>
    </row>
    <row r="45" spans="1:44" ht="15" customHeight="1" x14ac:dyDescent="0.2">
      <c r="A45" s="46">
        <v>39</v>
      </c>
      <c r="B45" s="47" t="s">
        <v>43</v>
      </c>
      <c r="C45" s="48">
        <v>515550109</v>
      </c>
      <c r="D45" s="48">
        <v>41380203</v>
      </c>
      <c r="E45" s="48">
        <f t="shared" si="9"/>
        <v>474169906</v>
      </c>
      <c r="F45" s="48">
        <v>487597847</v>
      </c>
      <c r="G45" s="49">
        <f t="shared" si="10"/>
        <v>-2.7538966963486202E-2</v>
      </c>
      <c r="H45" s="50">
        <f t="shared" si="19"/>
        <v>474169906</v>
      </c>
      <c r="I45" s="51">
        <v>4.54</v>
      </c>
      <c r="J45" s="52">
        <v>2144924</v>
      </c>
      <c r="K45" s="51">
        <v>11.96</v>
      </c>
      <c r="L45" s="52">
        <v>5650501</v>
      </c>
      <c r="M45" s="53">
        <v>0</v>
      </c>
      <c r="N45" s="53">
        <v>0</v>
      </c>
      <c r="O45" s="53">
        <v>0</v>
      </c>
      <c r="P45" s="52">
        <v>0</v>
      </c>
      <c r="Q45" s="48">
        <f t="shared" si="11"/>
        <v>7795425</v>
      </c>
      <c r="R45" s="53">
        <v>0</v>
      </c>
      <c r="S45" s="52">
        <v>0</v>
      </c>
      <c r="T45" s="53">
        <v>0</v>
      </c>
      <c r="U45" s="53">
        <v>0</v>
      </c>
      <c r="V45" s="53">
        <v>0</v>
      </c>
      <c r="W45" s="52">
        <v>0</v>
      </c>
      <c r="X45" s="48">
        <f t="shared" si="12"/>
        <v>0</v>
      </c>
      <c r="Y45" s="55">
        <f t="shared" si="13"/>
        <v>16.5</v>
      </c>
      <c r="Z45" s="48">
        <f t="shared" si="14"/>
        <v>7795425</v>
      </c>
      <c r="AA45" s="48">
        <f t="shared" si="15"/>
        <v>0</v>
      </c>
      <c r="AB45" s="56">
        <f t="shared" si="20"/>
        <v>0</v>
      </c>
      <c r="AC45" s="57">
        <f t="shared" si="21"/>
        <v>16.440000000000001</v>
      </c>
      <c r="AD45" s="58">
        <f t="shared" si="22"/>
        <v>16.440000000000001</v>
      </c>
      <c r="AE45" s="59">
        <f>X45+Q45+[18]Sheet1!$D41</f>
        <v>7795425</v>
      </c>
      <c r="AF45" s="60">
        <v>0.02</v>
      </c>
      <c r="AG45" s="61">
        <v>7065003</v>
      </c>
      <c r="AH45" s="61">
        <v>0</v>
      </c>
      <c r="AI45" s="62">
        <f>AG45+AH45+[18]Sheet1!$G41</f>
        <v>7065003</v>
      </c>
      <c r="AJ45" s="59">
        <v>336833650</v>
      </c>
      <c r="AK45" s="59">
        <f t="shared" si="18"/>
        <v>353250150</v>
      </c>
      <c r="AL45" s="60">
        <f t="shared" si="16"/>
        <v>4.8737707767617634E-2</v>
      </c>
      <c r="AM45" s="59">
        <f t="shared" si="17"/>
        <v>353250150</v>
      </c>
      <c r="AN45" s="49">
        <f t="shared" si="23"/>
        <v>0.02</v>
      </c>
      <c r="AO45" s="49">
        <f t="shared" si="24"/>
        <v>0</v>
      </c>
      <c r="AP45" s="59">
        <v>152093</v>
      </c>
      <c r="AQ45" s="59">
        <f t="shared" si="25"/>
        <v>15012521</v>
      </c>
      <c r="AR45" s="59">
        <f>ROUND(AQ45/'3_Levels 1&amp;2'!C45,2)</f>
        <v>5734.35</v>
      </c>
    </row>
    <row r="46" spans="1:44" ht="15" customHeight="1" x14ac:dyDescent="0.2">
      <c r="A46" s="65">
        <v>40</v>
      </c>
      <c r="B46" s="66" t="s">
        <v>44</v>
      </c>
      <c r="C46" s="67">
        <v>996875886</v>
      </c>
      <c r="D46" s="67">
        <v>183778755</v>
      </c>
      <c r="E46" s="67">
        <f t="shared" si="9"/>
        <v>813097131</v>
      </c>
      <c r="F46" s="67">
        <v>795946851</v>
      </c>
      <c r="G46" s="68">
        <f t="shared" si="10"/>
        <v>2.1547016585910208E-2</v>
      </c>
      <c r="H46" s="69">
        <f t="shared" si="19"/>
        <v>813097131</v>
      </c>
      <c r="I46" s="70">
        <v>4.93</v>
      </c>
      <c r="J46" s="71">
        <v>3967858</v>
      </c>
      <c r="K46" s="70">
        <v>21.64</v>
      </c>
      <c r="L46" s="71">
        <v>17462301</v>
      </c>
      <c r="M46" s="72">
        <v>0</v>
      </c>
      <c r="N46" s="72">
        <v>24.39</v>
      </c>
      <c r="O46" s="72">
        <v>13</v>
      </c>
      <c r="P46" s="71">
        <v>9015705</v>
      </c>
      <c r="Q46" s="67">
        <f t="shared" si="11"/>
        <v>30445864</v>
      </c>
      <c r="R46" s="72">
        <v>0</v>
      </c>
      <c r="S46" s="71">
        <v>0</v>
      </c>
      <c r="T46" s="72">
        <v>0</v>
      </c>
      <c r="U46" s="72">
        <v>36</v>
      </c>
      <c r="V46" s="72">
        <v>10</v>
      </c>
      <c r="W46" s="71">
        <v>8784451</v>
      </c>
      <c r="X46" s="67">
        <f t="shared" si="12"/>
        <v>8784451</v>
      </c>
      <c r="Y46" s="73">
        <f t="shared" si="13"/>
        <v>26.57</v>
      </c>
      <c r="Z46" s="67">
        <f t="shared" si="14"/>
        <v>21430159</v>
      </c>
      <c r="AA46" s="67">
        <f t="shared" si="15"/>
        <v>17800156</v>
      </c>
      <c r="AB46" s="74">
        <f t="shared" si="20"/>
        <v>10.8</v>
      </c>
      <c r="AC46" s="75">
        <f t="shared" si="21"/>
        <v>37.44</v>
      </c>
      <c r="AD46" s="76">
        <f t="shared" si="22"/>
        <v>48.25</v>
      </c>
      <c r="AE46" s="77">
        <f>X46+Q46+[18]Sheet1!$D42</f>
        <v>39230315</v>
      </c>
      <c r="AF46" s="78">
        <v>0.02</v>
      </c>
      <c r="AG46" s="79">
        <v>50928120</v>
      </c>
      <c r="AH46" s="79">
        <v>0</v>
      </c>
      <c r="AI46" s="80">
        <f>AG46+AH46+[18]Sheet1!$G42</f>
        <v>50928120</v>
      </c>
      <c r="AJ46" s="77">
        <v>2564057300</v>
      </c>
      <c r="AK46" s="77">
        <f t="shared" si="18"/>
        <v>2546406000</v>
      </c>
      <c r="AL46" s="78">
        <f t="shared" si="16"/>
        <v>-6.884128525520861E-3</v>
      </c>
      <c r="AM46" s="77">
        <f t="shared" si="17"/>
        <v>2546406000</v>
      </c>
      <c r="AN46" s="68">
        <f t="shared" si="23"/>
        <v>0.02</v>
      </c>
      <c r="AO46" s="68">
        <f t="shared" si="24"/>
        <v>0</v>
      </c>
      <c r="AP46" s="77">
        <v>1062573</v>
      </c>
      <c r="AQ46" s="77">
        <f t="shared" si="25"/>
        <v>91221008</v>
      </c>
      <c r="AR46" s="77">
        <f>ROUND(AQ46/'3_Levels 1&amp;2'!C46,2)</f>
        <v>4141.7</v>
      </c>
    </row>
    <row r="47" spans="1:44" ht="15" customHeight="1" x14ac:dyDescent="0.2">
      <c r="A47" s="46">
        <v>41</v>
      </c>
      <c r="B47" s="47" t="s">
        <v>45</v>
      </c>
      <c r="C47" s="48">
        <v>247782920</v>
      </c>
      <c r="D47" s="48">
        <v>11426750</v>
      </c>
      <c r="E47" s="48">
        <f t="shared" si="9"/>
        <v>236356170</v>
      </c>
      <c r="F47" s="48">
        <v>233776610</v>
      </c>
      <c r="G47" s="49">
        <f t="shared" si="10"/>
        <v>1.1034294662755184E-2</v>
      </c>
      <c r="H47" s="50">
        <f t="shared" si="19"/>
        <v>236356170</v>
      </c>
      <c r="I47" s="51">
        <v>4.97</v>
      </c>
      <c r="J47" s="52">
        <v>1158062</v>
      </c>
      <c r="K47" s="51">
        <v>38.119999999999997</v>
      </c>
      <c r="L47" s="52">
        <v>8882377</v>
      </c>
      <c r="M47" s="53">
        <v>0</v>
      </c>
      <c r="N47" s="53">
        <v>0</v>
      </c>
      <c r="O47" s="53">
        <v>0</v>
      </c>
      <c r="P47" s="52">
        <v>0</v>
      </c>
      <c r="Q47" s="48">
        <f t="shared" si="11"/>
        <v>10040439</v>
      </c>
      <c r="R47" s="54">
        <v>2.25</v>
      </c>
      <c r="S47" s="52">
        <v>524273</v>
      </c>
      <c r="T47" s="53">
        <v>0</v>
      </c>
      <c r="U47" s="53">
        <v>0</v>
      </c>
      <c r="V47" s="53">
        <v>0</v>
      </c>
      <c r="W47" s="52">
        <v>0</v>
      </c>
      <c r="X47" s="48">
        <f t="shared" si="12"/>
        <v>524273</v>
      </c>
      <c r="Y47" s="55">
        <f t="shared" si="13"/>
        <v>45.339999999999996</v>
      </c>
      <c r="Z47" s="48">
        <f t="shared" si="14"/>
        <v>10564712</v>
      </c>
      <c r="AA47" s="48">
        <f t="shared" si="15"/>
        <v>0</v>
      </c>
      <c r="AB47" s="56">
        <f t="shared" si="20"/>
        <v>2.2200000000000002</v>
      </c>
      <c r="AC47" s="57">
        <f t="shared" si="21"/>
        <v>42.48</v>
      </c>
      <c r="AD47" s="58">
        <f t="shared" si="22"/>
        <v>44.7</v>
      </c>
      <c r="AE47" s="59">
        <f>X47+Q47+[18]Sheet1!$D43</f>
        <v>10564712</v>
      </c>
      <c r="AF47" s="60">
        <v>0.02</v>
      </c>
      <c r="AG47" s="61">
        <v>4645708</v>
      </c>
      <c r="AH47" s="61">
        <v>0</v>
      </c>
      <c r="AI47" s="62">
        <f>AG47+AH47+[18]Sheet1!$G43</f>
        <v>4645708</v>
      </c>
      <c r="AJ47" s="59">
        <v>184389400</v>
      </c>
      <c r="AK47" s="59">
        <f t="shared" si="18"/>
        <v>232285400</v>
      </c>
      <c r="AL47" s="63">
        <f t="shared" si="16"/>
        <v>0.25975462797753018</v>
      </c>
      <c r="AM47" s="64">
        <f t="shared" si="17"/>
        <v>212047809.99999997</v>
      </c>
      <c r="AN47" s="49">
        <f t="shared" si="23"/>
        <v>0.02</v>
      </c>
      <c r="AO47" s="49">
        <f t="shared" si="24"/>
        <v>0</v>
      </c>
      <c r="AP47" s="59">
        <v>91520</v>
      </c>
      <c r="AQ47" s="59">
        <f t="shared" si="25"/>
        <v>15301940</v>
      </c>
      <c r="AR47" s="59">
        <f>ROUND(AQ47/'3_Levels 1&amp;2'!C47,2)</f>
        <v>11064.31</v>
      </c>
    </row>
    <row r="48" spans="1:44" ht="15" customHeight="1" x14ac:dyDescent="0.2">
      <c r="A48" s="46">
        <v>42</v>
      </c>
      <c r="B48" s="47" t="s">
        <v>46</v>
      </c>
      <c r="C48" s="48">
        <v>256147631</v>
      </c>
      <c r="D48" s="48">
        <v>29059444</v>
      </c>
      <c r="E48" s="48">
        <f t="shared" si="9"/>
        <v>227088187</v>
      </c>
      <c r="F48" s="48">
        <v>206712484</v>
      </c>
      <c r="G48" s="49">
        <f t="shared" si="10"/>
        <v>9.8570258581963541E-2</v>
      </c>
      <c r="H48" s="50">
        <f t="shared" si="19"/>
        <v>227088187</v>
      </c>
      <c r="I48" s="51">
        <v>8.7100000000000009</v>
      </c>
      <c r="J48" s="52">
        <v>1769028</v>
      </c>
      <c r="K48" s="51">
        <v>8.59</v>
      </c>
      <c r="L48" s="52">
        <v>1744611</v>
      </c>
      <c r="M48" s="53">
        <v>0</v>
      </c>
      <c r="N48" s="53">
        <v>0</v>
      </c>
      <c r="O48" s="53">
        <v>0</v>
      </c>
      <c r="P48" s="52">
        <v>0</v>
      </c>
      <c r="Q48" s="48">
        <f t="shared" si="11"/>
        <v>3513639</v>
      </c>
      <c r="R48" s="53">
        <v>0</v>
      </c>
      <c r="S48" s="52">
        <v>0</v>
      </c>
      <c r="T48" s="53">
        <v>0</v>
      </c>
      <c r="U48" s="53">
        <v>27</v>
      </c>
      <c r="V48" s="53">
        <v>4</v>
      </c>
      <c r="W48" s="52">
        <v>2846201</v>
      </c>
      <c r="X48" s="48">
        <f t="shared" si="12"/>
        <v>2846201</v>
      </c>
      <c r="Y48" s="55">
        <f t="shared" si="13"/>
        <v>17.3</v>
      </c>
      <c r="Z48" s="48">
        <f t="shared" si="14"/>
        <v>3513639</v>
      </c>
      <c r="AA48" s="48">
        <f t="shared" si="15"/>
        <v>2846201</v>
      </c>
      <c r="AB48" s="56">
        <f t="shared" si="20"/>
        <v>12.53</v>
      </c>
      <c r="AC48" s="57">
        <f t="shared" si="21"/>
        <v>15.47</v>
      </c>
      <c r="AD48" s="58">
        <f t="shared" si="22"/>
        <v>28.01</v>
      </c>
      <c r="AE48" s="59">
        <f>X48+Q48+[18]Sheet1!$D44</f>
        <v>6359840</v>
      </c>
      <c r="AF48" s="60">
        <v>0.02</v>
      </c>
      <c r="AG48" s="61">
        <v>6116304</v>
      </c>
      <c r="AH48" s="61">
        <v>0</v>
      </c>
      <c r="AI48" s="62">
        <f>AG48+AH48+[18]Sheet1!$G44</f>
        <v>6116304</v>
      </c>
      <c r="AJ48" s="59">
        <v>311226350</v>
      </c>
      <c r="AK48" s="59">
        <f t="shared" si="18"/>
        <v>305815200</v>
      </c>
      <c r="AL48" s="63">
        <f t="shared" si="16"/>
        <v>-1.7386541981422844E-2</v>
      </c>
      <c r="AM48" s="64">
        <f t="shared" si="17"/>
        <v>305815200</v>
      </c>
      <c r="AN48" s="49">
        <f t="shared" si="23"/>
        <v>0.02</v>
      </c>
      <c r="AO48" s="49">
        <f t="shared" si="24"/>
        <v>0</v>
      </c>
      <c r="AP48" s="59">
        <v>205522</v>
      </c>
      <c r="AQ48" s="59">
        <f t="shared" si="25"/>
        <v>12681666</v>
      </c>
      <c r="AR48" s="59">
        <f>ROUND(AQ48/'3_Levels 1&amp;2'!C48,2)</f>
        <v>4613.1899999999996</v>
      </c>
    </row>
    <row r="49" spans="1:44" ht="15" customHeight="1" x14ac:dyDescent="0.2">
      <c r="A49" s="46">
        <v>43</v>
      </c>
      <c r="B49" s="47" t="s">
        <v>47</v>
      </c>
      <c r="C49" s="48">
        <v>208368170</v>
      </c>
      <c r="D49" s="48">
        <v>33890414</v>
      </c>
      <c r="E49" s="48">
        <f t="shared" si="9"/>
        <v>174477756</v>
      </c>
      <c r="F49" s="48">
        <v>172964555</v>
      </c>
      <c r="G49" s="49">
        <f t="shared" si="10"/>
        <v>8.7486190450985751E-3</v>
      </c>
      <c r="H49" s="50">
        <f t="shared" si="19"/>
        <v>174477756</v>
      </c>
      <c r="I49" s="51">
        <v>5.35</v>
      </c>
      <c r="J49" s="52">
        <v>906657</v>
      </c>
      <c r="K49" s="51">
        <v>9.02</v>
      </c>
      <c r="L49" s="52">
        <v>1528596</v>
      </c>
      <c r="M49" s="53">
        <v>0</v>
      </c>
      <c r="N49" s="53">
        <v>16.09</v>
      </c>
      <c r="O49" s="53">
        <v>7</v>
      </c>
      <c r="P49" s="52">
        <v>1656186</v>
      </c>
      <c r="Q49" s="48">
        <f t="shared" si="11"/>
        <v>4091439</v>
      </c>
      <c r="R49" s="53">
        <v>0</v>
      </c>
      <c r="S49" s="52">
        <v>0</v>
      </c>
      <c r="T49" s="53">
        <v>0</v>
      </c>
      <c r="U49" s="53">
        <v>30.25</v>
      </c>
      <c r="V49" s="53">
        <v>7</v>
      </c>
      <c r="W49" s="52">
        <v>2202780</v>
      </c>
      <c r="X49" s="48">
        <f t="shared" si="12"/>
        <v>2202780</v>
      </c>
      <c r="Y49" s="55">
        <f t="shared" si="13"/>
        <v>14.37</v>
      </c>
      <c r="Z49" s="48">
        <f t="shared" si="14"/>
        <v>2435253</v>
      </c>
      <c r="AA49" s="48">
        <f t="shared" si="15"/>
        <v>3858966</v>
      </c>
      <c r="AB49" s="56">
        <f t="shared" si="20"/>
        <v>12.62</v>
      </c>
      <c r="AC49" s="57">
        <f t="shared" si="21"/>
        <v>23.45</v>
      </c>
      <c r="AD49" s="58">
        <f t="shared" si="22"/>
        <v>36.07</v>
      </c>
      <c r="AE49" s="59">
        <f>X49+Q49+[18]Sheet1!$D45</f>
        <v>6294219</v>
      </c>
      <c r="AF49" s="60">
        <v>2.5000000000000001E-2</v>
      </c>
      <c r="AG49" s="61">
        <v>9012493</v>
      </c>
      <c r="AH49" s="61">
        <v>691500</v>
      </c>
      <c r="AI49" s="62">
        <f>AG49+AH49+[18]Sheet1!$G45</f>
        <v>9703993</v>
      </c>
      <c r="AJ49" s="59">
        <v>326057400</v>
      </c>
      <c r="AK49" s="59">
        <f t="shared" si="18"/>
        <v>388159720</v>
      </c>
      <c r="AL49" s="60">
        <f t="shared" si="16"/>
        <v>0.19046437835792102</v>
      </c>
      <c r="AM49" s="59">
        <f t="shared" si="17"/>
        <v>374966010</v>
      </c>
      <c r="AN49" s="49">
        <f t="shared" si="23"/>
        <v>2.3218516851774316E-2</v>
      </c>
      <c r="AO49" s="49">
        <f t="shared" si="24"/>
        <v>1.7814831482256841E-3</v>
      </c>
      <c r="AP49" s="59">
        <v>147620</v>
      </c>
      <c r="AQ49" s="59">
        <f t="shared" si="25"/>
        <v>16145832</v>
      </c>
      <c r="AR49" s="59">
        <f>ROUND(AQ49/'3_Levels 1&amp;2'!C49,2)</f>
        <v>3975.83</v>
      </c>
    </row>
    <row r="50" spans="1:44" ht="15" customHeight="1" x14ac:dyDescent="0.2">
      <c r="A50" s="46">
        <v>44</v>
      </c>
      <c r="B50" s="47" t="s">
        <v>48</v>
      </c>
      <c r="C50" s="48">
        <v>377195301</v>
      </c>
      <c r="D50" s="48">
        <v>65416739</v>
      </c>
      <c r="E50" s="48">
        <f t="shared" si="9"/>
        <v>311778562</v>
      </c>
      <c r="F50" s="48">
        <v>314102692</v>
      </c>
      <c r="G50" s="49">
        <f t="shared" si="10"/>
        <v>-7.3992680075470347E-3</v>
      </c>
      <c r="H50" s="50">
        <f t="shared" si="19"/>
        <v>311778562</v>
      </c>
      <c r="I50" s="51">
        <v>3.83</v>
      </c>
      <c r="J50" s="52">
        <v>1190934</v>
      </c>
      <c r="K50" s="51">
        <v>37.39</v>
      </c>
      <c r="L50" s="52">
        <v>11626076</v>
      </c>
      <c r="M50" s="53">
        <v>0</v>
      </c>
      <c r="N50" s="53">
        <v>0</v>
      </c>
      <c r="O50" s="53">
        <v>0</v>
      </c>
      <c r="P50" s="52">
        <v>0</v>
      </c>
      <c r="Q50" s="48">
        <f t="shared" si="11"/>
        <v>12817010</v>
      </c>
      <c r="R50" s="53">
        <v>0</v>
      </c>
      <c r="S50" s="52">
        <v>298</v>
      </c>
      <c r="T50" s="53">
        <v>0</v>
      </c>
      <c r="U50" s="53">
        <v>0</v>
      </c>
      <c r="V50" s="53">
        <v>0</v>
      </c>
      <c r="W50" s="52">
        <v>0</v>
      </c>
      <c r="X50" s="48">
        <f t="shared" si="12"/>
        <v>298</v>
      </c>
      <c r="Y50" s="55">
        <f t="shared" si="13"/>
        <v>41.22</v>
      </c>
      <c r="Z50" s="48">
        <f t="shared" si="14"/>
        <v>12817308</v>
      </c>
      <c r="AA50" s="48">
        <f t="shared" si="15"/>
        <v>0</v>
      </c>
      <c r="AB50" s="56">
        <f t="shared" si="20"/>
        <v>0</v>
      </c>
      <c r="AC50" s="57">
        <f t="shared" si="21"/>
        <v>41.11</v>
      </c>
      <c r="AD50" s="58">
        <f t="shared" si="22"/>
        <v>41.11</v>
      </c>
      <c r="AE50" s="59">
        <f>X50+Q50+[18]Sheet1!$D46</f>
        <v>12817308</v>
      </c>
      <c r="AF50" s="60">
        <v>0.02</v>
      </c>
      <c r="AG50" s="61">
        <v>16421148</v>
      </c>
      <c r="AH50" s="61">
        <v>0</v>
      </c>
      <c r="AI50" s="62">
        <f>AG50+AH50+[18]Sheet1!$G46</f>
        <v>16421148</v>
      </c>
      <c r="AJ50" s="59">
        <v>798905600</v>
      </c>
      <c r="AK50" s="59">
        <f t="shared" si="18"/>
        <v>821057400</v>
      </c>
      <c r="AL50" s="60">
        <f t="shared" si="16"/>
        <v>2.7727681468248565E-2</v>
      </c>
      <c r="AM50" s="59">
        <f t="shared" si="17"/>
        <v>821057400</v>
      </c>
      <c r="AN50" s="49">
        <f t="shared" si="23"/>
        <v>0.02</v>
      </c>
      <c r="AO50" s="49">
        <f t="shared" si="24"/>
        <v>0</v>
      </c>
      <c r="AP50" s="59">
        <v>116147</v>
      </c>
      <c r="AQ50" s="59">
        <f t="shared" si="25"/>
        <v>29354603</v>
      </c>
      <c r="AR50" s="59">
        <f>ROUND(AQ50/'3_Levels 1&amp;2'!C50,2)</f>
        <v>3951.89</v>
      </c>
    </row>
    <row r="51" spans="1:44" ht="15" customHeight="1" x14ac:dyDescent="0.2">
      <c r="A51" s="65">
        <v>45</v>
      </c>
      <c r="B51" s="66" t="s">
        <v>49</v>
      </c>
      <c r="C51" s="67">
        <v>1367081786</v>
      </c>
      <c r="D51" s="67">
        <v>99055668</v>
      </c>
      <c r="E51" s="67">
        <f t="shared" si="9"/>
        <v>1268026118</v>
      </c>
      <c r="F51" s="67">
        <v>1233690797</v>
      </c>
      <c r="G51" s="68">
        <f t="shared" si="10"/>
        <v>2.7831382939302252E-2</v>
      </c>
      <c r="H51" s="69">
        <f t="shared" si="19"/>
        <v>1268026118</v>
      </c>
      <c r="I51" s="70">
        <v>4.12</v>
      </c>
      <c r="J51" s="71">
        <v>5214521</v>
      </c>
      <c r="K51" s="70">
        <v>41.86</v>
      </c>
      <c r="L51" s="71">
        <v>57522625</v>
      </c>
      <c r="M51" s="72">
        <v>0</v>
      </c>
      <c r="N51" s="72">
        <v>0</v>
      </c>
      <c r="O51" s="72">
        <v>0</v>
      </c>
      <c r="P51" s="71">
        <v>0</v>
      </c>
      <c r="Q51" s="67">
        <f t="shared" si="11"/>
        <v>62737146</v>
      </c>
      <c r="R51" s="72">
        <v>4.7699999999999996</v>
      </c>
      <c r="S51" s="71">
        <v>6341541</v>
      </c>
      <c r="T51" s="72">
        <v>0</v>
      </c>
      <c r="U51" s="72">
        <v>0</v>
      </c>
      <c r="V51" s="72">
        <v>0</v>
      </c>
      <c r="W51" s="71">
        <v>0</v>
      </c>
      <c r="X51" s="67">
        <f t="shared" si="12"/>
        <v>6341541</v>
      </c>
      <c r="Y51" s="73">
        <f t="shared" si="13"/>
        <v>50.75</v>
      </c>
      <c r="Z51" s="67">
        <f t="shared" si="14"/>
        <v>69078687</v>
      </c>
      <c r="AA51" s="67">
        <f t="shared" si="15"/>
        <v>0</v>
      </c>
      <c r="AB51" s="74">
        <f t="shared" si="20"/>
        <v>5</v>
      </c>
      <c r="AC51" s="75">
        <f t="shared" si="21"/>
        <v>49.48</v>
      </c>
      <c r="AD51" s="76">
        <f t="shared" si="22"/>
        <v>54.48</v>
      </c>
      <c r="AE51" s="77">
        <f>X51+Q51+[18]Sheet1!$D47</f>
        <v>69078687</v>
      </c>
      <c r="AF51" s="78">
        <v>0.03</v>
      </c>
      <c r="AG51" s="79">
        <v>53791184</v>
      </c>
      <c r="AH51" s="79">
        <v>825930</v>
      </c>
      <c r="AI51" s="80">
        <f>AG51+AH51+[18]Sheet1!$G47</f>
        <v>54617114</v>
      </c>
      <c r="AJ51" s="77">
        <v>1629686867</v>
      </c>
      <c r="AK51" s="77">
        <f t="shared" ref="AK51:AK75" si="26">ROUND(AI51/AF51,0)</f>
        <v>1820570467</v>
      </c>
      <c r="AL51" s="78">
        <f t="shared" si="16"/>
        <v>0.11712900426778736</v>
      </c>
      <c r="AM51" s="77">
        <f t="shared" si="17"/>
        <v>1820570467</v>
      </c>
      <c r="AN51" s="68">
        <f t="shared" si="23"/>
        <v>2.954633450065737E-2</v>
      </c>
      <c r="AO51" s="68">
        <f t="shared" si="24"/>
        <v>4.5366549384984612E-4</v>
      </c>
      <c r="AP51" s="77">
        <v>276799</v>
      </c>
      <c r="AQ51" s="77">
        <f t="shared" si="25"/>
        <v>123972600</v>
      </c>
      <c r="AR51" s="77">
        <f>ROUND(AQ51/'3_Levels 1&amp;2'!C51,2)</f>
        <v>13243.52</v>
      </c>
    </row>
    <row r="52" spans="1:44" s="81" customFormat="1" ht="15" customHeight="1" x14ac:dyDescent="0.2">
      <c r="A52" s="46">
        <v>46</v>
      </c>
      <c r="B52" s="47" t="s">
        <v>50</v>
      </c>
      <c r="C52" s="48">
        <v>66727670</v>
      </c>
      <c r="D52" s="48">
        <v>17797810</v>
      </c>
      <c r="E52" s="48">
        <f t="shared" si="9"/>
        <v>48929860</v>
      </c>
      <c r="F52" s="48">
        <v>53685990</v>
      </c>
      <c r="G52" s="49">
        <f t="shared" si="10"/>
        <v>-8.8591641879007907E-2</v>
      </c>
      <c r="H52" s="50">
        <f t="shared" si="19"/>
        <v>48929860</v>
      </c>
      <c r="I52" s="51">
        <v>3.38</v>
      </c>
      <c r="J52" s="52">
        <v>170553</v>
      </c>
      <c r="K52" s="51">
        <v>39.880000000000003</v>
      </c>
      <c r="L52" s="52">
        <v>1946874</v>
      </c>
      <c r="M52" s="53">
        <v>0</v>
      </c>
      <c r="N52" s="53">
        <v>0</v>
      </c>
      <c r="O52" s="53">
        <v>6</v>
      </c>
      <c r="P52" s="52">
        <v>0</v>
      </c>
      <c r="Q52" s="48">
        <f t="shared" si="11"/>
        <v>2117427</v>
      </c>
      <c r="R52" s="54">
        <v>0</v>
      </c>
      <c r="S52" s="52">
        <v>0</v>
      </c>
      <c r="T52" s="53">
        <v>0</v>
      </c>
      <c r="U52" s="53">
        <v>0</v>
      </c>
      <c r="V52" s="53">
        <v>6</v>
      </c>
      <c r="W52" s="52">
        <v>0</v>
      </c>
      <c r="X52" s="48">
        <f t="shared" si="12"/>
        <v>0</v>
      </c>
      <c r="Y52" s="55">
        <f t="shared" si="13"/>
        <v>43.260000000000005</v>
      </c>
      <c r="Z52" s="48">
        <f t="shared" si="14"/>
        <v>2117427</v>
      </c>
      <c r="AA52" s="48">
        <f t="shared" si="15"/>
        <v>0</v>
      </c>
      <c r="AB52" s="56">
        <f t="shared" si="20"/>
        <v>0</v>
      </c>
      <c r="AC52" s="57">
        <f t="shared" si="21"/>
        <v>43.27</v>
      </c>
      <c r="AD52" s="58">
        <f t="shared" si="22"/>
        <v>43.27</v>
      </c>
      <c r="AE52" s="59">
        <f>X52+Q52+[18]Sheet1!$D48</f>
        <v>2117427</v>
      </c>
      <c r="AF52" s="60">
        <v>0.02</v>
      </c>
      <c r="AG52" s="61">
        <v>1407923</v>
      </c>
      <c r="AH52" s="61">
        <v>0</v>
      </c>
      <c r="AI52" s="62">
        <f>AG52+AH52+[18]Sheet1!$G48</f>
        <v>1407923</v>
      </c>
      <c r="AJ52" s="59">
        <v>77241500</v>
      </c>
      <c r="AK52" s="59">
        <f t="shared" si="26"/>
        <v>70396150</v>
      </c>
      <c r="AL52" s="63">
        <f t="shared" si="16"/>
        <v>-8.8622696348465521E-2</v>
      </c>
      <c r="AM52" s="64">
        <f t="shared" si="17"/>
        <v>70396150</v>
      </c>
      <c r="AN52" s="49">
        <f t="shared" si="23"/>
        <v>0.02</v>
      </c>
      <c r="AO52" s="49">
        <f t="shared" si="24"/>
        <v>0</v>
      </c>
      <c r="AP52" s="59">
        <v>31836</v>
      </c>
      <c r="AQ52" s="59">
        <f t="shared" si="25"/>
        <v>3557186</v>
      </c>
      <c r="AR52" s="59">
        <f>ROUND(AQ52/'3_Levels 1&amp;2'!C52,2)</f>
        <v>2976.72</v>
      </c>
    </row>
    <row r="53" spans="1:44" ht="15" customHeight="1" x14ac:dyDescent="0.2">
      <c r="A53" s="46">
        <v>47</v>
      </c>
      <c r="B53" s="47" t="s">
        <v>51</v>
      </c>
      <c r="C53" s="48">
        <v>835293888</v>
      </c>
      <c r="D53" s="48">
        <v>41235631</v>
      </c>
      <c r="E53" s="48">
        <f t="shared" si="9"/>
        <v>794058257</v>
      </c>
      <c r="F53" s="48">
        <v>516834820</v>
      </c>
      <c r="G53" s="49">
        <f t="shared" si="10"/>
        <v>0.53638691951908346</v>
      </c>
      <c r="H53" s="50">
        <f t="shared" si="19"/>
        <v>568518302</v>
      </c>
      <c r="I53" s="51">
        <v>3.85</v>
      </c>
      <c r="J53" s="52">
        <v>2233203</v>
      </c>
      <c r="K53" s="51">
        <v>30.45</v>
      </c>
      <c r="L53" s="52">
        <v>17809756</v>
      </c>
      <c r="M53" s="53">
        <v>0</v>
      </c>
      <c r="N53" s="53">
        <v>0</v>
      </c>
      <c r="O53" s="53">
        <v>0</v>
      </c>
      <c r="P53" s="52">
        <v>0</v>
      </c>
      <c r="Q53" s="48">
        <f t="shared" si="11"/>
        <v>20042959</v>
      </c>
      <c r="R53" s="53">
        <v>10</v>
      </c>
      <c r="S53" s="52">
        <v>5645501</v>
      </c>
      <c r="T53" s="53">
        <v>0</v>
      </c>
      <c r="U53" s="53">
        <v>0</v>
      </c>
      <c r="V53" s="53">
        <v>0</v>
      </c>
      <c r="W53" s="52">
        <v>0</v>
      </c>
      <c r="X53" s="48">
        <f t="shared" si="12"/>
        <v>5645501</v>
      </c>
      <c r="Y53" s="55">
        <f t="shared" si="13"/>
        <v>44.3</v>
      </c>
      <c r="Z53" s="48">
        <f t="shared" si="14"/>
        <v>25688460</v>
      </c>
      <c r="AA53" s="48">
        <f t="shared" si="15"/>
        <v>0</v>
      </c>
      <c r="AB53" s="56">
        <f t="shared" si="20"/>
        <v>7.11</v>
      </c>
      <c r="AC53" s="57">
        <f t="shared" si="21"/>
        <v>25.24</v>
      </c>
      <c r="AD53" s="58">
        <f t="shared" si="22"/>
        <v>32.35</v>
      </c>
      <c r="AE53" s="59">
        <f>X53+Q53+[18]Sheet1!$D49</f>
        <v>25688460</v>
      </c>
      <c r="AF53" s="60">
        <v>2.5000000000000001E-2</v>
      </c>
      <c r="AG53" s="61">
        <v>19645026</v>
      </c>
      <c r="AH53" s="61">
        <v>0</v>
      </c>
      <c r="AI53" s="62">
        <f>AG53+AH53+[18]Sheet1!$G49</f>
        <v>19645026</v>
      </c>
      <c r="AJ53" s="59">
        <v>725117960</v>
      </c>
      <c r="AK53" s="59">
        <f t="shared" si="26"/>
        <v>785801040</v>
      </c>
      <c r="AL53" s="63">
        <f t="shared" si="16"/>
        <v>8.3687183806618173E-2</v>
      </c>
      <c r="AM53" s="64">
        <f t="shared" si="17"/>
        <v>785801040</v>
      </c>
      <c r="AN53" s="49">
        <f t="shared" si="23"/>
        <v>2.5000000000000001E-2</v>
      </c>
      <c r="AO53" s="49">
        <f t="shared" si="24"/>
        <v>0</v>
      </c>
      <c r="AP53" s="59">
        <v>82923</v>
      </c>
      <c r="AQ53" s="59">
        <f t="shared" si="25"/>
        <v>45416409</v>
      </c>
      <c r="AR53" s="59">
        <f>ROUND(AQ53/'3_Levels 1&amp;2'!C53,2)</f>
        <v>12761</v>
      </c>
    </row>
    <row r="54" spans="1:44" ht="15" customHeight="1" x14ac:dyDescent="0.2">
      <c r="A54" s="46">
        <v>48</v>
      </c>
      <c r="B54" s="47" t="s">
        <v>73</v>
      </c>
      <c r="C54" s="48">
        <v>502061347</v>
      </c>
      <c r="D54" s="48">
        <v>84680707</v>
      </c>
      <c r="E54" s="48">
        <f t="shared" si="9"/>
        <v>417380640</v>
      </c>
      <c r="F54" s="48">
        <v>427246759</v>
      </c>
      <c r="G54" s="49">
        <f t="shared" si="10"/>
        <v>-2.309232028603873E-2</v>
      </c>
      <c r="H54" s="50">
        <f t="shared" si="19"/>
        <v>417380640</v>
      </c>
      <c r="I54" s="51">
        <v>3.65</v>
      </c>
      <c r="J54" s="52">
        <v>1410546</v>
      </c>
      <c r="K54" s="51">
        <v>25.66</v>
      </c>
      <c r="L54" s="52">
        <v>9916503</v>
      </c>
      <c r="M54" s="53">
        <v>0</v>
      </c>
      <c r="N54" s="53">
        <v>0</v>
      </c>
      <c r="O54" s="53">
        <v>0</v>
      </c>
      <c r="P54" s="52">
        <v>0</v>
      </c>
      <c r="Q54" s="48">
        <f t="shared" si="11"/>
        <v>11327049</v>
      </c>
      <c r="R54" s="53">
        <v>10</v>
      </c>
      <c r="S54" s="52">
        <v>3887563</v>
      </c>
      <c r="T54" s="53">
        <v>0</v>
      </c>
      <c r="U54" s="53">
        <v>0</v>
      </c>
      <c r="V54" s="53">
        <v>0</v>
      </c>
      <c r="W54" s="52">
        <v>0</v>
      </c>
      <c r="X54" s="48">
        <f t="shared" si="12"/>
        <v>3887563</v>
      </c>
      <c r="Y54" s="55">
        <f t="shared" si="13"/>
        <v>39.31</v>
      </c>
      <c r="Z54" s="48">
        <f t="shared" si="14"/>
        <v>15214612</v>
      </c>
      <c r="AA54" s="48">
        <f t="shared" si="15"/>
        <v>0</v>
      </c>
      <c r="AB54" s="56">
        <f t="shared" si="20"/>
        <v>9.31</v>
      </c>
      <c r="AC54" s="57">
        <f t="shared" si="21"/>
        <v>27.14</v>
      </c>
      <c r="AD54" s="58">
        <f t="shared" si="22"/>
        <v>36.4</v>
      </c>
      <c r="AE54" s="59">
        <f>X54+Q54+[18]Sheet1!$D50</f>
        <v>15192746</v>
      </c>
      <c r="AF54" s="60">
        <v>2.5000000000000001E-2</v>
      </c>
      <c r="AG54" s="61">
        <v>24772288</v>
      </c>
      <c r="AH54" s="61">
        <v>0</v>
      </c>
      <c r="AI54" s="62">
        <f>AG54+AH54+[18]Sheet1!$G50</f>
        <v>24772288</v>
      </c>
      <c r="AJ54" s="59">
        <v>1027892356</v>
      </c>
      <c r="AK54" s="59">
        <f t="shared" si="26"/>
        <v>990891520</v>
      </c>
      <c r="AL54" s="60">
        <f t="shared" si="16"/>
        <v>-3.5996800427612094E-2</v>
      </c>
      <c r="AM54" s="59">
        <f t="shared" si="17"/>
        <v>990891520</v>
      </c>
      <c r="AN54" s="49">
        <f t="shared" si="23"/>
        <v>2.5000000000000001E-2</v>
      </c>
      <c r="AO54" s="49">
        <f t="shared" si="24"/>
        <v>0</v>
      </c>
      <c r="AP54" s="59">
        <v>251913</v>
      </c>
      <c r="AQ54" s="59">
        <f t="shared" si="25"/>
        <v>40216947</v>
      </c>
      <c r="AR54" s="59">
        <f>ROUND(AQ54/'3_Levels 1&amp;2'!C54,2)</f>
        <v>6892.36</v>
      </c>
    </row>
    <row r="55" spans="1:44" ht="15" customHeight="1" x14ac:dyDescent="0.2">
      <c r="A55" s="46">
        <v>49</v>
      </c>
      <c r="B55" s="47" t="s">
        <v>52</v>
      </c>
      <c r="C55" s="48">
        <v>784265170</v>
      </c>
      <c r="D55" s="48">
        <v>132276958</v>
      </c>
      <c r="E55" s="48">
        <f t="shared" si="9"/>
        <v>651988212</v>
      </c>
      <c r="F55" s="48">
        <v>627269322</v>
      </c>
      <c r="G55" s="49">
        <f t="shared" si="10"/>
        <v>3.9407140016326191E-2</v>
      </c>
      <c r="H55" s="50">
        <f t="shared" si="19"/>
        <v>651988212</v>
      </c>
      <c r="I55" s="51">
        <v>4.37</v>
      </c>
      <c r="J55" s="52">
        <v>2821918</v>
      </c>
      <c r="K55" s="51">
        <v>16.149999999999999</v>
      </c>
      <c r="L55" s="52">
        <v>10469194</v>
      </c>
      <c r="M55" s="53">
        <v>0</v>
      </c>
      <c r="N55" s="53">
        <v>0</v>
      </c>
      <c r="O55" s="53">
        <v>0</v>
      </c>
      <c r="P55" s="52">
        <v>0</v>
      </c>
      <c r="Q55" s="48">
        <f t="shared" si="11"/>
        <v>13291112</v>
      </c>
      <c r="R55" s="53">
        <v>0</v>
      </c>
      <c r="S55" s="52">
        <v>0</v>
      </c>
      <c r="T55" s="53">
        <v>0</v>
      </c>
      <c r="U55" s="53">
        <v>0</v>
      </c>
      <c r="V55" s="53">
        <v>0</v>
      </c>
      <c r="W55" s="52">
        <v>0</v>
      </c>
      <c r="X55" s="48">
        <f t="shared" si="12"/>
        <v>0</v>
      </c>
      <c r="Y55" s="55">
        <f t="shared" si="13"/>
        <v>20.52</v>
      </c>
      <c r="Z55" s="48">
        <f t="shared" si="14"/>
        <v>13291112</v>
      </c>
      <c r="AA55" s="48">
        <f t="shared" si="15"/>
        <v>0</v>
      </c>
      <c r="AB55" s="56">
        <f t="shared" si="20"/>
        <v>0</v>
      </c>
      <c r="AC55" s="57">
        <f t="shared" si="21"/>
        <v>20.39</v>
      </c>
      <c r="AD55" s="58">
        <f t="shared" si="22"/>
        <v>20.32</v>
      </c>
      <c r="AE55" s="59">
        <f>X55+Q55+[18]Sheet1!$D51</f>
        <v>13250783</v>
      </c>
      <c r="AF55" s="60">
        <v>0.02</v>
      </c>
      <c r="AG55" s="61">
        <v>23216718</v>
      </c>
      <c r="AH55" s="61">
        <v>0</v>
      </c>
      <c r="AI55" s="62">
        <f>AG55+AH55+[18]Sheet1!$G51</f>
        <v>23368563</v>
      </c>
      <c r="AJ55" s="59">
        <v>1153064650</v>
      </c>
      <c r="AK55" s="59">
        <f t="shared" si="26"/>
        <v>1168428150</v>
      </c>
      <c r="AL55" s="60">
        <f t="shared" si="16"/>
        <v>1.3324057762069109E-2</v>
      </c>
      <c r="AM55" s="59">
        <f t="shared" si="17"/>
        <v>1168428150</v>
      </c>
      <c r="AN55" s="49">
        <f t="shared" si="23"/>
        <v>1.9870043356966367E-2</v>
      </c>
      <c r="AO55" s="49">
        <f t="shared" si="24"/>
        <v>0</v>
      </c>
      <c r="AP55" s="59">
        <v>542634</v>
      </c>
      <c r="AQ55" s="59">
        <f t="shared" si="25"/>
        <v>37161980</v>
      </c>
      <c r="AR55" s="59">
        <f>ROUND(AQ55/'3_Levels 1&amp;2'!C55,2)</f>
        <v>2791.2</v>
      </c>
    </row>
    <row r="56" spans="1:44" ht="15" customHeight="1" x14ac:dyDescent="0.2">
      <c r="A56" s="65">
        <v>50</v>
      </c>
      <c r="B56" s="66" t="s">
        <v>53</v>
      </c>
      <c r="C56" s="67">
        <v>472034441</v>
      </c>
      <c r="D56" s="67">
        <v>88578262</v>
      </c>
      <c r="E56" s="67">
        <f t="shared" si="9"/>
        <v>383456179</v>
      </c>
      <c r="F56" s="67">
        <v>389990472</v>
      </c>
      <c r="G56" s="68">
        <f t="shared" si="10"/>
        <v>-1.675500677360138E-2</v>
      </c>
      <c r="H56" s="69">
        <f t="shared" si="19"/>
        <v>383456179</v>
      </c>
      <c r="I56" s="70">
        <v>2.48</v>
      </c>
      <c r="J56" s="71">
        <v>942035</v>
      </c>
      <c r="K56" s="70">
        <v>9.5299999999999994</v>
      </c>
      <c r="L56" s="71">
        <v>3620163</v>
      </c>
      <c r="M56" s="72">
        <v>0</v>
      </c>
      <c r="N56" s="72">
        <v>0</v>
      </c>
      <c r="O56" s="72">
        <v>0</v>
      </c>
      <c r="P56" s="71">
        <v>0</v>
      </c>
      <c r="Q56" s="67">
        <f t="shared" si="11"/>
        <v>4562198</v>
      </c>
      <c r="R56" s="72">
        <v>21.5</v>
      </c>
      <c r="S56" s="71">
        <v>8167016</v>
      </c>
      <c r="T56" s="72">
        <v>0</v>
      </c>
      <c r="U56" s="72">
        <v>0</v>
      </c>
      <c r="V56" s="72">
        <v>0</v>
      </c>
      <c r="W56" s="71">
        <v>0</v>
      </c>
      <c r="X56" s="67">
        <f t="shared" si="12"/>
        <v>8167016</v>
      </c>
      <c r="Y56" s="73">
        <f t="shared" si="13"/>
        <v>33.51</v>
      </c>
      <c r="Z56" s="67">
        <f t="shared" si="14"/>
        <v>12729214</v>
      </c>
      <c r="AA56" s="67">
        <f t="shared" si="15"/>
        <v>0</v>
      </c>
      <c r="AB56" s="74">
        <f t="shared" si="20"/>
        <v>21.3</v>
      </c>
      <c r="AC56" s="75">
        <f t="shared" si="21"/>
        <v>11.9</v>
      </c>
      <c r="AD56" s="76">
        <f t="shared" si="22"/>
        <v>33.200000000000003</v>
      </c>
      <c r="AE56" s="77">
        <f>X56+Q56+[18]Sheet1!$D52</f>
        <v>12729214</v>
      </c>
      <c r="AF56" s="78">
        <v>0.02</v>
      </c>
      <c r="AG56" s="79">
        <v>15367394</v>
      </c>
      <c r="AH56" s="79">
        <v>0</v>
      </c>
      <c r="AI56" s="80">
        <f>AG56+AH56+[18]Sheet1!$G52</f>
        <v>15367394</v>
      </c>
      <c r="AJ56" s="77">
        <v>707582300</v>
      </c>
      <c r="AK56" s="77">
        <f t="shared" si="26"/>
        <v>768369700</v>
      </c>
      <c r="AL56" s="78">
        <f t="shared" si="16"/>
        <v>8.5908593247739515E-2</v>
      </c>
      <c r="AM56" s="77">
        <f t="shared" si="17"/>
        <v>768369700</v>
      </c>
      <c r="AN56" s="68">
        <f t="shared" si="23"/>
        <v>0.02</v>
      </c>
      <c r="AO56" s="68">
        <f t="shared" si="24"/>
        <v>0</v>
      </c>
      <c r="AP56" s="77">
        <v>320519</v>
      </c>
      <c r="AQ56" s="77">
        <f t="shared" si="25"/>
        <v>28417127</v>
      </c>
      <c r="AR56" s="77">
        <f>ROUND(AQ56/'3_Levels 1&amp;2'!C56,2)</f>
        <v>3760.37</v>
      </c>
    </row>
    <row r="57" spans="1:44" ht="15" customHeight="1" x14ac:dyDescent="0.2">
      <c r="A57" s="46">
        <v>51</v>
      </c>
      <c r="B57" s="47" t="s">
        <v>54</v>
      </c>
      <c r="C57" s="48">
        <v>625992829</v>
      </c>
      <c r="D57" s="48">
        <v>74662927</v>
      </c>
      <c r="E57" s="48">
        <f t="shared" si="9"/>
        <v>551329902</v>
      </c>
      <c r="F57" s="48">
        <v>608764015</v>
      </c>
      <c r="G57" s="49">
        <f t="shared" si="10"/>
        <v>-9.4345446814887698E-2</v>
      </c>
      <c r="H57" s="50">
        <f t="shared" si="19"/>
        <v>551329902</v>
      </c>
      <c r="I57" s="51">
        <v>8.35</v>
      </c>
      <c r="J57" s="52">
        <v>4492495</v>
      </c>
      <c r="K57" s="51">
        <v>11.17</v>
      </c>
      <c r="L57" s="52">
        <v>6009714</v>
      </c>
      <c r="M57" s="53">
        <v>0</v>
      </c>
      <c r="N57" s="53">
        <v>12.17</v>
      </c>
      <c r="O57" s="53">
        <v>3</v>
      </c>
      <c r="P57" s="52">
        <v>6418452</v>
      </c>
      <c r="Q57" s="48">
        <f t="shared" si="11"/>
        <v>16920661</v>
      </c>
      <c r="R57" s="54">
        <v>0</v>
      </c>
      <c r="S57" s="52">
        <v>0</v>
      </c>
      <c r="T57" s="53">
        <v>0</v>
      </c>
      <c r="U57" s="53">
        <v>15</v>
      </c>
      <c r="V57" s="53">
        <v>3</v>
      </c>
      <c r="W57" s="52">
        <v>2794776</v>
      </c>
      <c r="X57" s="48">
        <f t="shared" si="12"/>
        <v>2794776</v>
      </c>
      <c r="Y57" s="55">
        <f t="shared" si="13"/>
        <v>19.52</v>
      </c>
      <c r="Z57" s="48">
        <f t="shared" si="14"/>
        <v>10502209</v>
      </c>
      <c r="AA57" s="48">
        <f t="shared" si="15"/>
        <v>9213228</v>
      </c>
      <c r="AB57" s="56">
        <f t="shared" si="20"/>
        <v>5.07</v>
      </c>
      <c r="AC57" s="57">
        <f t="shared" si="21"/>
        <v>30.69</v>
      </c>
      <c r="AD57" s="58">
        <f t="shared" si="22"/>
        <v>35.76</v>
      </c>
      <c r="AE57" s="59">
        <f>X57+Q57+[18]Sheet1!$D53</f>
        <v>19715437</v>
      </c>
      <c r="AF57" s="60">
        <v>1.7500000000000002E-2</v>
      </c>
      <c r="AG57" s="61">
        <v>14811568</v>
      </c>
      <c r="AH57" s="61">
        <v>0</v>
      </c>
      <c r="AI57" s="62">
        <f>AG57+AH57+[18]Sheet1!$G53</f>
        <v>14811568</v>
      </c>
      <c r="AJ57" s="59">
        <v>826029829</v>
      </c>
      <c r="AK57" s="59">
        <f t="shared" si="26"/>
        <v>846375314</v>
      </c>
      <c r="AL57" s="63">
        <f t="shared" si="16"/>
        <v>2.4630448303096329E-2</v>
      </c>
      <c r="AM57" s="64">
        <f t="shared" si="17"/>
        <v>846375314</v>
      </c>
      <c r="AN57" s="49">
        <f t="shared" si="23"/>
        <v>1.7500000005907543E-2</v>
      </c>
      <c r="AO57" s="49">
        <f t="shared" si="24"/>
        <v>0</v>
      </c>
      <c r="AP57" s="59">
        <v>648143</v>
      </c>
      <c r="AQ57" s="59">
        <f t="shared" si="25"/>
        <v>35175148</v>
      </c>
      <c r="AR57" s="59">
        <f>ROUND(AQ57/'3_Levels 1&amp;2'!C57,2)</f>
        <v>4254.37</v>
      </c>
    </row>
    <row r="58" spans="1:44" ht="15" customHeight="1" x14ac:dyDescent="0.2">
      <c r="A58" s="46">
        <v>52</v>
      </c>
      <c r="B58" s="47" t="s">
        <v>55</v>
      </c>
      <c r="C58" s="48">
        <v>2529120489</v>
      </c>
      <c r="D58" s="48">
        <v>507774412</v>
      </c>
      <c r="E58" s="48">
        <f t="shared" si="9"/>
        <v>2021346077</v>
      </c>
      <c r="F58" s="48">
        <v>1959106854</v>
      </c>
      <c r="G58" s="49">
        <f t="shared" si="10"/>
        <v>3.176918240723995E-2</v>
      </c>
      <c r="H58" s="50">
        <f t="shared" si="19"/>
        <v>2021346077</v>
      </c>
      <c r="I58" s="51">
        <v>3.65</v>
      </c>
      <c r="J58" s="52">
        <v>7294842</v>
      </c>
      <c r="K58" s="51">
        <v>44.86</v>
      </c>
      <c r="L58" s="52">
        <v>89651715</v>
      </c>
      <c r="M58" s="53">
        <v>0</v>
      </c>
      <c r="N58" s="53">
        <v>0</v>
      </c>
      <c r="O58" s="53">
        <v>0</v>
      </c>
      <c r="P58" s="52">
        <v>0</v>
      </c>
      <c r="Q58" s="48">
        <f t="shared" si="11"/>
        <v>96946557</v>
      </c>
      <c r="R58" s="53">
        <v>16.899999999999999</v>
      </c>
      <c r="S58" s="52">
        <v>33828708</v>
      </c>
      <c r="T58" s="53">
        <v>0</v>
      </c>
      <c r="U58" s="53">
        <v>0</v>
      </c>
      <c r="V58" s="53">
        <v>0</v>
      </c>
      <c r="W58" s="52">
        <v>0</v>
      </c>
      <c r="X58" s="48">
        <f t="shared" si="12"/>
        <v>33828708</v>
      </c>
      <c r="Y58" s="55">
        <f t="shared" si="13"/>
        <v>65.41</v>
      </c>
      <c r="Z58" s="48">
        <f t="shared" si="14"/>
        <v>130775265</v>
      </c>
      <c r="AA58" s="48">
        <f t="shared" si="15"/>
        <v>0</v>
      </c>
      <c r="AB58" s="56">
        <f t="shared" si="20"/>
        <v>16.739999999999998</v>
      </c>
      <c r="AC58" s="57">
        <f t="shared" si="21"/>
        <v>47.96</v>
      </c>
      <c r="AD58" s="58">
        <f t="shared" si="22"/>
        <v>64.7</v>
      </c>
      <c r="AE58" s="59">
        <f>X58+Q58+[18]Sheet1!$D54</f>
        <v>130775265</v>
      </c>
      <c r="AF58" s="60">
        <v>0.02</v>
      </c>
      <c r="AG58" s="61">
        <v>97261498</v>
      </c>
      <c r="AH58" s="61">
        <v>0</v>
      </c>
      <c r="AI58" s="62">
        <f>AG58+AH58+[18]Sheet1!$G54</f>
        <v>97261498</v>
      </c>
      <c r="AJ58" s="59">
        <v>4825984850</v>
      </c>
      <c r="AK58" s="59">
        <f t="shared" si="26"/>
        <v>4863074900</v>
      </c>
      <c r="AL58" s="63">
        <f t="shared" si="16"/>
        <v>7.6854882791436863E-3</v>
      </c>
      <c r="AM58" s="64">
        <f t="shared" si="17"/>
        <v>4863074900</v>
      </c>
      <c r="AN58" s="49">
        <f t="shared" si="23"/>
        <v>0.02</v>
      </c>
      <c r="AO58" s="49">
        <f t="shared" si="24"/>
        <v>0</v>
      </c>
      <c r="AP58" s="59">
        <v>2009558</v>
      </c>
      <c r="AQ58" s="59">
        <f t="shared" si="25"/>
        <v>230046321</v>
      </c>
      <c r="AR58" s="59">
        <f>ROUND(AQ58/'3_Levels 1&amp;2'!C58,2)</f>
        <v>6099.11</v>
      </c>
    </row>
    <row r="59" spans="1:44" ht="15" customHeight="1" x14ac:dyDescent="0.2">
      <c r="A59" s="46">
        <v>53</v>
      </c>
      <c r="B59" s="47" t="s">
        <v>56</v>
      </c>
      <c r="C59" s="48">
        <v>778627489</v>
      </c>
      <c r="D59" s="48">
        <v>202708500</v>
      </c>
      <c r="E59" s="48">
        <f t="shared" si="9"/>
        <v>575918989</v>
      </c>
      <c r="F59" s="48">
        <v>564635317</v>
      </c>
      <c r="G59" s="49">
        <f t="shared" si="10"/>
        <v>1.9983999690192954E-2</v>
      </c>
      <c r="H59" s="50">
        <f t="shared" si="19"/>
        <v>575918989</v>
      </c>
      <c r="I59" s="51">
        <v>4.0599999999999996</v>
      </c>
      <c r="J59" s="52">
        <v>2302423</v>
      </c>
      <c r="K59" s="51">
        <v>0</v>
      </c>
      <c r="L59" s="52">
        <v>0</v>
      </c>
      <c r="M59" s="53">
        <v>0</v>
      </c>
      <c r="N59" s="53">
        <v>15</v>
      </c>
      <c r="O59" s="53">
        <v>2</v>
      </c>
      <c r="P59" s="52">
        <v>4341059</v>
      </c>
      <c r="Q59" s="48">
        <f t="shared" si="11"/>
        <v>6643482</v>
      </c>
      <c r="R59" s="53">
        <v>0</v>
      </c>
      <c r="S59" s="52">
        <v>0</v>
      </c>
      <c r="T59" s="53">
        <v>0</v>
      </c>
      <c r="U59" s="53">
        <v>12.75</v>
      </c>
      <c r="V59" s="53">
        <v>2</v>
      </c>
      <c r="W59" s="52">
        <v>398286</v>
      </c>
      <c r="X59" s="48">
        <f t="shared" si="12"/>
        <v>398286</v>
      </c>
      <c r="Y59" s="55">
        <f t="shared" si="13"/>
        <v>4.0599999999999996</v>
      </c>
      <c r="Z59" s="48">
        <f t="shared" si="14"/>
        <v>2302423</v>
      </c>
      <c r="AA59" s="48">
        <f t="shared" si="15"/>
        <v>4739345</v>
      </c>
      <c r="AB59" s="56">
        <f t="shared" si="20"/>
        <v>0.69</v>
      </c>
      <c r="AC59" s="57">
        <f t="shared" si="21"/>
        <v>11.54</v>
      </c>
      <c r="AD59" s="58">
        <f t="shared" si="22"/>
        <v>12.23</v>
      </c>
      <c r="AE59" s="59">
        <f>X59+Q59+[18]Sheet1!$D55</f>
        <v>7041768</v>
      </c>
      <c r="AF59" s="60">
        <v>0.02</v>
      </c>
      <c r="AG59" s="61">
        <v>43300304</v>
      </c>
      <c r="AH59" s="61">
        <v>1064000</v>
      </c>
      <c r="AI59" s="62">
        <f>AG59+AH59+[18]Sheet1!$G55</f>
        <v>44364304</v>
      </c>
      <c r="AJ59" s="59">
        <v>2210446550</v>
      </c>
      <c r="AK59" s="59">
        <f t="shared" si="26"/>
        <v>2218215200</v>
      </c>
      <c r="AL59" s="60">
        <f t="shared" si="16"/>
        <v>3.5145161053543685E-3</v>
      </c>
      <c r="AM59" s="59">
        <f t="shared" si="17"/>
        <v>2218215200</v>
      </c>
      <c r="AN59" s="49">
        <f t="shared" si="23"/>
        <v>1.9520335087416227E-2</v>
      </c>
      <c r="AO59" s="49">
        <f t="shared" si="24"/>
        <v>4.7966491258377453E-4</v>
      </c>
      <c r="AP59" s="59">
        <v>204399</v>
      </c>
      <c r="AQ59" s="59">
        <f t="shared" si="25"/>
        <v>51610471</v>
      </c>
      <c r="AR59" s="59">
        <f>ROUND(AQ59/'3_Levels 1&amp;2'!C59,2)</f>
        <v>2649.54</v>
      </c>
    </row>
    <row r="60" spans="1:44" ht="15" customHeight="1" x14ac:dyDescent="0.2">
      <c r="A60" s="46">
        <v>54</v>
      </c>
      <c r="B60" s="47" t="s">
        <v>57</v>
      </c>
      <c r="C60" s="48">
        <v>60871475</v>
      </c>
      <c r="D60" s="48">
        <v>5362823</v>
      </c>
      <c r="E60" s="48">
        <f t="shared" si="9"/>
        <v>55508652</v>
      </c>
      <c r="F60" s="48">
        <v>55364406</v>
      </c>
      <c r="G60" s="49">
        <f t="shared" si="10"/>
        <v>2.6053923526245366E-3</v>
      </c>
      <c r="H60" s="50">
        <f t="shared" si="19"/>
        <v>55508652</v>
      </c>
      <c r="I60" s="51">
        <v>5.42</v>
      </c>
      <c r="J60" s="52">
        <v>304864</v>
      </c>
      <c r="K60" s="51">
        <v>32.28</v>
      </c>
      <c r="L60" s="52">
        <v>1814752</v>
      </c>
      <c r="M60" s="53">
        <v>0</v>
      </c>
      <c r="N60" s="53">
        <v>0</v>
      </c>
      <c r="O60" s="53">
        <v>0</v>
      </c>
      <c r="P60" s="52">
        <v>0</v>
      </c>
      <c r="Q60" s="48">
        <f t="shared" si="11"/>
        <v>2119616</v>
      </c>
      <c r="R60" s="53">
        <v>0</v>
      </c>
      <c r="S60" s="52">
        <v>0</v>
      </c>
      <c r="T60" s="53">
        <v>0</v>
      </c>
      <c r="U60" s="53">
        <v>0</v>
      </c>
      <c r="V60" s="53">
        <v>0</v>
      </c>
      <c r="W60" s="52">
        <v>0</v>
      </c>
      <c r="X60" s="48">
        <f t="shared" si="12"/>
        <v>0</v>
      </c>
      <c r="Y60" s="55">
        <f t="shared" si="13"/>
        <v>37.700000000000003</v>
      </c>
      <c r="Z60" s="48">
        <f t="shared" si="14"/>
        <v>2119616</v>
      </c>
      <c r="AA60" s="48">
        <f t="shared" si="15"/>
        <v>0</v>
      </c>
      <c r="AB60" s="56">
        <f t="shared" si="20"/>
        <v>0</v>
      </c>
      <c r="AC60" s="57">
        <f t="shared" si="21"/>
        <v>38.19</v>
      </c>
      <c r="AD60" s="58">
        <f t="shared" si="22"/>
        <v>38.19</v>
      </c>
      <c r="AE60" s="59">
        <f>X60+Q60+[18]Sheet1!$D56</f>
        <v>2119616</v>
      </c>
      <c r="AF60" s="60">
        <v>1.4999999999999999E-2</v>
      </c>
      <c r="AG60" s="61">
        <v>688586</v>
      </c>
      <c r="AH60" s="61">
        <v>0</v>
      </c>
      <c r="AI60" s="62">
        <f>AG60+AH60+[18]Sheet1!$G56</f>
        <v>688586</v>
      </c>
      <c r="AJ60" s="59">
        <v>48316667</v>
      </c>
      <c r="AK60" s="59">
        <f t="shared" si="26"/>
        <v>45905733</v>
      </c>
      <c r="AL60" s="60">
        <f t="shared" si="16"/>
        <v>-4.9898599172827879E-2</v>
      </c>
      <c r="AM60" s="59">
        <f t="shared" si="17"/>
        <v>45905733</v>
      </c>
      <c r="AN60" s="49">
        <f t="shared" si="23"/>
        <v>1.5000000108918858E-2</v>
      </c>
      <c r="AO60" s="49">
        <f t="shared" si="24"/>
        <v>0</v>
      </c>
      <c r="AP60" s="59">
        <v>46926</v>
      </c>
      <c r="AQ60" s="59">
        <f t="shared" si="25"/>
        <v>2855128</v>
      </c>
      <c r="AR60" s="59">
        <f>ROUND(AQ60/'3_Levels 1&amp;2'!C60,2)</f>
        <v>5874.75</v>
      </c>
    </row>
    <row r="61" spans="1:44" ht="15" customHeight="1" x14ac:dyDescent="0.2">
      <c r="A61" s="65">
        <v>55</v>
      </c>
      <c r="B61" s="66" t="s">
        <v>58</v>
      </c>
      <c r="C61" s="67">
        <v>1133043968</v>
      </c>
      <c r="D61" s="67">
        <v>181919325</v>
      </c>
      <c r="E61" s="67">
        <f t="shared" si="9"/>
        <v>951124643</v>
      </c>
      <c r="F61" s="67">
        <v>922511933</v>
      </c>
      <c r="G61" s="68">
        <f t="shared" si="10"/>
        <v>3.1016086596247855E-2</v>
      </c>
      <c r="H61" s="69">
        <f t="shared" si="19"/>
        <v>951124643</v>
      </c>
      <c r="I61" s="70">
        <v>3.86</v>
      </c>
      <c r="J61" s="71">
        <v>3663176</v>
      </c>
      <c r="K61" s="70">
        <v>5.41</v>
      </c>
      <c r="L61" s="71">
        <v>5134140</v>
      </c>
      <c r="M61" s="72">
        <v>0</v>
      </c>
      <c r="N61" s="72">
        <v>0</v>
      </c>
      <c r="O61" s="72">
        <v>0</v>
      </c>
      <c r="P61" s="71">
        <v>0</v>
      </c>
      <c r="Q61" s="67">
        <f t="shared" si="11"/>
        <v>8797316</v>
      </c>
      <c r="R61" s="72">
        <v>0</v>
      </c>
      <c r="S61" s="71">
        <v>0</v>
      </c>
      <c r="T61" s="72">
        <v>0</v>
      </c>
      <c r="U61" s="72">
        <v>0</v>
      </c>
      <c r="V61" s="72">
        <v>0</v>
      </c>
      <c r="W61" s="71">
        <v>0</v>
      </c>
      <c r="X61" s="67">
        <f t="shared" si="12"/>
        <v>0</v>
      </c>
      <c r="Y61" s="73">
        <f t="shared" si="13"/>
        <v>9.27</v>
      </c>
      <c r="Z61" s="67">
        <f t="shared" si="14"/>
        <v>8797316</v>
      </c>
      <c r="AA61" s="67">
        <f t="shared" si="15"/>
        <v>0</v>
      </c>
      <c r="AB61" s="74">
        <f t="shared" si="20"/>
        <v>0</v>
      </c>
      <c r="AC61" s="75">
        <f t="shared" si="21"/>
        <v>9.25</v>
      </c>
      <c r="AD61" s="76">
        <f t="shared" si="22"/>
        <v>9.25</v>
      </c>
      <c r="AE61" s="77">
        <f>X61+Q61+[18]Sheet1!$D57</f>
        <v>8797316</v>
      </c>
      <c r="AF61" s="78">
        <v>2.58E-2</v>
      </c>
      <c r="AG61" s="79">
        <v>55733558</v>
      </c>
      <c r="AH61" s="79">
        <v>0</v>
      </c>
      <c r="AI61" s="80">
        <f>AG61+AH61+[18]Sheet1!$G57</f>
        <v>55733558</v>
      </c>
      <c r="AJ61" s="77">
        <v>2084899457</v>
      </c>
      <c r="AK61" s="77">
        <f t="shared" si="26"/>
        <v>2160215426</v>
      </c>
      <c r="AL61" s="78">
        <f t="shared" si="16"/>
        <v>3.6124508904795592E-2</v>
      </c>
      <c r="AM61" s="77">
        <f t="shared" si="17"/>
        <v>2160215426</v>
      </c>
      <c r="AN61" s="68">
        <f t="shared" si="23"/>
        <v>2.5800000004258833E-2</v>
      </c>
      <c r="AO61" s="68">
        <f t="shared" si="24"/>
        <v>0</v>
      </c>
      <c r="AP61" s="77">
        <v>304730</v>
      </c>
      <c r="AQ61" s="77">
        <f t="shared" si="25"/>
        <v>64835604</v>
      </c>
      <c r="AR61" s="77">
        <f>ROUND(AQ61/'3_Levels 1&amp;2'!C61,2)</f>
        <v>3869.63</v>
      </c>
    </row>
    <row r="62" spans="1:44" ht="15" customHeight="1" x14ac:dyDescent="0.2">
      <c r="A62" s="46">
        <v>56</v>
      </c>
      <c r="B62" s="47" t="s">
        <v>59</v>
      </c>
      <c r="C62" s="48">
        <v>187228892</v>
      </c>
      <c r="D62" s="48">
        <v>35184534</v>
      </c>
      <c r="E62" s="48">
        <f t="shared" si="9"/>
        <v>152044358</v>
      </c>
      <c r="F62" s="48">
        <v>154599163</v>
      </c>
      <c r="G62" s="49">
        <f t="shared" si="10"/>
        <v>-1.6525348199976996E-2</v>
      </c>
      <c r="H62" s="50">
        <f t="shared" si="19"/>
        <v>152044358</v>
      </c>
      <c r="I62" s="51">
        <v>3.55</v>
      </c>
      <c r="J62" s="52">
        <v>531160</v>
      </c>
      <c r="K62" s="51">
        <v>15</v>
      </c>
      <c r="L62" s="52">
        <v>2244605</v>
      </c>
      <c r="M62" s="53">
        <v>0</v>
      </c>
      <c r="N62" s="53">
        <v>0</v>
      </c>
      <c r="O62" s="53">
        <v>0</v>
      </c>
      <c r="P62" s="52">
        <v>114</v>
      </c>
      <c r="Q62" s="48">
        <f t="shared" si="11"/>
        <v>2775879</v>
      </c>
      <c r="R62" s="54">
        <v>4</v>
      </c>
      <c r="S62" s="52">
        <v>598273</v>
      </c>
      <c r="T62" s="53">
        <v>0</v>
      </c>
      <c r="U62" s="53">
        <v>0</v>
      </c>
      <c r="V62" s="53">
        <v>0</v>
      </c>
      <c r="W62" s="52">
        <v>0</v>
      </c>
      <c r="X62" s="48">
        <f t="shared" si="12"/>
        <v>598273</v>
      </c>
      <c r="Y62" s="55">
        <f t="shared" si="13"/>
        <v>22.55</v>
      </c>
      <c r="Z62" s="48">
        <f t="shared" si="14"/>
        <v>3374038</v>
      </c>
      <c r="AA62" s="48">
        <f t="shared" si="15"/>
        <v>114</v>
      </c>
      <c r="AB62" s="56">
        <f t="shared" si="20"/>
        <v>3.93</v>
      </c>
      <c r="AC62" s="57">
        <f t="shared" si="21"/>
        <v>18.260000000000002</v>
      </c>
      <c r="AD62" s="58">
        <f t="shared" si="22"/>
        <v>22.2</v>
      </c>
      <c r="AE62" s="59">
        <f>X62+Q62+[18]Sheet1!$D58</f>
        <v>3374833.37</v>
      </c>
      <c r="AF62" s="60">
        <v>0.03</v>
      </c>
      <c r="AG62" s="61">
        <v>7373157</v>
      </c>
      <c r="AH62" s="61">
        <v>0</v>
      </c>
      <c r="AI62" s="62">
        <f>AG62+AH62+[18]Sheet1!$G58</f>
        <v>7373157</v>
      </c>
      <c r="AJ62" s="59">
        <v>244943167</v>
      </c>
      <c r="AK62" s="59">
        <f t="shared" si="26"/>
        <v>245771900</v>
      </c>
      <c r="AL62" s="63">
        <f t="shared" si="16"/>
        <v>3.3833685182979609E-3</v>
      </c>
      <c r="AM62" s="64">
        <f t="shared" si="17"/>
        <v>245771900</v>
      </c>
      <c r="AN62" s="49">
        <f t="shared" si="23"/>
        <v>0.03</v>
      </c>
      <c r="AO62" s="49">
        <f t="shared" si="24"/>
        <v>0</v>
      </c>
      <c r="AP62" s="59">
        <v>99794</v>
      </c>
      <c r="AQ62" s="59">
        <f t="shared" si="25"/>
        <v>10847784.370000001</v>
      </c>
      <c r="AR62" s="59">
        <f>ROUND(AQ62/'3_Levels 1&amp;2'!C62,2)</f>
        <v>3640.2</v>
      </c>
    </row>
    <row r="63" spans="1:44" ht="15" customHeight="1" x14ac:dyDescent="0.2">
      <c r="A63" s="46">
        <v>57</v>
      </c>
      <c r="B63" s="47" t="s">
        <v>60</v>
      </c>
      <c r="C63" s="48">
        <v>404938982</v>
      </c>
      <c r="D63" s="48">
        <v>95076719</v>
      </c>
      <c r="E63" s="48">
        <f t="shared" si="9"/>
        <v>309862263</v>
      </c>
      <c r="F63" s="48">
        <v>336437750</v>
      </c>
      <c r="G63" s="49">
        <f t="shared" si="10"/>
        <v>-7.8990799932528374E-2</v>
      </c>
      <c r="H63" s="50">
        <f t="shared" si="19"/>
        <v>309862263</v>
      </c>
      <c r="I63" s="51">
        <v>4.6500000000000004</v>
      </c>
      <c r="J63" s="52">
        <v>1412499</v>
      </c>
      <c r="K63" s="51">
        <v>35</v>
      </c>
      <c r="L63" s="52">
        <v>10631715</v>
      </c>
      <c r="M63" s="53">
        <v>0</v>
      </c>
      <c r="N63" s="53">
        <v>0</v>
      </c>
      <c r="O63" s="53">
        <v>0</v>
      </c>
      <c r="P63" s="52">
        <v>0</v>
      </c>
      <c r="Q63" s="48">
        <f t="shared" si="11"/>
        <v>12044214</v>
      </c>
      <c r="R63" s="53"/>
      <c r="S63" s="52"/>
      <c r="T63" s="53"/>
      <c r="U63" s="53"/>
      <c r="V63" s="53"/>
      <c r="W63" s="52"/>
      <c r="X63" s="48">
        <f t="shared" si="12"/>
        <v>0</v>
      </c>
      <c r="Y63" s="55">
        <f t="shared" si="13"/>
        <v>39.65</v>
      </c>
      <c r="Z63" s="48">
        <f t="shared" si="14"/>
        <v>12044214</v>
      </c>
      <c r="AA63" s="48">
        <f t="shared" si="15"/>
        <v>0</v>
      </c>
      <c r="AB63" s="56">
        <f t="shared" si="20"/>
        <v>0</v>
      </c>
      <c r="AC63" s="57">
        <f t="shared" si="21"/>
        <v>38.869999999999997</v>
      </c>
      <c r="AD63" s="58">
        <f t="shared" si="22"/>
        <v>38.869999999999997</v>
      </c>
      <c r="AE63" s="59">
        <f>X63+Q63+[18]Sheet1!$D59</f>
        <v>12044214</v>
      </c>
      <c r="AF63" s="60">
        <v>1.4999999999999999E-2</v>
      </c>
      <c r="AG63" s="61">
        <v>11227692</v>
      </c>
      <c r="AH63" s="61">
        <v>0</v>
      </c>
      <c r="AI63" s="62">
        <f>AG63+AH63+[18]Sheet1!$G59</f>
        <v>11227692</v>
      </c>
      <c r="AJ63" s="59">
        <v>734228733</v>
      </c>
      <c r="AK63" s="59">
        <f t="shared" si="26"/>
        <v>748512800</v>
      </c>
      <c r="AL63" s="63">
        <f t="shared" si="16"/>
        <v>1.9454519222690241E-2</v>
      </c>
      <c r="AM63" s="64">
        <f t="shared" si="17"/>
        <v>748512800</v>
      </c>
      <c r="AN63" s="49">
        <f t="shared" si="23"/>
        <v>1.4999999999999999E-2</v>
      </c>
      <c r="AO63" s="49">
        <f t="shared" si="24"/>
        <v>0</v>
      </c>
      <c r="AP63" s="59">
        <v>1347078</v>
      </c>
      <c r="AQ63" s="59">
        <f t="shared" si="25"/>
        <v>24618984</v>
      </c>
      <c r="AR63" s="59">
        <f>ROUND(AQ63/'3_Levels 1&amp;2'!C63,2)</f>
        <v>2657.49</v>
      </c>
    </row>
    <row r="64" spans="1:44" ht="15" customHeight="1" x14ac:dyDescent="0.2">
      <c r="A64" s="46">
        <v>58</v>
      </c>
      <c r="B64" s="47" t="s">
        <v>61</v>
      </c>
      <c r="C64" s="48">
        <v>193641810</v>
      </c>
      <c r="D64" s="48">
        <v>54189541</v>
      </c>
      <c r="E64" s="48">
        <f t="shared" si="9"/>
        <v>139452269</v>
      </c>
      <c r="F64" s="48">
        <v>141390624</v>
      </c>
      <c r="G64" s="49">
        <f t="shared" si="10"/>
        <v>-1.3709218795158582E-2</v>
      </c>
      <c r="H64" s="50">
        <f t="shared" si="19"/>
        <v>139452269</v>
      </c>
      <c r="I64" s="51">
        <v>4.18</v>
      </c>
      <c r="J64" s="52">
        <v>569463</v>
      </c>
      <c r="K64" s="51">
        <v>8.1199999999999992</v>
      </c>
      <c r="L64" s="52">
        <v>1106259</v>
      </c>
      <c r="M64" s="53">
        <v>0</v>
      </c>
      <c r="N64" s="53">
        <v>19.11</v>
      </c>
      <c r="O64" s="53">
        <v>9</v>
      </c>
      <c r="P64" s="52">
        <v>2129237</v>
      </c>
      <c r="Q64" s="48">
        <f t="shared" si="11"/>
        <v>3804959</v>
      </c>
      <c r="R64" s="53">
        <v>0</v>
      </c>
      <c r="S64" s="52">
        <v>0</v>
      </c>
      <c r="T64" s="53">
        <v>7.35</v>
      </c>
      <c r="U64" s="53">
        <v>34.86</v>
      </c>
      <c r="V64" s="53">
        <v>9</v>
      </c>
      <c r="W64" s="52">
        <v>3881461</v>
      </c>
      <c r="X64" s="48">
        <f t="shared" si="12"/>
        <v>3881461</v>
      </c>
      <c r="Y64" s="55">
        <f t="shared" si="13"/>
        <v>12.299999999999999</v>
      </c>
      <c r="Z64" s="48">
        <f t="shared" si="14"/>
        <v>1675722</v>
      </c>
      <c r="AA64" s="48">
        <f t="shared" si="15"/>
        <v>6010698</v>
      </c>
      <c r="AB64" s="56">
        <f t="shared" si="20"/>
        <v>27.83</v>
      </c>
      <c r="AC64" s="57">
        <f t="shared" si="21"/>
        <v>27.29</v>
      </c>
      <c r="AD64" s="58">
        <f t="shared" si="22"/>
        <v>55.12</v>
      </c>
      <c r="AE64" s="59">
        <f>X64+Q64+[18]Sheet1!$D60</f>
        <v>7686420</v>
      </c>
      <c r="AF64" s="60">
        <v>0.02</v>
      </c>
      <c r="AG64" s="61">
        <v>11387088</v>
      </c>
      <c r="AH64" s="61">
        <v>0</v>
      </c>
      <c r="AI64" s="62">
        <f>AG64+AH64+[18]Sheet1!$G60</f>
        <v>11387088</v>
      </c>
      <c r="AJ64" s="59">
        <v>572918600</v>
      </c>
      <c r="AK64" s="59">
        <f t="shared" si="26"/>
        <v>569354400</v>
      </c>
      <c r="AL64" s="60">
        <f t="shared" si="16"/>
        <v>-6.2211280974295473E-3</v>
      </c>
      <c r="AM64" s="59">
        <f t="shared" si="17"/>
        <v>569354400</v>
      </c>
      <c r="AN64" s="49">
        <f t="shared" si="23"/>
        <v>0.02</v>
      </c>
      <c r="AO64" s="49">
        <f t="shared" si="24"/>
        <v>0</v>
      </c>
      <c r="AP64" s="59">
        <v>397373</v>
      </c>
      <c r="AQ64" s="59">
        <f t="shared" si="25"/>
        <v>19470881</v>
      </c>
      <c r="AR64" s="59">
        <f>ROUND(AQ64/'3_Levels 1&amp;2'!C64,2)</f>
        <v>2410.06</v>
      </c>
    </row>
    <row r="65" spans="1:44" ht="15" customHeight="1" x14ac:dyDescent="0.2">
      <c r="A65" s="46">
        <v>59</v>
      </c>
      <c r="B65" s="896" t="s">
        <v>62</v>
      </c>
      <c r="C65" s="59">
        <v>142924780</v>
      </c>
      <c r="D65" s="59">
        <v>41968018</v>
      </c>
      <c r="E65" s="48">
        <f t="shared" si="9"/>
        <v>100956762</v>
      </c>
      <c r="F65" s="48">
        <v>99213007</v>
      </c>
      <c r="G65" s="49">
        <f t="shared" si="10"/>
        <v>1.7575870873463195E-2</v>
      </c>
      <c r="H65" s="50">
        <f t="shared" si="19"/>
        <v>100956762</v>
      </c>
      <c r="I65" s="51">
        <v>3.91</v>
      </c>
      <c r="J65" s="52">
        <v>389014</v>
      </c>
      <c r="K65" s="51">
        <v>15.07</v>
      </c>
      <c r="L65" s="52">
        <v>1499350</v>
      </c>
      <c r="M65" s="53">
        <v>0</v>
      </c>
      <c r="N65" s="53">
        <v>5.19</v>
      </c>
      <c r="O65" s="53">
        <v>1</v>
      </c>
      <c r="P65" s="52">
        <v>36134</v>
      </c>
      <c r="Q65" s="48">
        <f t="shared" si="11"/>
        <v>1924498</v>
      </c>
      <c r="R65" s="53">
        <v>0</v>
      </c>
      <c r="S65" s="52">
        <v>0</v>
      </c>
      <c r="T65" s="53">
        <v>0</v>
      </c>
      <c r="U65" s="53">
        <v>15</v>
      </c>
      <c r="V65" s="53">
        <v>3</v>
      </c>
      <c r="W65" s="52">
        <v>1181700</v>
      </c>
      <c r="X65" s="48">
        <f t="shared" si="12"/>
        <v>1181700</v>
      </c>
      <c r="Y65" s="55">
        <f t="shared" si="13"/>
        <v>18.98</v>
      </c>
      <c r="Z65" s="48">
        <f t="shared" si="14"/>
        <v>1888364</v>
      </c>
      <c r="AA65" s="48">
        <f t="shared" si="15"/>
        <v>1217834</v>
      </c>
      <c r="AB65" s="56">
        <f t="shared" si="20"/>
        <v>11.71</v>
      </c>
      <c r="AC65" s="57">
        <f t="shared" si="21"/>
        <v>19.059999999999999</v>
      </c>
      <c r="AD65" s="58">
        <f t="shared" si="22"/>
        <v>30.77</v>
      </c>
      <c r="AE65" s="59">
        <f>X65+Q65+[18]Sheet1!$D61</f>
        <v>3106198</v>
      </c>
      <c r="AF65" s="60">
        <v>0.02</v>
      </c>
      <c r="AG65" s="61">
        <v>4698517</v>
      </c>
      <c r="AH65" s="61">
        <v>0</v>
      </c>
      <c r="AI65" s="62">
        <f>AG65+AH65+[18]Sheet1!$G61</f>
        <v>4698517</v>
      </c>
      <c r="AJ65" s="59">
        <v>235641700</v>
      </c>
      <c r="AK65" s="59">
        <f t="shared" si="26"/>
        <v>234925850</v>
      </c>
      <c r="AL65" s="60">
        <f t="shared" si="16"/>
        <v>-3.0378748752873538E-3</v>
      </c>
      <c r="AM65" s="59">
        <f t="shared" si="17"/>
        <v>234925850</v>
      </c>
      <c r="AN65" s="49">
        <f t="shared" si="23"/>
        <v>0.02</v>
      </c>
      <c r="AO65" s="49">
        <f t="shared" si="24"/>
        <v>0</v>
      </c>
      <c r="AP65" s="59">
        <v>159786</v>
      </c>
      <c r="AQ65" s="59">
        <f t="shared" si="25"/>
        <v>7964501</v>
      </c>
      <c r="AR65" s="59">
        <f>ROUND(AQ65/'3_Levels 1&amp;2'!C65,2)</f>
        <v>1582.46</v>
      </c>
    </row>
    <row r="66" spans="1:44" ht="15" customHeight="1" x14ac:dyDescent="0.2">
      <c r="A66" s="65">
        <v>60</v>
      </c>
      <c r="B66" s="897" t="s">
        <v>63</v>
      </c>
      <c r="C66" s="77">
        <v>311472720</v>
      </c>
      <c r="D66" s="77">
        <v>54546194</v>
      </c>
      <c r="E66" s="67">
        <f t="shared" si="9"/>
        <v>256926526</v>
      </c>
      <c r="F66" s="67">
        <v>262753265</v>
      </c>
      <c r="G66" s="68">
        <f t="shared" si="10"/>
        <v>-2.2175705409407567E-2</v>
      </c>
      <c r="H66" s="69">
        <f t="shared" si="19"/>
        <v>256926526</v>
      </c>
      <c r="I66" s="70">
        <v>4.2300000000000004</v>
      </c>
      <c r="J66" s="71">
        <v>1071695</v>
      </c>
      <c r="K66" s="70">
        <v>11.61</v>
      </c>
      <c r="L66" s="71">
        <v>2941479</v>
      </c>
      <c r="M66" s="72">
        <v>0</v>
      </c>
      <c r="N66" s="72">
        <v>26.42</v>
      </c>
      <c r="O66" s="72">
        <v>5</v>
      </c>
      <c r="P66" s="71">
        <v>1915795</v>
      </c>
      <c r="Q66" s="67">
        <f t="shared" si="11"/>
        <v>5928969</v>
      </c>
      <c r="R66" s="72">
        <v>0</v>
      </c>
      <c r="S66" s="71">
        <v>0</v>
      </c>
      <c r="T66" s="72">
        <v>0</v>
      </c>
      <c r="U66" s="72">
        <v>35</v>
      </c>
      <c r="V66" s="72">
        <v>7</v>
      </c>
      <c r="W66" s="71">
        <v>5709771</v>
      </c>
      <c r="X66" s="67">
        <f t="shared" si="12"/>
        <v>5709771</v>
      </c>
      <c r="Y66" s="73">
        <f t="shared" si="13"/>
        <v>15.84</v>
      </c>
      <c r="Z66" s="67">
        <f t="shared" si="14"/>
        <v>4013174</v>
      </c>
      <c r="AA66" s="67">
        <f t="shared" si="15"/>
        <v>7625566</v>
      </c>
      <c r="AB66" s="74">
        <f t="shared" si="20"/>
        <v>22.22</v>
      </c>
      <c r="AC66" s="75">
        <f t="shared" si="21"/>
        <v>23.08</v>
      </c>
      <c r="AD66" s="76">
        <f t="shared" si="22"/>
        <v>45.3</v>
      </c>
      <c r="AE66" s="77">
        <f>X66+Q66+[18]Sheet1!$D62</f>
        <v>11638740</v>
      </c>
      <c r="AF66" s="78">
        <v>2.1299999999999999E-2</v>
      </c>
      <c r="AG66" s="79">
        <v>14555945</v>
      </c>
      <c r="AH66" s="79">
        <v>0</v>
      </c>
      <c r="AI66" s="80">
        <f>AG66+AH66+[18]Sheet1!$G62</f>
        <v>14555945</v>
      </c>
      <c r="AJ66" s="77">
        <v>607283192</v>
      </c>
      <c r="AK66" s="77">
        <f t="shared" si="26"/>
        <v>683377700</v>
      </c>
      <c r="AL66" s="78">
        <f t="shared" si="16"/>
        <v>0.12530316827869656</v>
      </c>
      <c r="AM66" s="77">
        <f t="shared" si="17"/>
        <v>683377700</v>
      </c>
      <c r="AN66" s="68">
        <f t="shared" si="23"/>
        <v>2.1299999985366802E-2</v>
      </c>
      <c r="AO66" s="68">
        <f t="shared" si="24"/>
        <v>0</v>
      </c>
      <c r="AP66" s="77">
        <v>298569</v>
      </c>
      <c r="AQ66" s="77">
        <f t="shared" si="25"/>
        <v>26493254</v>
      </c>
      <c r="AR66" s="77">
        <f>ROUND(AQ66/'3_Levels 1&amp;2'!C66,2)</f>
        <v>4436.24</v>
      </c>
    </row>
    <row r="67" spans="1:44" ht="15" customHeight="1" x14ac:dyDescent="0.2">
      <c r="A67" s="46">
        <v>61</v>
      </c>
      <c r="B67" s="896" t="s">
        <v>64</v>
      </c>
      <c r="C67" s="59">
        <v>447634250</v>
      </c>
      <c r="D67" s="59">
        <v>46075259</v>
      </c>
      <c r="E67" s="48">
        <f t="shared" si="9"/>
        <v>401558991</v>
      </c>
      <c r="F67" s="48">
        <v>392612283</v>
      </c>
      <c r="G67" s="49">
        <f t="shared" si="10"/>
        <v>2.2787641618436071E-2</v>
      </c>
      <c r="H67" s="50">
        <f t="shared" si="19"/>
        <v>401558991</v>
      </c>
      <c r="I67" s="51">
        <v>4.3899999999999997</v>
      </c>
      <c r="J67" s="52">
        <v>1760334</v>
      </c>
      <c r="K67" s="51">
        <v>39</v>
      </c>
      <c r="L67" s="52">
        <v>15638505</v>
      </c>
      <c r="M67" s="53">
        <v>0</v>
      </c>
      <c r="N67" s="53">
        <v>0</v>
      </c>
      <c r="O67" s="53">
        <v>0</v>
      </c>
      <c r="P67" s="52">
        <v>0</v>
      </c>
      <c r="Q67" s="48">
        <f t="shared" si="11"/>
        <v>17398839</v>
      </c>
      <c r="R67" s="54">
        <v>8</v>
      </c>
      <c r="S67" s="52">
        <v>3207898</v>
      </c>
      <c r="T67" s="53">
        <v>0</v>
      </c>
      <c r="U67" s="53">
        <v>0</v>
      </c>
      <c r="V67" s="53">
        <v>0</v>
      </c>
      <c r="W67" s="52">
        <v>0</v>
      </c>
      <c r="X67" s="48">
        <f t="shared" si="12"/>
        <v>3207898</v>
      </c>
      <c r="Y67" s="55">
        <f t="shared" si="13"/>
        <v>51.39</v>
      </c>
      <c r="Z67" s="48">
        <f t="shared" si="14"/>
        <v>20606737</v>
      </c>
      <c r="AA67" s="48">
        <f t="shared" si="15"/>
        <v>0</v>
      </c>
      <c r="AB67" s="56">
        <f t="shared" si="20"/>
        <v>7.99</v>
      </c>
      <c r="AC67" s="57">
        <f t="shared" si="21"/>
        <v>43.33</v>
      </c>
      <c r="AD67" s="58">
        <f t="shared" si="22"/>
        <v>51.32</v>
      </c>
      <c r="AE67" s="59">
        <f>X67+Q67+[18]Sheet1!$D63</f>
        <v>20606737</v>
      </c>
      <c r="AF67" s="60">
        <v>0.02</v>
      </c>
      <c r="AG67" s="61">
        <v>16244186</v>
      </c>
      <c r="AH67" s="61">
        <v>0</v>
      </c>
      <c r="AI67" s="62">
        <f>AG67+AH67+[18]Sheet1!$G63</f>
        <v>16244186</v>
      </c>
      <c r="AJ67" s="59">
        <v>819298650</v>
      </c>
      <c r="AK67" s="59">
        <f t="shared" si="26"/>
        <v>812209300</v>
      </c>
      <c r="AL67" s="63">
        <f t="shared" si="16"/>
        <v>-8.6529496905676587E-3</v>
      </c>
      <c r="AM67" s="64">
        <f t="shared" si="17"/>
        <v>812209300</v>
      </c>
      <c r="AN67" s="49">
        <f t="shared" si="23"/>
        <v>0.02</v>
      </c>
      <c r="AO67" s="49">
        <f t="shared" si="24"/>
        <v>0</v>
      </c>
      <c r="AP67" s="59">
        <v>177330</v>
      </c>
      <c r="AQ67" s="59">
        <f t="shared" si="25"/>
        <v>37028253</v>
      </c>
      <c r="AR67" s="59">
        <f>ROUND(AQ67/'3_Levels 1&amp;2'!C67,2)</f>
        <v>10183.790000000001</v>
      </c>
    </row>
    <row r="68" spans="1:44" ht="15" customHeight="1" x14ac:dyDescent="0.2">
      <c r="A68" s="46">
        <v>62</v>
      </c>
      <c r="B68" s="896" t="s">
        <v>65</v>
      </c>
      <c r="C68" s="59">
        <v>78606194</v>
      </c>
      <c r="D68" s="59">
        <v>17774492</v>
      </c>
      <c r="E68" s="48">
        <f t="shared" si="9"/>
        <v>60831702</v>
      </c>
      <c r="F68" s="48">
        <v>57495052</v>
      </c>
      <c r="G68" s="49">
        <f t="shared" si="10"/>
        <v>5.8033689577322238E-2</v>
      </c>
      <c r="H68" s="50">
        <f t="shared" si="19"/>
        <v>60831702</v>
      </c>
      <c r="I68" s="51">
        <v>7.23</v>
      </c>
      <c r="J68" s="52">
        <v>426099</v>
      </c>
      <c r="K68" s="51">
        <v>18</v>
      </c>
      <c r="L68" s="52">
        <v>971264</v>
      </c>
      <c r="M68" s="53">
        <v>4.57</v>
      </c>
      <c r="N68" s="53">
        <v>4.57</v>
      </c>
      <c r="O68" s="53">
        <v>1</v>
      </c>
      <c r="P68" s="52">
        <v>213024</v>
      </c>
      <c r="Q68" s="48">
        <f t="shared" si="11"/>
        <v>1610387</v>
      </c>
      <c r="R68" s="53"/>
      <c r="S68" s="52"/>
      <c r="T68" s="53"/>
      <c r="U68" s="53"/>
      <c r="V68" s="53"/>
      <c r="W68" s="52"/>
      <c r="X68" s="48">
        <f t="shared" si="12"/>
        <v>0</v>
      </c>
      <c r="Y68" s="55">
        <f t="shared" si="13"/>
        <v>25.23</v>
      </c>
      <c r="Z68" s="48">
        <f>J68+L68+S68</f>
        <v>1397363</v>
      </c>
      <c r="AA68" s="48">
        <f t="shared" si="15"/>
        <v>213024</v>
      </c>
      <c r="AB68" s="56">
        <f t="shared" si="20"/>
        <v>0</v>
      </c>
      <c r="AC68" s="57">
        <f t="shared" si="21"/>
        <v>26.47</v>
      </c>
      <c r="AD68" s="58">
        <f t="shared" si="22"/>
        <v>26.47</v>
      </c>
      <c r="AE68" s="59">
        <f>X68+Q68+[18]Sheet1!$D64</f>
        <v>1610387</v>
      </c>
      <c r="AF68" s="60">
        <v>0.02</v>
      </c>
      <c r="AG68" s="61">
        <v>2714066</v>
      </c>
      <c r="AH68" s="61">
        <v>0</v>
      </c>
      <c r="AI68" s="62">
        <f>AG68+AH68+[18]Sheet1!$G64</f>
        <v>2714066</v>
      </c>
      <c r="AJ68" s="59">
        <v>127681400</v>
      </c>
      <c r="AK68" s="59">
        <f t="shared" si="26"/>
        <v>135703300</v>
      </c>
      <c r="AL68" s="63">
        <f t="shared" si="16"/>
        <v>6.2827475262645927E-2</v>
      </c>
      <c r="AM68" s="64">
        <f t="shared" si="17"/>
        <v>135703300</v>
      </c>
      <c r="AN68" s="49">
        <f t="shared" si="23"/>
        <v>0.02</v>
      </c>
      <c r="AO68" s="49">
        <f t="shared" si="24"/>
        <v>0</v>
      </c>
      <c r="AP68" s="59">
        <v>91139</v>
      </c>
      <c r="AQ68" s="59">
        <f t="shared" si="25"/>
        <v>4415592</v>
      </c>
      <c r="AR68" s="59">
        <f>ROUND(AQ68/'3_Levels 1&amp;2'!C68,2)</f>
        <v>2240.2800000000002</v>
      </c>
    </row>
    <row r="69" spans="1:44" ht="15" customHeight="1" x14ac:dyDescent="0.2">
      <c r="A69" s="46">
        <v>63</v>
      </c>
      <c r="B69" s="896" t="s">
        <v>66</v>
      </c>
      <c r="C69" s="59">
        <v>301800237</v>
      </c>
      <c r="D69" s="59">
        <v>17487696</v>
      </c>
      <c r="E69" s="48">
        <f t="shared" si="9"/>
        <v>284312541</v>
      </c>
      <c r="F69" s="48">
        <v>284362459</v>
      </c>
      <c r="G69" s="49">
        <f t="shared" si="10"/>
        <v>-1.7554356568565192E-4</v>
      </c>
      <c r="H69" s="50">
        <f t="shared" si="19"/>
        <v>284312541</v>
      </c>
      <c r="I69" s="51">
        <v>4.46</v>
      </c>
      <c r="J69" s="52">
        <v>1321942</v>
      </c>
      <c r="K69" s="51">
        <v>29.5</v>
      </c>
      <c r="L69" s="52">
        <v>8096040</v>
      </c>
      <c r="M69" s="53">
        <v>0</v>
      </c>
      <c r="N69" s="53">
        <v>0</v>
      </c>
      <c r="O69" s="53">
        <v>0</v>
      </c>
      <c r="P69" s="52">
        <v>0</v>
      </c>
      <c r="Q69" s="48">
        <f t="shared" si="11"/>
        <v>9417982</v>
      </c>
      <c r="R69" s="53">
        <v>0</v>
      </c>
      <c r="S69" s="52">
        <v>296</v>
      </c>
      <c r="T69" s="53">
        <v>0</v>
      </c>
      <c r="U69" s="53">
        <v>0</v>
      </c>
      <c r="V69" s="53">
        <v>0</v>
      </c>
      <c r="W69" s="52">
        <v>0</v>
      </c>
      <c r="X69" s="48">
        <f t="shared" si="12"/>
        <v>296</v>
      </c>
      <c r="Y69" s="55">
        <f t="shared" si="13"/>
        <v>33.96</v>
      </c>
      <c r="Z69" s="48">
        <f t="shared" si="14"/>
        <v>9418278</v>
      </c>
      <c r="AA69" s="48">
        <f t="shared" si="15"/>
        <v>0</v>
      </c>
      <c r="AB69" s="56">
        <f t="shared" si="20"/>
        <v>0</v>
      </c>
      <c r="AC69" s="57">
        <f t="shared" si="21"/>
        <v>33.130000000000003</v>
      </c>
      <c r="AD69" s="58">
        <f t="shared" si="22"/>
        <v>33.130000000000003</v>
      </c>
      <c r="AE69" s="59">
        <f>X69+Q69+[18]Sheet1!$D65</f>
        <v>9418278</v>
      </c>
      <c r="AF69" s="60">
        <v>0.03</v>
      </c>
      <c r="AG69" s="61">
        <v>8123942</v>
      </c>
      <c r="AH69" s="61">
        <v>0</v>
      </c>
      <c r="AI69" s="62">
        <f>AG69+AH69+[18]Sheet1!$G65</f>
        <v>8123942</v>
      </c>
      <c r="AJ69" s="59">
        <v>251613933</v>
      </c>
      <c r="AK69" s="59">
        <f t="shared" si="26"/>
        <v>270798067</v>
      </c>
      <c r="AL69" s="60">
        <f t="shared" si="16"/>
        <v>7.6244323083650534E-2</v>
      </c>
      <c r="AM69" s="59">
        <f t="shared" si="17"/>
        <v>270798067</v>
      </c>
      <c r="AN69" s="49">
        <f t="shared" si="23"/>
        <v>2.9999999963072115E-2</v>
      </c>
      <c r="AO69" s="49">
        <f t="shared" si="24"/>
        <v>0</v>
      </c>
      <c r="AP69" s="59">
        <v>54886</v>
      </c>
      <c r="AQ69" s="59">
        <f t="shared" si="25"/>
        <v>17597106</v>
      </c>
      <c r="AR69" s="59">
        <f>ROUND(AQ69/'3_Levels 1&amp;2'!C69,2)</f>
        <v>8316.2099999999991</v>
      </c>
    </row>
    <row r="70" spans="1:44" ht="15" customHeight="1" x14ac:dyDescent="0.2">
      <c r="A70" s="46">
        <v>64</v>
      </c>
      <c r="B70" s="896" t="s">
        <v>67</v>
      </c>
      <c r="C70" s="59">
        <v>85447079</v>
      </c>
      <c r="D70" s="59">
        <v>17246387</v>
      </c>
      <c r="E70" s="48">
        <f t="shared" si="9"/>
        <v>68200692</v>
      </c>
      <c r="F70" s="48">
        <v>68531753</v>
      </c>
      <c r="G70" s="49">
        <f t="shared" si="10"/>
        <v>-4.8307680091008321E-3</v>
      </c>
      <c r="H70" s="50">
        <f t="shared" si="19"/>
        <v>68200692</v>
      </c>
      <c r="I70" s="51">
        <v>4.93</v>
      </c>
      <c r="J70" s="52">
        <v>335600</v>
      </c>
      <c r="K70" s="51">
        <v>15.72</v>
      </c>
      <c r="L70" s="52">
        <v>1070441</v>
      </c>
      <c r="M70" s="53">
        <v>0</v>
      </c>
      <c r="N70" s="53">
        <v>3.44</v>
      </c>
      <c r="O70" s="53">
        <v>2</v>
      </c>
      <c r="P70" s="52">
        <v>184284</v>
      </c>
      <c r="Q70" s="48">
        <f t="shared" si="11"/>
        <v>1590325</v>
      </c>
      <c r="R70" s="53">
        <v>0</v>
      </c>
      <c r="S70" s="52">
        <v>0</v>
      </c>
      <c r="T70" s="53">
        <v>0</v>
      </c>
      <c r="U70" s="53">
        <v>32</v>
      </c>
      <c r="V70" s="53">
        <v>3</v>
      </c>
      <c r="W70" s="52">
        <v>961832</v>
      </c>
      <c r="X70" s="48">
        <f t="shared" si="12"/>
        <v>961832</v>
      </c>
      <c r="Y70" s="55">
        <f t="shared" si="13"/>
        <v>20.65</v>
      </c>
      <c r="Z70" s="48">
        <f t="shared" si="14"/>
        <v>1406041</v>
      </c>
      <c r="AA70" s="48">
        <f t="shared" si="15"/>
        <v>1146116</v>
      </c>
      <c r="AB70" s="56">
        <f t="shared" si="20"/>
        <v>14.1</v>
      </c>
      <c r="AC70" s="57">
        <f t="shared" si="21"/>
        <v>23.32</v>
      </c>
      <c r="AD70" s="58">
        <f t="shared" si="22"/>
        <v>37.42</v>
      </c>
      <c r="AE70" s="59">
        <f>X70+Q70+[18]Sheet1!$D66</f>
        <v>2552157</v>
      </c>
      <c r="AF70" s="60">
        <v>0.02</v>
      </c>
      <c r="AG70" s="61">
        <v>3911596</v>
      </c>
      <c r="AH70" s="61">
        <v>0</v>
      </c>
      <c r="AI70" s="62">
        <f>AG70+AH70+[18]Sheet1!$G66</f>
        <v>3911596</v>
      </c>
      <c r="AJ70" s="59">
        <v>190542850</v>
      </c>
      <c r="AK70" s="59">
        <f t="shared" si="26"/>
        <v>195579800</v>
      </c>
      <c r="AL70" s="60">
        <f t="shared" si="16"/>
        <v>2.6434736333585857E-2</v>
      </c>
      <c r="AM70" s="59">
        <f t="shared" si="17"/>
        <v>195579800</v>
      </c>
      <c r="AN70" s="49">
        <f t="shared" si="23"/>
        <v>0.02</v>
      </c>
      <c r="AO70" s="49">
        <f t="shared" si="24"/>
        <v>0</v>
      </c>
      <c r="AP70" s="59">
        <v>235607</v>
      </c>
      <c r="AQ70" s="59">
        <f t="shared" si="25"/>
        <v>6699360</v>
      </c>
      <c r="AR70" s="59">
        <f>ROUND(AQ70/'3_Levels 1&amp;2'!C70,2)</f>
        <v>3200.84</v>
      </c>
    </row>
    <row r="71" spans="1:44" ht="15" customHeight="1" x14ac:dyDescent="0.2">
      <c r="A71" s="65">
        <v>65</v>
      </c>
      <c r="B71" s="897" t="s">
        <v>68</v>
      </c>
      <c r="C71" s="77">
        <v>434263534</v>
      </c>
      <c r="D71" s="77">
        <v>44402773</v>
      </c>
      <c r="E71" s="67">
        <f t="shared" si="9"/>
        <v>389860761</v>
      </c>
      <c r="F71" s="67">
        <v>372954529</v>
      </c>
      <c r="G71" s="68">
        <f t="shared" si="10"/>
        <v>4.5330544839690096E-2</v>
      </c>
      <c r="H71" s="69">
        <f t="shared" si="19"/>
        <v>389860761</v>
      </c>
      <c r="I71" s="70">
        <v>7.07</v>
      </c>
      <c r="J71" s="71">
        <v>2791441</v>
      </c>
      <c r="K71" s="70">
        <v>20.56</v>
      </c>
      <c r="L71" s="71">
        <v>8112625</v>
      </c>
      <c r="M71" s="72">
        <v>0</v>
      </c>
      <c r="N71" s="72">
        <v>0</v>
      </c>
      <c r="O71" s="72">
        <v>0</v>
      </c>
      <c r="P71" s="71">
        <v>0</v>
      </c>
      <c r="Q71" s="67">
        <f t="shared" si="11"/>
        <v>10904066</v>
      </c>
      <c r="R71" s="72">
        <v>13.65</v>
      </c>
      <c r="S71" s="71">
        <v>5387867</v>
      </c>
      <c r="T71" s="72">
        <v>0</v>
      </c>
      <c r="U71" s="72">
        <v>0</v>
      </c>
      <c r="V71" s="72">
        <v>0</v>
      </c>
      <c r="W71" s="71">
        <v>0</v>
      </c>
      <c r="X71" s="67">
        <f t="shared" si="12"/>
        <v>5387867</v>
      </c>
      <c r="Y71" s="73">
        <f t="shared" si="13"/>
        <v>41.28</v>
      </c>
      <c r="Z71" s="67">
        <f t="shared" si="14"/>
        <v>16291933</v>
      </c>
      <c r="AA71" s="67">
        <f t="shared" si="15"/>
        <v>0</v>
      </c>
      <c r="AB71" s="74">
        <f t="shared" ref="AB71:AB76" si="27">ROUND((X71/E71)*1000,2)</f>
        <v>13.82</v>
      </c>
      <c r="AC71" s="75">
        <f t="shared" ref="AC71:AC76" si="28">ROUND((Q71/E71)*1000,2)</f>
        <v>27.97</v>
      </c>
      <c r="AD71" s="76">
        <f t="shared" ref="AD71:AD76" si="29">ROUND((AE71/E71)*1000,2)</f>
        <v>41.79</v>
      </c>
      <c r="AE71" s="77">
        <f>X71+Q71+[18]Sheet1!$D67</f>
        <v>16291933</v>
      </c>
      <c r="AF71" s="78">
        <v>0.02</v>
      </c>
      <c r="AG71" s="79">
        <v>28596883</v>
      </c>
      <c r="AH71" s="79">
        <v>0</v>
      </c>
      <c r="AI71" s="80">
        <f>AG71+AH71+[18]Sheet1!$G67</f>
        <v>28596883</v>
      </c>
      <c r="AJ71" s="77">
        <v>1448179750</v>
      </c>
      <c r="AK71" s="77">
        <f t="shared" si="26"/>
        <v>1429844150</v>
      </c>
      <c r="AL71" s="78">
        <f t="shared" si="16"/>
        <v>-1.2661135470234272E-2</v>
      </c>
      <c r="AM71" s="77">
        <f t="shared" si="17"/>
        <v>1429844150</v>
      </c>
      <c r="AN71" s="68">
        <f t="shared" si="23"/>
        <v>0.02</v>
      </c>
      <c r="AO71" s="68">
        <f t="shared" si="24"/>
        <v>0</v>
      </c>
      <c r="AP71" s="77">
        <v>163871</v>
      </c>
      <c r="AQ71" s="77">
        <f>AP71+AE71+AI71</f>
        <v>45052687</v>
      </c>
      <c r="AR71" s="77">
        <f>ROUND(AQ71/'3_Levels 1&amp;2'!C71,2)</f>
        <v>5670.57</v>
      </c>
    </row>
    <row r="72" spans="1:44" ht="15" customHeight="1" x14ac:dyDescent="0.2">
      <c r="A72" s="46">
        <v>66</v>
      </c>
      <c r="B72" s="896" t="s">
        <v>69</v>
      </c>
      <c r="C72" s="59">
        <v>103843580</v>
      </c>
      <c r="D72" s="59">
        <v>19414250</v>
      </c>
      <c r="E72" s="48">
        <f>C72-D72</f>
        <v>84429330</v>
      </c>
      <c r="F72" s="48">
        <v>81727960</v>
      </c>
      <c r="G72" s="49">
        <f>(E72-F72)/F72</f>
        <v>3.305319256714593E-2</v>
      </c>
      <c r="H72" s="50">
        <f t="shared" si="19"/>
        <v>84429330</v>
      </c>
      <c r="I72" s="51">
        <v>6.43</v>
      </c>
      <c r="J72" s="52">
        <v>520852</v>
      </c>
      <c r="K72" s="51">
        <v>56.61</v>
      </c>
      <c r="L72" s="52">
        <v>4763127</v>
      </c>
      <c r="M72" s="53">
        <v>0</v>
      </c>
      <c r="N72" s="53">
        <v>0</v>
      </c>
      <c r="O72" s="53">
        <v>0</v>
      </c>
      <c r="P72" s="52">
        <v>0</v>
      </c>
      <c r="Q72" s="48">
        <f>J72+L72+P72</f>
        <v>5283979</v>
      </c>
      <c r="R72" s="54">
        <v>0</v>
      </c>
      <c r="S72" s="52">
        <v>0</v>
      </c>
      <c r="T72" s="53">
        <v>0</v>
      </c>
      <c r="U72" s="53">
        <v>0</v>
      </c>
      <c r="V72" s="53">
        <v>0</v>
      </c>
      <c r="W72" s="52">
        <v>0</v>
      </c>
      <c r="X72" s="48">
        <f>S72+W72</f>
        <v>0</v>
      </c>
      <c r="Y72" s="55">
        <f t="shared" ref="Y72:Z74" si="30">I72+K72+R72</f>
        <v>63.04</v>
      </c>
      <c r="Z72" s="48">
        <f t="shared" si="30"/>
        <v>5283979</v>
      </c>
      <c r="AA72" s="48">
        <f>P72+W72</f>
        <v>0</v>
      </c>
      <c r="AB72" s="56">
        <f t="shared" si="27"/>
        <v>0</v>
      </c>
      <c r="AC72" s="57">
        <f t="shared" si="28"/>
        <v>62.58</v>
      </c>
      <c r="AD72" s="58">
        <f t="shared" si="29"/>
        <v>62.58</v>
      </c>
      <c r="AE72" s="59">
        <f>X72+Q72+[18]Sheet1!$D68</f>
        <v>5283979</v>
      </c>
      <c r="AF72" s="60">
        <v>0.01</v>
      </c>
      <c r="AG72" s="61">
        <v>2738238</v>
      </c>
      <c r="AH72" s="61">
        <v>0</v>
      </c>
      <c r="AI72" s="62">
        <f>AG72+AH72+[18]Sheet1!$G68</f>
        <v>2738238</v>
      </c>
      <c r="AJ72" s="59">
        <v>269128200</v>
      </c>
      <c r="AK72" s="59">
        <f t="shared" si="26"/>
        <v>273823800</v>
      </c>
      <c r="AL72" s="63">
        <f>(AK72-AJ72)/AJ72</f>
        <v>1.7447446978800438E-2</v>
      </c>
      <c r="AM72" s="64">
        <f>IF((AK72-AJ72)/AJ72&gt;$AM$3,AJ72*(1+$AM$3),AK72)</f>
        <v>273823800</v>
      </c>
      <c r="AN72" s="49">
        <f t="shared" si="23"/>
        <v>0.01</v>
      </c>
      <c r="AO72" s="49">
        <f t="shared" si="24"/>
        <v>0</v>
      </c>
      <c r="AP72" s="59">
        <v>195641</v>
      </c>
      <c r="AQ72" s="59">
        <f>AP72+AE72+AI72</f>
        <v>8217858</v>
      </c>
      <c r="AR72" s="59">
        <f>ROUND(AQ72/'3_Levels 1&amp;2'!C72,2)</f>
        <v>4316.1000000000004</v>
      </c>
    </row>
    <row r="73" spans="1:44" s="81" customFormat="1" ht="15" customHeight="1" x14ac:dyDescent="0.2">
      <c r="A73" s="46">
        <v>67</v>
      </c>
      <c r="B73" s="896" t="s">
        <v>2</v>
      </c>
      <c r="C73" s="59">
        <v>299361077</v>
      </c>
      <c r="D73" s="48">
        <v>44851986</v>
      </c>
      <c r="E73" s="48">
        <f>C73-D73</f>
        <v>254509091</v>
      </c>
      <c r="F73" s="48">
        <v>240027255</v>
      </c>
      <c r="G73" s="49">
        <f>(E73-F73)/F73</f>
        <v>6.0334131638509134E-2</v>
      </c>
      <c r="H73" s="50">
        <f t="shared" si="19"/>
        <v>254509091</v>
      </c>
      <c r="I73" s="51">
        <v>5</v>
      </c>
      <c r="J73" s="52">
        <v>1273679</v>
      </c>
      <c r="K73" s="51">
        <v>38.200000000000003</v>
      </c>
      <c r="L73" s="52">
        <v>9727451</v>
      </c>
      <c r="M73" s="53">
        <v>0</v>
      </c>
      <c r="N73" s="53">
        <v>0</v>
      </c>
      <c r="O73" s="53">
        <v>0</v>
      </c>
      <c r="P73" s="52">
        <v>0</v>
      </c>
      <c r="Q73" s="48">
        <f>J73+L73+P73</f>
        <v>11001130</v>
      </c>
      <c r="R73" s="53">
        <v>36</v>
      </c>
      <c r="S73" s="52">
        <v>9158125</v>
      </c>
      <c r="T73" s="53">
        <v>0</v>
      </c>
      <c r="U73" s="53">
        <v>0</v>
      </c>
      <c r="V73" s="53">
        <v>0</v>
      </c>
      <c r="W73" s="52">
        <v>0</v>
      </c>
      <c r="X73" s="48">
        <f>S73+W73</f>
        <v>9158125</v>
      </c>
      <c r="Y73" s="55">
        <f t="shared" si="30"/>
        <v>79.2</v>
      </c>
      <c r="Z73" s="48">
        <f t="shared" si="30"/>
        <v>20159255</v>
      </c>
      <c r="AA73" s="48">
        <f>P73+W73</f>
        <v>0</v>
      </c>
      <c r="AB73" s="56">
        <f t="shared" si="27"/>
        <v>35.979999999999997</v>
      </c>
      <c r="AC73" s="57">
        <f t="shared" si="28"/>
        <v>43.22</v>
      </c>
      <c r="AD73" s="58">
        <f t="shared" si="29"/>
        <v>79.209999999999994</v>
      </c>
      <c r="AE73" s="59">
        <f>X73+Q73+[18]Sheet1!$D69</f>
        <v>20159255</v>
      </c>
      <c r="AF73" s="60">
        <v>0.02</v>
      </c>
      <c r="AG73" s="61">
        <v>11418953</v>
      </c>
      <c r="AH73" s="61">
        <v>0</v>
      </c>
      <c r="AI73" s="62">
        <f>AG73+AH73+[18]Sheet1!$G69</f>
        <v>11418953</v>
      </c>
      <c r="AJ73" s="59">
        <v>583887850</v>
      </c>
      <c r="AK73" s="59">
        <f t="shared" si="26"/>
        <v>570947650</v>
      </c>
      <c r="AL73" s="63">
        <f>(AK73-AJ73)/AJ73</f>
        <v>-2.2162132676677552E-2</v>
      </c>
      <c r="AM73" s="64">
        <f>IF((AK73-AJ73)/AJ73&gt;$AM$3,AJ73*(1+$AM$3),AK73)</f>
        <v>570947650</v>
      </c>
      <c r="AN73" s="49">
        <f t="shared" si="23"/>
        <v>0.02</v>
      </c>
      <c r="AO73" s="49">
        <f t="shared" si="24"/>
        <v>0</v>
      </c>
      <c r="AP73" s="59">
        <v>93470</v>
      </c>
      <c r="AQ73" s="59">
        <f>AP73+AE73+AI73</f>
        <v>31671678</v>
      </c>
      <c r="AR73" s="59">
        <f>ROUND(AQ73/'3_Levels 1&amp;2'!C73,2)</f>
        <v>5830.57</v>
      </c>
    </row>
    <row r="74" spans="1:44" s="81" customFormat="1" ht="15" customHeight="1" x14ac:dyDescent="0.2">
      <c r="A74" s="46">
        <v>68</v>
      </c>
      <c r="B74" s="47" t="s">
        <v>1</v>
      </c>
      <c r="C74" s="48">
        <v>70023245</v>
      </c>
      <c r="D74" s="48">
        <v>20618495</v>
      </c>
      <c r="E74" s="48">
        <f>C74-D74</f>
        <v>49404750</v>
      </c>
      <c r="F74" s="48">
        <v>43813851</v>
      </c>
      <c r="G74" s="49">
        <f>(E74-F74)/F74</f>
        <v>0.12760574275929318</v>
      </c>
      <c r="H74" s="50">
        <f t="shared" si="19"/>
        <v>48195236.100000001</v>
      </c>
      <c r="I74" s="51">
        <v>5</v>
      </c>
      <c r="J74" s="52">
        <v>239054</v>
      </c>
      <c r="K74" s="51">
        <v>38.200000000000003</v>
      </c>
      <c r="L74" s="52">
        <v>1835823</v>
      </c>
      <c r="M74" s="53">
        <v>0</v>
      </c>
      <c r="N74" s="53">
        <v>0</v>
      </c>
      <c r="O74" s="53">
        <v>0</v>
      </c>
      <c r="P74" s="52">
        <v>0</v>
      </c>
      <c r="Q74" s="48">
        <f>J74+L74+P74</f>
        <v>2074877</v>
      </c>
      <c r="R74" s="53">
        <v>0</v>
      </c>
      <c r="S74" s="52">
        <v>0</v>
      </c>
      <c r="T74" s="53">
        <v>0</v>
      </c>
      <c r="U74" s="53">
        <v>0</v>
      </c>
      <c r="V74" s="53">
        <v>0</v>
      </c>
      <c r="W74" s="52">
        <v>0</v>
      </c>
      <c r="X74" s="48">
        <f>S74+W74</f>
        <v>0</v>
      </c>
      <c r="Y74" s="55">
        <f t="shared" si="30"/>
        <v>43.2</v>
      </c>
      <c r="Z74" s="48">
        <f t="shared" si="30"/>
        <v>2074877</v>
      </c>
      <c r="AA74" s="48">
        <f>P74+W74</f>
        <v>0</v>
      </c>
      <c r="AB74" s="56">
        <f t="shared" si="27"/>
        <v>0</v>
      </c>
      <c r="AC74" s="57">
        <f t="shared" si="28"/>
        <v>42</v>
      </c>
      <c r="AD74" s="58">
        <f t="shared" si="29"/>
        <v>42</v>
      </c>
      <c r="AE74" s="59">
        <f>X74+Q74+[18]Sheet1!$D70</f>
        <v>2074877</v>
      </c>
      <c r="AF74" s="60">
        <v>0.02</v>
      </c>
      <c r="AG74" s="61">
        <v>3399115</v>
      </c>
      <c r="AH74" s="61">
        <v>0</v>
      </c>
      <c r="AI74" s="62">
        <f>AG74+AH74+[18]Sheet1!$G70</f>
        <v>3399115</v>
      </c>
      <c r="AJ74" s="59">
        <v>188169950</v>
      </c>
      <c r="AK74" s="59">
        <f t="shared" si="26"/>
        <v>169955750</v>
      </c>
      <c r="AL74" s="60">
        <f>(AK74-AJ74)/AJ74</f>
        <v>-9.6796539511223759E-2</v>
      </c>
      <c r="AM74" s="59">
        <f>IF((AK74-AJ74)/AJ74&gt;$AM$3,AJ74*(1+$AM$3),AK74)</f>
        <v>169955750</v>
      </c>
      <c r="AN74" s="49">
        <f t="shared" si="23"/>
        <v>0.02</v>
      </c>
      <c r="AO74" s="49">
        <f t="shared" si="24"/>
        <v>0</v>
      </c>
      <c r="AP74" s="59">
        <v>42968</v>
      </c>
      <c r="AQ74" s="59">
        <f>AP74+AE74+AI74</f>
        <v>5516960</v>
      </c>
      <c r="AR74" s="59">
        <f>ROUND(AQ74/'3_Levels 1&amp;2'!C74,2)</f>
        <v>3039.65</v>
      </c>
    </row>
    <row r="75" spans="1:44" s="99" customFormat="1" ht="15" customHeight="1" x14ac:dyDescent="0.2">
      <c r="A75" s="82">
        <v>69</v>
      </c>
      <c r="B75" s="83" t="s">
        <v>74</v>
      </c>
      <c r="C75" s="84">
        <v>223118975</v>
      </c>
      <c r="D75" s="85">
        <v>66515573</v>
      </c>
      <c r="E75" s="85">
        <f>C75-D75</f>
        <v>156603402</v>
      </c>
      <c r="F75" s="85">
        <v>122702740</v>
      </c>
      <c r="G75" s="86">
        <f>(E75-F75)/F75</f>
        <v>0.27628284421358479</v>
      </c>
      <c r="H75" s="87">
        <f t="shared" si="19"/>
        <v>134973014</v>
      </c>
      <c r="I75" s="88">
        <v>3.91</v>
      </c>
      <c r="J75" s="84">
        <v>597068</v>
      </c>
      <c r="K75" s="88">
        <v>30.06</v>
      </c>
      <c r="L75" s="84">
        <v>4602388</v>
      </c>
      <c r="M75" s="89">
        <v>0</v>
      </c>
      <c r="N75" s="89">
        <v>0</v>
      </c>
      <c r="O75" s="90">
        <v>0</v>
      </c>
      <c r="P75" s="84">
        <v>0</v>
      </c>
      <c r="Q75" s="91">
        <f>J75+L75+P75</f>
        <v>5199456</v>
      </c>
      <c r="R75" s="72">
        <v>23.65</v>
      </c>
      <c r="S75" s="84">
        <v>3619423</v>
      </c>
      <c r="T75" s="89">
        <v>0</v>
      </c>
      <c r="U75" s="89">
        <v>0</v>
      </c>
      <c r="V75" s="90">
        <v>0</v>
      </c>
      <c r="W75" s="84">
        <v>0</v>
      </c>
      <c r="X75" s="91">
        <f>S75+W75</f>
        <v>3619423</v>
      </c>
      <c r="Y75" s="88">
        <f>I75+K75+R75</f>
        <v>57.62</v>
      </c>
      <c r="Z75" s="84">
        <f>J75+L75+S75</f>
        <v>8818879</v>
      </c>
      <c r="AA75" s="84">
        <f>P75+W75</f>
        <v>0</v>
      </c>
      <c r="AB75" s="92">
        <f t="shared" si="27"/>
        <v>23.11</v>
      </c>
      <c r="AC75" s="93">
        <f t="shared" si="28"/>
        <v>33.200000000000003</v>
      </c>
      <c r="AD75" s="94">
        <f t="shared" si="29"/>
        <v>56.31</v>
      </c>
      <c r="AE75" s="84">
        <f>X75+Q75+[18]Sheet1!$D71</f>
        <v>8818879</v>
      </c>
      <c r="AF75" s="95">
        <v>2.5000000000000001E-2</v>
      </c>
      <c r="AG75" s="96">
        <v>7278375</v>
      </c>
      <c r="AH75" s="96">
        <v>1819594</v>
      </c>
      <c r="AI75" s="97">
        <f>AG75+AH75+[18]Sheet1!$G71</f>
        <v>9097969</v>
      </c>
      <c r="AJ75" s="84">
        <v>457249480</v>
      </c>
      <c r="AK75" s="84">
        <f t="shared" si="26"/>
        <v>363918760</v>
      </c>
      <c r="AL75" s="95">
        <f>(AK75-AJ75)/AJ75</f>
        <v>-0.20411334311413543</v>
      </c>
      <c r="AM75" s="84">
        <f>IF((AK75-AJ75)/AJ75&gt;$AM$3,AJ75*(1+$AM$3),AK75)</f>
        <v>363918760</v>
      </c>
      <c r="AN75" s="98">
        <f t="shared" si="23"/>
        <v>1.9999999450426794E-2</v>
      </c>
      <c r="AO75" s="98">
        <f t="shared" si="24"/>
        <v>5.0000005495732074E-3</v>
      </c>
      <c r="AP75" s="84">
        <v>4000</v>
      </c>
      <c r="AQ75" s="84">
        <f>AP75+AE75+AI75</f>
        <v>17920848</v>
      </c>
      <c r="AR75" s="84">
        <f>ROUND(AQ75/'3_Levels 1&amp;2'!C75,2)</f>
        <v>3801.62</v>
      </c>
    </row>
    <row r="76" spans="1:44" s="104" customFormat="1" ht="15" customHeight="1" thickBot="1" x14ac:dyDescent="0.25">
      <c r="A76" s="1194"/>
      <c r="B76" s="1195" t="s">
        <v>4</v>
      </c>
      <c r="C76" s="1196">
        <f>SUM(C7:C75)</f>
        <v>48592081310</v>
      </c>
      <c r="D76" s="1196">
        <f>SUM(D7:D75)</f>
        <v>7168530661</v>
      </c>
      <c r="E76" s="1196">
        <f>SUM(E7:E75)</f>
        <v>41423550649</v>
      </c>
      <c r="F76" s="1196">
        <f>SUM(F7:F75)</f>
        <v>40545611316</v>
      </c>
      <c r="G76" s="1197">
        <f>(E76-F76)/F76</f>
        <v>2.1653128526232135E-2</v>
      </c>
      <c r="H76" s="1198">
        <f>SUM(H7:H75)</f>
        <v>41175170792.099998</v>
      </c>
      <c r="I76" s="1199">
        <v>5.12</v>
      </c>
      <c r="J76" s="1200">
        <f>SUM(J7:J75)</f>
        <v>267865115</v>
      </c>
      <c r="K76" s="1201">
        <v>24.89</v>
      </c>
      <c r="L76" s="1200">
        <f>SUM(L7:L75)</f>
        <v>1123477990</v>
      </c>
      <c r="M76" s="1201">
        <f>MIN(M7:M75)</f>
        <v>0</v>
      </c>
      <c r="N76" s="1201">
        <f>MAX(N7:N75)</f>
        <v>89.88</v>
      </c>
      <c r="O76" s="1201">
        <f>SUM(O7:O75)</f>
        <v>92</v>
      </c>
      <c r="P76" s="1200">
        <f>SUM(P7:P75)</f>
        <v>41660772</v>
      </c>
      <c r="Q76" s="1200">
        <f>SUM(Q7:Q75)</f>
        <v>1433003877</v>
      </c>
      <c r="R76" s="1201">
        <v>5.25</v>
      </c>
      <c r="S76" s="1200">
        <f>SUM(S7:S75)</f>
        <v>173554592</v>
      </c>
      <c r="T76" s="1201">
        <f>MIN(T7:T75)</f>
        <v>0</v>
      </c>
      <c r="U76" s="1201">
        <f>MAX(U7:U75)</f>
        <v>60</v>
      </c>
      <c r="V76" s="1201">
        <f>SUM(V7:V75)</f>
        <v>106</v>
      </c>
      <c r="W76" s="1200">
        <f>SUM(W7:W75)</f>
        <v>79608222</v>
      </c>
      <c r="X76" s="1196">
        <f>SUM(X7:X75)</f>
        <v>253162814</v>
      </c>
      <c r="Y76" s="1202">
        <f>I76+K76+R76</f>
        <v>35.260000000000005</v>
      </c>
      <c r="Z76" s="1196">
        <f>SUM(Z7:Z75)</f>
        <v>1564897697</v>
      </c>
      <c r="AA76" s="1196">
        <f>SUM(AA7:AA75)</f>
        <v>121268994</v>
      </c>
      <c r="AB76" s="1203">
        <f t="shared" si="27"/>
        <v>6.11</v>
      </c>
      <c r="AC76" s="1204">
        <f t="shared" si="28"/>
        <v>34.590000000000003</v>
      </c>
      <c r="AD76" s="1203">
        <f t="shared" si="29"/>
        <v>40.700000000000003</v>
      </c>
      <c r="AE76" s="1196">
        <f>SUM(AE7:AE75)</f>
        <v>1686130989.3699999</v>
      </c>
      <c r="AF76" s="1205">
        <f>ROUND(AI76/AK76,4)</f>
        <v>2.0400000000000001E-2</v>
      </c>
      <c r="AG76" s="1206">
        <f>SUM(AG7:AG75)</f>
        <v>1922706509</v>
      </c>
      <c r="AH76" s="1206">
        <f>SUM(AH7:AH75)</f>
        <v>53319360</v>
      </c>
      <c r="AI76" s="1196">
        <f>SUM(AI7:AI75)</f>
        <v>1976079400</v>
      </c>
      <c r="AJ76" s="1196">
        <f>SUM(AJ7:AJ75)</f>
        <v>94483825971.399994</v>
      </c>
      <c r="AK76" s="1196">
        <f>SUM(AK7:AK75)</f>
        <v>96734878872</v>
      </c>
      <c r="AL76" s="1205">
        <f>(AK76-AJ76)/AJ76</f>
        <v>2.3824743308779577E-2</v>
      </c>
      <c r="AM76" s="1196">
        <f>SUM(AM7:AM75)</f>
        <v>95996688676.550003</v>
      </c>
      <c r="AN76" s="1207">
        <f>ROUND(AG76/$AK76,4)</f>
        <v>1.9900000000000001E-2</v>
      </c>
      <c r="AO76" s="1207">
        <f>ROUND(AH76/$AK76,4)</f>
        <v>5.9999999999999995E-4</v>
      </c>
      <c r="AP76" s="1200">
        <f>SUM(AP7:AP75)</f>
        <v>34428229</v>
      </c>
      <c r="AQ76" s="1196">
        <f>SUM(AQ7:AQ75)</f>
        <v>3696638618.3699999</v>
      </c>
      <c r="AR76" s="1196">
        <f>ROUND(AQ76/'3_Levels 1&amp;2'!C76,2)</f>
        <v>5427.55</v>
      </c>
    </row>
    <row r="77" spans="1:44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48"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L7:AL11 AL75">
    <cfRule type="expression" dxfId="53" priority="55">
      <formula>AL7&gt;$AM$3</formula>
    </cfRule>
  </conditionalFormatting>
  <conditionalFormatting sqref="AM75">
    <cfRule type="expression" dxfId="52" priority="54">
      <formula>AL75&gt;$AM$3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L12:AL16">
    <cfRule type="expression" dxfId="49" priority="51">
      <formula>AL12&gt;$AM$3</formula>
    </cfRule>
  </conditionalFormatting>
  <conditionalFormatting sqref="AM12:AM16">
    <cfRule type="expression" dxfId="48" priority="50">
      <formula>AL12&gt;$AM$3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L17:AL21">
    <cfRule type="expression" dxfId="45" priority="47">
      <formula>AL17&gt;$AM$3</formula>
    </cfRule>
  </conditionalFormatting>
  <conditionalFormatting sqref="AM17:AM21">
    <cfRule type="expression" dxfId="44" priority="46">
      <formula>AL17&gt;$AM$3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L22:AL26">
    <cfRule type="expression" dxfId="41" priority="43">
      <formula>AL22&gt;$AM$3</formula>
    </cfRule>
  </conditionalFormatting>
  <conditionalFormatting sqref="AM22:AM26">
    <cfRule type="expression" dxfId="40" priority="42">
      <formula>AL22&gt;$AM$3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L27:AL31">
    <cfRule type="expression" dxfId="37" priority="39">
      <formula>AL27&gt;$AM$3</formula>
    </cfRule>
  </conditionalFormatting>
  <conditionalFormatting sqref="AM27:AM31">
    <cfRule type="expression" dxfId="36" priority="38">
      <formula>AL27&gt;$AM$3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L32:AL36">
    <cfRule type="expression" dxfId="33" priority="35">
      <formula>AL32&gt;$AM$3</formula>
    </cfRule>
  </conditionalFormatting>
  <conditionalFormatting sqref="AM32:AM36">
    <cfRule type="expression" dxfId="32" priority="34">
      <formula>AL32&gt;$AM$3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L37:AL41">
    <cfRule type="expression" dxfId="29" priority="31">
      <formula>AL37&gt;$AM$3</formula>
    </cfRule>
  </conditionalFormatting>
  <conditionalFormatting sqref="AM37:AM41">
    <cfRule type="expression" dxfId="28" priority="30">
      <formula>AL37&gt;$AM$3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L42:AL46">
    <cfRule type="expression" dxfId="25" priority="27">
      <formula>AL42&gt;$AM$3</formula>
    </cfRule>
  </conditionalFormatting>
  <conditionalFormatting sqref="AM42:AM46">
    <cfRule type="expression" dxfId="24" priority="26">
      <formula>AL42&gt;$AM$3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L47:AL51">
    <cfRule type="expression" dxfId="21" priority="23">
      <formula>AL47&gt;$AM$3</formula>
    </cfRule>
  </conditionalFormatting>
  <conditionalFormatting sqref="AM47:AM51">
    <cfRule type="expression" dxfId="20" priority="22">
      <formula>AL47&gt;$AM$3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L52:AL56">
    <cfRule type="expression" dxfId="17" priority="19">
      <formula>AL52&gt;$AM$3</formula>
    </cfRule>
  </conditionalFormatting>
  <conditionalFormatting sqref="AM52:AM56">
    <cfRule type="expression" dxfId="16" priority="18">
      <formula>AL52&gt;$AM$3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L57:AL61">
    <cfRule type="expression" dxfId="13" priority="15">
      <formula>AL57&gt;$AM$3</formula>
    </cfRule>
  </conditionalFormatting>
  <conditionalFormatting sqref="AM57:AM61">
    <cfRule type="expression" dxfId="12" priority="14">
      <formula>AL57&gt;$AM$3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L62:AL66">
    <cfRule type="expression" dxfId="9" priority="11">
      <formula>AL62&gt;$AM$3</formula>
    </cfRule>
  </conditionalFormatting>
  <conditionalFormatting sqref="AM62:AM66">
    <cfRule type="expression" dxfId="8" priority="10">
      <formula>AL62&gt;$AM$3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L67:AL71">
    <cfRule type="expression" dxfId="5" priority="7">
      <formula>AL67&gt;$AM$3</formula>
    </cfRule>
  </conditionalFormatting>
  <conditionalFormatting sqref="AM67:AM71">
    <cfRule type="expression" dxfId="4" priority="6">
      <formula>AL67&gt;$AM$3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L72:AL74">
    <cfRule type="expression" dxfId="1" priority="3">
      <formula>AL72&gt;$AM$3</formula>
    </cfRule>
  </conditionalFormatting>
  <conditionalFormatting sqref="AM72:AM74">
    <cfRule type="expression" dxfId="0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FY2019-20 Budget Letter
FY2017-2018 Local Property and Sales Tax Revenues</oddHeader>
    <oddFooter>&amp;R&amp;P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I77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0" bestFit="1" customWidth="1"/>
    <col min="2" max="2" width="31" style="100" bestFit="1" customWidth="1"/>
    <col min="3" max="17" width="13.28515625" style="100" customWidth="1"/>
    <col min="18" max="18" width="13.28515625" style="100" hidden="1" customWidth="1"/>
    <col min="19" max="25" width="13.28515625" style="100" customWidth="1"/>
    <col min="26" max="26" width="13.28515625" style="100" hidden="1" customWidth="1"/>
    <col min="27" max="28" width="13.28515625" style="100" customWidth="1"/>
    <col min="29" max="31" width="13.28515625" style="100" hidden="1" customWidth="1"/>
    <col min="32" max="38" width="13.28515625" style="100" customWidth="1"/>
    <col min="39" max="45" width="13.28515625" style="100" hidden="1" customWidth="1"/>
    <col min="46" max="61" width="13.28515625" style="100" customWidth="1"/>
    <col min="62" max="16384" width="8.85546875" style="100"/>
  </cols>
  <sheetData>
    <row r="1" spans="1:61" s="271" customFormat="1" ht="18.75" customHeight="1" x14ac:dyDescent="0.2">
      <c r="A1" s="1563" t="s">
        <v>79</v>
      </c>
      <c r="B1" s="1563"/>
      <c r="C1" s="1564" t="s">
        <v>1392</v>
      </c>
      <c r="D1" s="1565" t="s">
        <v>905</v>
      </c>
      <c r="E1" s="1557" t="s">
        <v>1118</v>
      </c>
      <c r="F1" s="1558"/>
      <c r="G1" s="1558"/>
      <c r="H1" s="1558"/>
      <c r="I1" s="1559"/>
      <c r="J1" s="1557" t="s">
        <v>1118</v>
      </c>
      <c r="K1" s="1558"/>
      <c r="L1" s="1558"/>
      <c r="M1" s="1558"/>
      <c r="N1" s="1558"/>
      <c r="O1" s="1558"/>
      <c r="P1" s="1559"/>
      <c r="Q1" s="1557" t="s">
        <v>1118</v>
      </c>
      <c r="R1" s="1558"/>
      <c r="S1" s="1558"/>
      <c r="T1" s="1558"/>
      <c r="U1" s="1558"/>
      <c r="V1" s="1558"/>
      <c r="W1" s="1558"/>
      <c r="X1" s="1559"/>
      <c r="Y1" s="1557" t="s">
        <v>1118</v>
      </c>
      <c r="Z1" s="1558"/>
      <c r="AA1" s="1558"/>
      <c r="AB1" s="1558"/>
      <c r="AC1" s="1558"/>
      <c r="AD1" s="1558"/>
      <c r="AE1" s="1558"/>
      <c r="AF1" s="1558"/>
      <c r="AG1" s="1558"/>
      <c r="AH1" s="1558"/>
      <c r="AI1" s="1558"/>
      <c r="AJ1" s="1558" t="s">
        <v>1118</v>
      </c>
      <c r="AK1" s="1558"/>
      <c r="AL1" s="1558"/>
      <c r="AM1" s="1558"/>
      <c r="AN1" s="1558"/>
      <c r="AO1" s="1558"/>
      <c r="AP1" s="1558"/>
      <c r="AQ1" s="1558"/>
      <c r="AR1" s="1558"/>
      <c r="AS1" s="1558"/>
      <c r="AT1" s="1558"/>
      <c r="AU1" s="1559"/>
      <c r="AV1" s="1560" t="s">
        <v>468</v>
      </c>
      <c r="AW1" s="1561" t="s">
        <v>232</v>
      </c>
      <c r="AX1" s="1561"/>
      <c r="AY1" s="1561"/>
      <c r="AZ1" s="1561"/>
      <c r="BA1" s="1561"/>
      <c r="BB1" s="1561"/>
      <c r="BC1" s="1561"/>
      <c r="BD1" s="1562" t="s">
        <v>1119</v>
      </c>
      <c r="BE1" s="1562"/>
      <c r="BF1" s="1562"/>
      <c r="BG1" s="1562"/>
      <c r="BH1" s="1562"/>
      <c r="BI1" s="1560" t="s">
        <v>467</v>
      </c>
    </row>
    <row r="2" spans="1:61" s="272" customFormat="1" ht="69.75" customHeight="1" x14ac:dyDescent="0.2">
      <c r="A2" s="1563"/>
      <c r="B2" s="1563"/>
      <c r="C2" s="1564"/>
      <c r="D2" s="1565"/>
      <c r="E2" s="840" t="s">
        <v>632</v>
      </c>
      <c r="F2" s="840" t="s">
        <v>631</v>
      </c>
      <c r="G2" s="840" t="s">
        <v>1120</v>
      </c>
      <c r="H2" s="840" t="s">
        <v>636</v>
      </c>
      <c r="I2" s="840" t="s">
        <v>635</v>
      </c>
      <c r="J2" s="840" t="s">
        <v>634</v>
      </c>
      <c r="K2" s="840" t="s">
        <v>651</v>
      </c>
      <c r="L2" s="840" t="s">
        <v>650</v>
      </c>
      <c r="M2" s="840" t="s">
        <v>646</v>
      </c>
      <c r="N2" s="840" t="s">
        <v>908</v>
      </c>
      <c r="O2" s="840" t="s">
        <v>903</v>
      </c>
      <c r="P2" s="840" t="s">
        <v>642</v>
      </c>
      <c r="Q2" s="840" t="s">
        <v>648</v>
      </c>
      <c r="R2" s="840"/>
      <c r="S2" s="840" t="s">
        <v>637</v>
      </c>
      <c r="T2" s="840" t="s">
        <v>641</v>
      </c>
      <c r="U2" s="840" t="s">
        <v>643</v>
      </c>
      <c r="V2" s="840" t="s">
        <v>644</v>
      </c>
      <c r="W2" s="840" t="s">
        <v>645</v>
      </c>
      <c r="X2" s="840" t="s">
        <v>647</v>
      </c>
      <c r="Y2" s="840" t="s">
        <v>638</v>
      </c>
      <c r="Z2" s="840"/>
      <c r="AA2" s="840" t="s">
        <v>652</v>
      </c>
      <c r="AB2" s="840" t="s">
        <v>639</v>
      </c>
      <c r="AC2" s="840"/>
      <c r="AD2" s="840"/>
      <c r="AE2" s="840"/>
      <c r="AF2" s="840" t="s">
        <v>640</v>
      </c>
      <c r="AG2" s="840" t="s">
        <v>696</v>
      </c>
      <c r="AH2" s="840" t="s">
        <v>574</v>
      </c>
      <c r="AI2" s="840" t="s">
        <v>701</v>
      </c>
      <c r="AJ2" s="840" t="s">
        <v>700</v>
      </c>
      <c r="AK2" s="840" t="s">
        <v>1173</v>
      </c>
      <c r="AL2" s="840" t="s">
        <v>1174</v>
      </c>
      <c r="AM2" s="840"/>
      <c r="AN2" s="840"/>
      <c r="AO2" s="840"/>
      <c r="AP2" s="840"/>
      <c r="AQ2" s="840"/>
      <c r="AR2" s="840"/>
      <c r="AS2" s="840"/>
      <c r="AT2" s="840" t="s">
        <v>649</v>
      </c>
      <c r="AU2" s="840" t="s">
        <v>633</v>
      </c>
      <c r="AV2" s="1560"/>
      <c r="AW2" s="841" t="s">
        <v>1121</v>
      </c>
      <c r="AX2" s="841" t="s">
        <v>1122</v>
      </c>
      <c r="AY2" s="841" t="s">
        <v>1123</v>
      </c>
      <c r="AZ2" s="841" t="s">
        <v>1124</v>
      </c>
      <c r="BA2" s="841" t="s">
        <v>1125</v>
      </c>
      <c r="BB2" s="841" t="s">
        <v>1126</v>
      </c>
      <c r="BC2" s="841" t="s">
        <v>1127</v>
      </c>
      <c r="BD2" s="842" t="s">
        <v>653</v>
      </c>
      <c r="BE2" s="842" t="s">
        <v>654</v>
      </c>
      <c r="BF2" s="843" t="s">
        <v>655</v>
      </c>
      <c r="BG2" s="843" t="s">
        <v>656</v>
      </c>
      <c r="BH2" s="843" t="s">
        <v>904</v>
      </c>
      <c r="BI2" s="1560"/>
    </row>
    <row r="3" spans="1:61" s="272" customFormat="1" ht="15" customHeight="1" x14ac:dyDescent="0.2">
      <c r="A3" s="1563"/>
      <c r="B3" s="1563"/>
      <c r="C3" s="1564"/>
      <c r="D3" s="1565"/>
      <c r="E3" s="844">
        <v>343001</v>
      </c>
      <c r="F3" s="844">
        <v>341001</v>
      </c>
      <c r="G3" s="844">
        <v>344001</v>
      </c>
      <c r="H3" s="844">
        <v>348001</v>
      </c>
      <c r="I3" s="844">
        <v>347001</v>
      </c>
      <c r="J3" s="844">
        <v>346001</v>
      </c>
      <c r="K3" s="844" t="s">
        <v>466</v>
      </c>
      <c r="L3" s="844" t="s">
        <v>465</v>
      </c>
      <c r="M3" s="844" t="s">
        <v>461</v>
      </c>
      <c r="N3" s="844" t="s">
        <v>452</v>
      </c>
      <c r="O3" s="844" t="s">
        <v>699</v>
      </c>
      <c r="P3" s="844" t="s">
        <v>457</v>
      </c>
      <c r="Q3" s="844" t="s">
        <v>463</v>
      </c>
      <c r="R3" s="844"/>
      <c r="S3" s="844" t="s">
        <v>453</v>
      </c>
      <c r="T3" s="844" t="s">
        <v>456</v>
      </c>
      <c r="U3" s="844" t="s">
        <v>458</v>
      </c>
      <c r="V3" s="844" t="s">
        <v>459</v>
      </c>
      <c r="W3" s="844" t="s">
        <v>460</v>
      </c>
      <c r="X3" s="844" t="s">
        <v>462</v>
      </c>
      <c r="Y3" s="844" t="s">
        <v>454</v>
      </c>
      <c r="Z3" s="844"/>
      <c r="AA3" s="844" t="s">
        <v>371</v>
      </c>
      <c r="AB3" s="844" t="s">
        <v>505</v>
      </c>
      <c r="AC3" s="844"/>
      <c r="AD3" s="844"/>
      <c r="AE3" s="844"/>
      <c r="AF3" s="844" t="s">
        <v>546</v>
      </c>
      <c r="AG3" s="844" t="s">
        <v>695</v>
      </c>
      <c r="AH3" s="844" t="s">
        <v>697</v>
      </c>
      <c r="AI3" s="844" t="s">
        <v>698</v>
      </c>
      <c r="AJ3" s="844" t="s">
        <v>474</v>
      </c>
      <c r="AK3" s="844" t="s">
        <v>913</v>
      </c>
      <c r="AL3" s="844" t="s">
        <v>915</v>
      </c>
      <c r="AM3" s="844"/>
      <c r="AN3" s="844"/>
      <c r="AO3" s="844"/>
      <c r="AP3" s="844"/>
      <c r="AQ3" s="844"/>
      <c r="AR3" s="844"/>
      <c r="AS3" s="844"/>
      <c r="AT3" s="844" t="s">
        <v>464</v>
      </c>
      <c r="AU3" s="844">
        <v>345001</v>
      </c>
      <c r="AV3" s="1560"/>
      <c r="AW3" s="845">
        <v>321001</v>
      </c>
      <c r="AX3" s="845">
        <v>329001</v>
      </c>
      <c r="AY3" s="845">
        <v>331001</v>
      </c>
      <c r="AZ3" s="845">
        <v>333001</v>
      </c>
      <c r="BA3" s="845">
        <v>336001</v>
      </c>
      <c r="BB3" s="845">
        <v>337001</v>
      </c>
      <c r="BC3" s="845">
        <v>340001</v>
      </c>
      <c r="BD3" s="846">
        <v>318001</v>
      </c>
      <c r="BE3" s="846">
        <v>319001</v>
      </c>
      <c r="BF3" s="847">
        <v>302006</v>
      </c>
      <c r="BG3" s="847">
        <v>334001</v>
      </c>
      <c r="BH3" s="847" t="s">
        <v>890</v>
      </c>
      <c r="BI3" s="1560"/>
    </row>
    <row r="4" spans="1:61" s="272" customFormat="1" ht="13.9" customHeight="1" x14ac:dyDescent="0.2">
      <c r="A4" s="491"/>
      <c r="B4" s="491"/>
      <c r="C4" s="491">
        <f>B4+1</f>
        <v>1</v>
      </c>
      <c r="D4" s="491">
        <f t="shared" ref="D4:AW4" si="0">C4+1</f>
        <v>2</v>
      </c>
      <c r="E4" s="491">
        <f t="shared" si="0"/>
        <v>3</v>
      </c>
      <c r="F4" s="491">
        <f t="shared" si="0"/>
        <v>4</v>
      </c>
      <c r="G4" s="491">
        <f t="shared" si="0"/>
        <v>5</v>
      </c>
      <c r="H4" s="491">
        <f t="shared" si="0"/>
        <v>6</v>
      </c>
      <c r="I4" s="491">
        <f t="shared" si="0"/>
        <v>7</v>
      </c>
      <c r="J4" s="491">
        <f t="shared" si="0"/>
        <v>8</v>
      </c>
      <c r="K4" s="491">
        <f t="shared" si="0"/>
        <v>9</v>
      </c>
      <c r="L4" s="491">
        <f t="shared" si="0"/>
        <v>10</v>
      </c>
      <c r="M4" s="491">
        <f t="shared" si="0"/>
        <v>11</v>
      </c>
      <c r="N4" s="491">
        <f t="shared" si="0"/>
        <v>12</v>
      </c>
      <c r="O4" s="491">
        <f t="shared" si="0"/>
        <v>13</v>
      </c>
      <c r="P4" s="491">
        <f t="shared" si="0"/>
        <v>14</v>
      </c>
      <c r="Q4" s="491">
        <f t="shared" si="0"/>
        <v>15</v>
      </c>
      <c r="R4" s="491">
        <v>15</v>
      </c>
      <c r="S4" s="491">
        <f t="shared" si="0"/>
        <v>16</v>
      </c>
      <c r="T4" s="491">
        <f t="shared" si="0"/>
        <v>17</v>
      </c>
      <c r="U4" s="491">
        <f t="shared" si="0"/>
        <v>18</v>
      </c>
      <c r="V4" s="491">
        <f t="shared" si="0"/>
        <v>19</v>
      </c>
      <c r="W4" s="491">
        <f t="shared" si="0"/>
        <v>20</v>
      </c>
      <c r="X4" s="491">
        <f t="shared" si="0"/>
        <v>21</v>
      </c>
      <c r="Y4" s="491">
        <f t="shared" si="0"/>
        <v>22</v>
      </c>
      <c r="Z4" s="491">
        <v>22</v>
      </c>
      <c r="AA4" s="491">
        <f t="shared" si="0"/>
        <v>23</v>
      </c>
      <c r="AB4" s="491">
        <f t="shared" si="0"/>
        <v>24</v>
      </c>
      <c r="AC4" s="491"/>
      <c r="AD4" s="491"/>
      <c r="AE4" s="491">
        <v>24</v>
      </c>
      <c r="AF4" s="491">
        <f t="shared" ref="AF4:AL4" si="1">AE4+1</f>
        <v>25</v>
      </c>
      <c r="AG4" s="491">
        <f t="shared" si="1"/>
        <v>26</v>
      </c>
      <c r="AH4" s="491">
        <f t="shared" si="1"/>
        <v>27</v>
      </c>
      <c r="AI4" s="491">
        <f t="shared" si="1"/>
        <v>28</v>
      </c>
      <c r="AJ4" s="491">
        <f t="shared" si="1"/>
        <v>29</v>
      </c>
      <c r="AK4" s="491">
        <f t="shared" si="1"/>
        <v>30</v>
      </c>
      <c r="AL4" s="491">
        <f t="shared" si="1"/>
        <v>31</v>
      </c>
      <c r="AM4" s="491"/>
      <c r="AN4" s="491"/>
      <c r="AO4" s="491"/>
      <c r="AP4" s="491"/>
      <c r="AQ4" s="491"/>
      <c r="AR4" s="491"/>
      <c r="AS4" s="491">
        <f>AL4</f>
        <v>31</v>
      </c>
      <c r="AT4" s="491">
        <f t="shared" si="0"/>
        <v>32</v>
      </c>
      <c r="AU4" s="491">
        <f t="shared" si="0"/>
        <v>33</v>
      </c>
      <c r="AV4" s="491">
        <f t="shared" si="0"/>
        <v>34</v>
      </c>
      <c r="AW4" s="491">
        <f t="shared" si="0"/>
        <v>35</v>
      </c>
      <c r="AX4" s="491">
        <f t="shared" ref="AX4:BI4" si="2">AW4+1</f>
        <v>36</v>
      </c>
      <c r="AY4" s="491">
        <f t="shared" si="2"/>
        <v>37</v>
      </c>
      <c r="AZ4" s="491">
        <f t="shared" si="2"/>
        <v>38</v>
      </c>
      <c r="BA4" s="491">
        <f t="shared" si="2"/>
        <v>39</v>
      </c>
      <c r="BB4" s="491">
        <f t="shared" si="2"/>
        <v>40</v>
      </c>
      <c r="BC4" s="491">
        <f t="shared" si="2"/>
        <v>41</v>
      </c>
      <c r="BD4" s="491">
        <f t="shared" si="2"/>
        <v>42</v>
      </c>
      <c r="BE4" s="491">
        <f t="shared" si="2"/>
        <v>43</v>
      </c>
      <c r="BF4" s="491">
        <f t="shared" si="2"/>
        <v>44</v>
      </c>
      <c r="BG4" s="491">
        <f t="shared" si="2"/>
        <v>45</v>
      </c>
      <c r="BH4" s="491">
        <f t="shared" si="2"/>
        <v>46</v>
      </c>
      <c r="BI4" s="491">
        <f t="shared" si="2"/>
        <v>47</v>
      </c>
    </row>
    <row r="5" spans="1:61" s="272" customFormat="1" ht="17.45" hidden="1" customHeight="1" x14ac:dyDescent="0.2">
      <c r="A5" s="547"/>
      <c r="B5" s="547"/>
      <c r="C5" s="491" t="s">
        <v>657</v>
      </c>
      <c r="D5" s="491" t="s">
        <v>658</v>
      </c>
      <c r="E5" s="491" t="s">
        <v>660</v>
      </c>
      <c r="F5" s="491" t="s">
        <v>659</v>
      </c>
      <c r="G5" s="491" t="s">
        <v>661</v>
      </c>
      <c r="H5" s="491" t="s">
        <v>665</v>
      </c>
      <c r="I5" s="491" t="s">
        <v>664</v>
      </c>
      <c r="J5" s="491" t="s">
        <v>663</v>
      </c>
      <c r="K5" s="491" t="s">
        <v>684</v>
      </c>
      <c r="L5" s="491" t="s">
        <v>683</v>
      </c>
      <c r="M5" s="491" t="s">
        <v>679</v>
      </c>
      <c r="N5" s="491" t="s">
        <v>666</v>
      </c>
      <c r="O5" s="491" t="s">
        <v>673</v>
      </c>
      <c r="P5" s="491" t="s">
        <v>675</v>
      </c>
      <c r="Q5" s="491" t="s">
        <v>681</v>
      </c>
      <c r="R5" s="491"/>
      <c r="S5" s="491" t="s">
        <v>667</v>
      </c>
      <c r="T5" s="491" t="s">
        <v>674</v>
      </c>
      <c r="U5" s="491" t="s">
        <v>676</v>
      </c>
      <c r="V5" s="491" t="s">
        <v>677</v>
      </c>
      <c r="W5" s="491" t="s">
        <v>678</v>
      </c>
      <c r="X5" s="491" t="s">
        <v>680</v>
      </c>
      <c r="Y5" s="491" t="s">
        <v>668</v>
      </c>
      <c r="Z5" s="491"/>
      <c r="AA5" s="491" t="s">
        <v>685</v>
      </c>
      <c r="AB5" s="491" t="s">
        <v>669</v>
      </c>
      <c r="AC5" s="491" t="s">
        <v>670</v>
      </c>
      <c r="AD5" s="491"/>
      <c r="AE5" s="491" t="s">
        <v>671</v>
      </c>
      <c r="AF5" s="491" t="s">
        <v>672</v>
      </c>
      <c r="AG5" s="491"/>
      <c r="AH5" s="491"/>
      <c r="AI5" s="491"/>
      <c r="AJ5" s="491"/>
      <c r="AK5" s="491"/>
      <c r="AL5" s="491"/>
      <c r="AM5" s="491"/>
      <c r="AN5" s="491"/>
      <c r="AO5" s="491"/>
      <c r="AP5" s="491"/>
      <c r="AQ5" s="491"/>
      <c r="AR5" s="491"/>
      <c r="AS5" s="491"/>
      <c r="AT5" s="491" t="s">
        <v>682</v>
      </c>
      <c r="AU5" s="491" t="s">
        <v>662</v>
      </c>
      <c r="AV5" s="491" t="s">
        <v>702</v>
      </c>
      <c r="AW5" s="491" t="s">
        <v>686</v>
      </c>
      <c r="AX5" s="491" t="s">
        <v>687</v>
      </c>
      <c r="AY5" s="491" t="s">
        <v>688</v>
      </c>
      <c r="AZ5" s="491" t="s">
        <v>689</v>
      </c>
      <c r="BA5" s="491" t="s">
        <v>690</v>
      </c>
      <c r="BB5" s="491" t="s">
        <v>691</v>
      </c>
      <c r="BC5" s="491" t="s">
        <v>692</v>
      </c>
      <c r="BD5" s="491" t="s">
        <v>693</v>
      </c>
      <c r="BE5" s="491" t="s">
        <v>703</v>
      </c>
      <c r="BF5" s="491" t="s">
        <v>704</v>
      </c>
      <c r="BG5" s="491" t="s">
        <v>705</v>
      </c>
      <c r="BH5" s="611"/>
      <c r="BI5" s="491" t="s">
        <v>706</v>
      </c>
    </row>
    <row r="6" spans="1:61" s="272" customFormat="1" ht="51" hidden="1" customHeight="1" x14ac:dyDescent="0.2">
      <c r="A6" s="547"/>
      <c r="B6" s="547"/>
      <c r="C6" s="546" t="s">
        <v>694</v>
      </c>
      <c r="D6" s="546" t="s">
        <v>694</v>
      </c>
      <c r="E6" s="546" t="s">
        <v>694</v>
      </c>
      <c r="F6" s="546" t="s">
        <v>694</v>
      </c>
      <c r="G6" s="546" t="s">
        <v>694</v>
      </c>
      <c r="H6" s="546" t="s">
        <v>694</v>
      </c>
      <c r="I6" s="546" t="s">
        <v>694</v>
      </c>
      <c r="J6" s="546" t="s">
        <v>694</v>
      </c>
      <c r="K6" s="546" t="s">
        <v>694</v>
      </c>
      <c r="L6" s="546" t="s">
        <v>694</v>
      </c>
      <c r="M6" s="546" t="s">
        <v>694</v>
      </c>
      <c r="N6" s="546" t="s">
        <v>694</v>
      </c>
      <c r="O6" s="546" t="s">
        <v>694</v>
      </c>
      <c r="P6" s="546" t="s">
        <v>694</v>
      </c>
      <c r="Q6" s="546" t="s">
        <v>694</v>
      </c>
      <c r="R6" s="546"/>
      <c r="S6" s="546" t="s">
        <v>694</v>
      </c>
      <c r="T6" s="546" t="s">
        <v>694</v>
      </c>
      <c r="U6" s="546" t="s">
        <v>694</v>
      </c>
      <c r="V6" s="546" t="s">
        <v>694</v>
      </c>
      <c r="W6" s="546" t="s">
        <v>694</v>
      </c>
      <c r="X6" s="546" t="s">
        <v>694</v>
      </c>
      <c r="Y6" s="546" t="s">
        <v>694</v>
      </c>
      <c r="Z6" s="546"/>
      <c r="AA6" s="546" t="s">
        <v>694</v>
      </c>
      <c r="AB6" s="546" t="s">
        <v>694</v>
      </c>
      <c r="AC6" s="546" t="s">
        <v>694</v>
      </c>
      <c r="AD6" s="546"/>
      <c r="AE6" s="546" t="s">
        <v>694</v>
      </c>
      <c r="AF6" s="546" t="s">
        <v>694</v>
      </c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 t="s">
        <v>694</v>
      </c>
      <c r="AU6" s="546" t="s">
        <v>694</v>
      </c>
      <c r="AV6" s="546" t="s">
        <v>604</v>
      </c>
      <c r="AW6" s="546" t="s">
        <v>694</v>
      </c>
      <c r="AX6" s="546" t="s">
        <v>694</v>
      </c>
      <c r="AY6" s="546" t="s">
        <v>694</v>
      </c>
      <c r="AZ6" s="546" t="s">
        <v>694</v>
      </c>
      <c r="BA6" s="546" t="s">
        <v>694</v>
      </c>
      <c r="BB6" s="546" t="s">
        <v>694</v>
      </c>
      <c r="BC6" s="546" t="s">
        <v>694</v>
      </c>
      <c r="BD6" s="546" t="s">
        <v>694</v>
      </c>
      <c r="BE6" s="546" t="s">
        <v>694</v>
      </c>
      <c r="BF6" s="546" t="s">
        <v>694</v>
      </c>
      <c r="BG6" s="546" t="s">
        <v>694</v>
      </c>
      <c r="BH6" s="605"/>
      <c r="BI6" s="491" t="s">
        <v>604</v>
      </c>
    </row>
    <row r="7" spans="1:61" s="270" customFormat="1" ht="16.149999999999999" customHeight="1" x14ac:dyDescent="0.2">
      <c r="A7" s="273" t="s">
        <v>84</v>
      </c>
      <c r="B7" s="264" t="s">
        <v>137</v>
      </c>
      <c r="C7" s="265">
        <v>9341</v>
      </c>
      <c r="D7" s="265"/>
      <c r="E7" s="265"/>
      <c r="F7" s="265"/>
      <c r="G7" s="265"/>
      <c r="H7" s="265"/>
      <c r="I7" s="265"/>
      <c r="J7" s="265"/>
      <c r="K7" s="265">
        <v>1</v>
      </c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>
        <v>2</v>
      </c>
      <c r="X7" s="265">
        <v>23</v>
      </c>
      <c r="Y7" s="265">
        <v>7</v>
      </c>
      <c r="Z7" s="265"/>
      <c r="AA7" s="265"/>
      <c r="AB7" s="294"/>
      <c r="AC7" s="294"/>
      <c r="AD7" s="294"/>
      <c r="AE7" s="294"/>
      <c r="AF7" s="294"/>
      <c r="AG7" s="294"/>
      <c r="AH7" s="294">
        <v>2</v>
      </c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65">
        <v>38</v>
      </c>
      <c r="AU7" s="265">
        <v>30</v>
      </c>
      <c r="AV7" s="274">
        <f t="shared" ref="AV7:AV38" si="3">SUM(C7:AU7)</f>
        <v>9444</v>
      </c>
      <c r="AW7" s="265"/>
      <c r="AX7" s="265"/>
      <c r="AY7" s="265"/>
      <c r="AZ7" s="265"/>
      <c r="BA7" s="265"/>
      <c r="BB7" s="265"/>
      <c r="BC7" s="265"/>
      <c r="BD7" s="265"/>
      <c r="BE7" s="265"/>
      <c r="BF7" s="265">
        <v>7</v>
      </c>
      <c r="BG7" s="265"/>
      <c r="BH7" s="612"/>
      <c r="BI7" s="265">
        <f t="shared" ref="BI7:BI38" si="4">SUM(AV7:BH7)</f>
        <v>9451</v>
      </c>
    </row>
    <row r="8" spans="1:61" s="270" customFormat="1" ht="16.149999999999999" customHeight="1" x14ac:dyDescent="0.2">
      <c r="A8" s="275" t="s">
        <v>138</v>
      </c>
      <c r="B8" s="260" t="s">
        <v>139</v>
      </c>
      <c r="C8" s="261">
        <v>3987</v>
      </c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>
        <v>7</v>
      </c>
      <c r="AU8" s="261">
        <v>7</v>
      </c>
      <c r="AV8" s="276">
        <f t="shared" si="3"/>
        <v>4001</v>
      </c>
      <c r="AW8" s="261"/>
      <c r="AX8" s="261"/>
      <c r="AY8" s="261"/>
      <c r="AZ8" s="261"/>
      <c r="BA8" s="261"/>
      <c r="BB8" s="261"/>
      <c r="BC8" s="261"/>
      <c r="BD8" s="261"/>
      <c r="BE8" s="261"/>
      <c r="BF8" s="261">
        <v>4</v>
      </c>
      <c r="BG8" s="261"/>
      <c r="BH8" s="261"/>
      <c r="BI8" s="261">
        <f t="shared" si="4"/>
        <v>4005</v>
      </c>
    </row>
    <row r="9" spans="1:61" s="270" customFormat="1" ht="16.149999999999999" customHeight="1" x14ac:dyDescent="0.2">
      <c r="A9" s="275" t="s">
        <v>85</v>
      </c>
      <c r="B9" s="260" t="s">
        <v>140</v>
      </c>
      <c r="C9" s="261">
        <v>22207</v>
      </c>
      <c r="D9" s="261"/>
      <c r="E9" s="261">
        <v>3</v>
      </c>
      <c r="F9" s="261"/>
      <c r="G9" s="261"/>
      <c r="H9" s="261"/>
      <c r="I9" s="261"/>
      <c r="J9" s="261"/>
      <c r="K9" s="261"/>
      <c r="L9" s="261"/>
      <c r="M9" s="261">
        <v>12</v>
      </c>
      <c r="N9" s="261"/>
      <c r="O9" s="261">
        <v>4</v>
      </c>
      <c r="P9" s="261"/>
      <c r="Q9" s="261"/>
      <c r="R9" s="261"/>
      <c r="S9" s="261"/>
      <c r="T9" s="261">
        <v>15</v>
      </c>
      <c r="U9" s="261"/>
      <c r="V9" s="261"/>
      <c r="W9" s="261"/>
      <c r="X9" s="261"/>
      <c r="Y9" s="261"/>
      <c r="Z9" s="261"/>
      <c r="AA9" s="261"/>
      <c r="AB9" s="261"/>
      <c r="AC9" s="261"/>
      <c r="AD9" s="261"/>
      <c r="AE9" s="261"/>
      <c r="AF9" s="261">
        <v>4</v>
      </c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  <c r="AR9" s="261"/>
      <c r="AS9" s="261"/>
      <c r="AT9" s="261">
        <v>42</v>
      </c>
      <c r="AU9" s="261">
        <v>101</v>
      </c>
      <c r="AV9" s="276">
        <f t="shared" si="3"/>
        <v>22388</v>
      </c>
      <c r="AW9" s="261"/>
      <c r="AX9" s="261"/>
      <c r="AY9" s="261"/>
      <c r="AZ9" s="261"/>
      <c r="BA9" s="261"/>
      <c r="BB9" s="261"/>
      <c r="BC9" s="261"/>
      <c r="BD9" s="261"/>
      <c r="BE9" s="261"/>
      <c r="BF9" s="261">
        <v>11</v>
      </c>
      <c r="BG9" s="261"/>
      <c r="BH9" s="261">
        <v>8</v>
      </c>
      <c r="BI9" s="261">
        <f t="shared" si="4"/>
        <v>22407</v>
      </c>
    </row>
    <row r="10" spans="1:61" s="270" customFormat="1" ht="16.149999999999999" customHeight="1" x14ac:dyDescent="0.2">
      <c r="A10" s="275" t="s">
        <v>86</v>
      </c>
      <c r="B10" s="260" t="s">
        <v>141</v>
      </c>
      <c r="C10" s="261">
        <v>3122</v>
      </c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>
        <v>1</v>
      </c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  <c r="AR10" s="261"/>
      <c r="AS10" s="261"/>
      <c r="AT10" s="261">
        <v>12</v>
      </c>
      <c r="AU10" s="261">
        <v>14</v>
      </c>
      <c r="AV10" s="276">
        <f t="shared" si="3"/>
        <v>3149</v>
      </c>
      <c r="AW10" s="261"/>
      <c r="AX10" s="261"/>
      <c r="AY10" s="261"/>
      <c r="AZ10" s="261"/>
      <c r="BA10" s="261"/>
      <c r="BB10" s="261"/>
      <c r="BC10" s="261">
        <v>8</v>
      </c>
      <c r="BD10" s="261"/>
      <c r="BE10" s="261"/>
      <c r="BF10" s="261">
        <v>2</v>
      </c>
      <c r="BG10" s="261"/>
      <c r="BH10" s="261"/>
      <c r="BI10" s="261">
        <f t="shared" si="4"/>
        <v>3159</v>
      </c>
    </row>
    <row r="11" spans="1:61" s="270" customFormat="1" ht="16.149999999999999" customHeight="1" x14ac:dyDescent="0.2">
      <c r="A11" s="277" t="s">
        <v>142</v>
      </c>
      <c r="B11" s="262" t="s">
        <v>143</v>
      </c>
      <c r="C11" s="263">
        <v>5065</v>
      </c>
      <c r="D11" s="263"/>
      <c r="E11" s="263"/>
      <c r="F11" s="263"/>
      <c r="G11" s="263"/>
      <c r="H11" s="263"/>
      <c r="I11" s="263"/>
      <c r="J11" s="263">
        <v>1</v>
      </c>
      <c r="K11" s="263"/>
      <c r="L11" s="263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  <c r="AS11" s="263"/>
      <c r="AT11" s="263">
        <v>26</v>
      </c>
      <c r="AU11" s="263">
        <v>39</v>
      </c>
      <c r="AV11" s="278">
        <f t="shared" si="3"/>
        <v>5131</v>
      </c>
      <c r="AW11" s="263"/>
      <c r="AX11" s="263"/>
      <c r="AY11" s="263"/>
      <c r="AZ11" s="263">
        <v>708</v>
      </c>
      <c r="BA11" s="263"/>
      <c r="BB11" s="263"/>
      <c r="BC11" s="263"/>
      <c r="BD11" s="263"/>
      <c r="BE11" s="263"/>
      <c r="BF11" s="263">
        <v>2</v>
      </c>
      <c r="BG11" s="263"/>
      <c r="BH11" s="613"/>
      <c r="BI11" s="263">
        <f t="shared" si="4"/>
        <v>5841</v>
      </c>
    </row>
    <row r="12" spans="1:61" s="270" customFormat="1" ht="16.149999999999999" customHeight="1" x14ac:dyDescent="0.2">
      <c r="A12" s="273" t="s">
        <v>87</v>
      </c>
      <c r="B12" s="264" t="s">
        <v>144</v>
      </c>
      <c r="C12" s="265">
        <v>5763</v>
      </c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65">
        <v>16</v>
      </c>
      <c r="AU12" s="265">
        <v>8</v>
      </c>
      <c r="AV12" s="274">
        <f t="shared" si="3"/>
        <v>5787</v>
      </c>
      <c r="AW12" s="265"/>
      <c r="AX12" s="265"/>
      <c r="AY12" s="265"/>
      <c r="AZ12" s="265"/>
      <c r="BA12" s="265"/>
      <c r="BB12" s="265"/>
      <c r="BC12" s="265"/>
      <c r="BD12" s="265"/>
      <c r="BE12" s="265"/>
      <c r="BF12" s="265">
        <v>3</v>
      </c>
      <c r="BG12" s="265"/>
      <c r="BH12" s="612"/>
      <c r="BI12" s="265">
        <f t="shared" si="4"/>
        <v>5790</v>
      </c>
    </row>
    <row r="13" spans="1:61" s="270" customFormat="1" ht="16.149999999999999" customHeight="1" x14ac:dyDescent="0.2">
      <c r="A13" s="275" t="s">
        <v>88</v>
      </c>
      <c r="B13" s="260" t="s">
        <v>145</v>
      </c>
      <c r="C13" s="261">
        <v>2030</v>
      </c>
      <c r="D13" s="261"/>
      <c r="E13" s="261"/>
      <c r="F13" s="261">
        <v>2</v>
      </c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1"/>
      <c r="AA13" s="261"/>
      <c r="AB13" s="261">
        <v>40</v>
      </c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  <c r="AR13" s="261"/>
      <c r="AS13" s="261"/>
      <c r="AT13" s="261">
        <v>13</v>
      </c>
      <c r="AU13" s="261">
        <v>1</v>
      </c>
      <c r="AV13" s="276">
        <f t="shared" si="3"/>
        <v>2086</v>
      </c>
      <c r="AW13" s="261"/>
      <c r="AX13" s="261"/>
      <c r="AY13" s="261"/>
      <c r="AZ13" s="261"/>
      <c r="BA13" s="261"/>
      <c r="BB13" s="261"/>
      <c r="BC13" s="261"/>
      <c r="BD13" s="261"/>
      <c r="BE13" s="261"/>
      <c r="BF13" s="261">
        <v>1</v>
      </c>
      <c r="BG13" s="261"/>
      <c r="BH13" s="261"/>
      <c r="BI13" s="261">
        <f t="shared" si="4"/>
        <v>2087</v>
      </c>
    </row>
    <row r="14" spans="1:61" s="270" customFormat="1" ht="16.149999999999999" customHeight="1" x14ac:dyDescent="0.2">
      <c r="A14" s="275" t="s">
        <v>89</v>
      </c>
      <c r="B14" s="260" t="s">
        <v>146</v>
      </c>
      <c r="C14" s="261">
        <v>22331</v>
      </c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>
        <v>71</v>
      </c>
      <c r="AU14" s="261">
        <v>50</v>
      </c>
      <c r="AV14" s="276">
        <f t="shared" si="3"/>
        <v>22452</v>
      </c>
      <c r="AW14" s="261"/>
      <c r="AX14" s="261"/>
      <c r="AY14" s="261"/>
      <c r="AZ14" s="261"/>
      <c r="BA14" s="261"/>
      <c r="BB14" s="261"/>
      <c r="BC14" s="261"/>
      <c r="BD14" s="261"/>
      <c r="BE14" s="261"/>
      <c r="BF14" s="261">
        <v>9</v>
      </c>
      <c r="BG14" s="261"/>
      <c r="BH14" s="261"/>
      <c r="BI14" s="261">
        <f t="shared" si="4"/>
        <v>22461</v>
      </c>
    </row>
    <row r="15" spans="1:61" s="270" customFormat="1" ht="16.149999999999999" customHeight="1" x14ac:dyDescent="0.2">
      <c r="A15" s="275" t="s">
        <v>90</v>
      </c>
      <c r="B15" s="260" t="s">
        <v>147</v>
      </c>
      <c r="C15" s="261">
        <v>37402</v>
      </c>
      <c r="D15" s="261">
        <v>960</v>
      </c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>
        <v>105</v>
      </c>
      <c r="AU15" s="261">
        <v>70</v>
      </c>
      <c r="AV15" s="276">
        <f t="shared" si="3"/>
        <v>38537</v>
      </c>
      <c r="AW15" s="261"/>
      <c r="AX15" s="261"/>
      <c r="AY15" s="261"/>
      <c r="AZ15" s="261"/>
      <c r="BA15" s="261"/>
      <c r="BB15" s="261"/>
      <c r="BC15" s="261"/>
      <c r="BD15" s="261"/>
      <c r="BE15" s="261"/>
      <c r="BF15" s="261">
        <v>12</v>
      </c>
      <c r="BG15" s="261"/>
      <c r="BH15" s="261"/>
      <c r="BI15" s="261">
        <f t="shared" si="4"/>
        <v>38549</v>
      </c>
    </row>
    <row r="16" spans="1:61" s="270" customFormat="1" ht="16.149999999999999" customHeight="1" x14ac:dyDescent="0.2">
      <c r="A16" s="277" t="s">
        <v>91</v>
      </c>
      <c r="B16" s="262" t="s">
        <v>148</v>
      </c>
      <c r="C16" s="263">
        <v>30994</v>
      </c>
      <c r="D16" s="263"/>
      <c r="E16" s="263"/>
      <c r="F16" s="263"/>
      <c r="G16" s="263"/>
      <c r="H16" s="263"/>
      <c r="I16" s="263"/>
      <c r="J16" s="263">
        <v>916</v>
      </c>
      <c r="K16" s="263"/>
      <c r="L16" s="263">
        <v>661</v>
      </c>
      <c r="M16" s="263"/>
      <c r="N16" s="263"/>
      <c r="O16" s="263"/>
      <c r="P16" s="263"/>
      <c r="Q16" s="263"/>
      <c r="R16" s="263"/>
      <c r="S16" s="263"/>
      <c r="T16" s="263"/>
      <c r="U16" s="263">
        <v>453</v>
      </c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  <c r="AS16" s="263"/>
      <c r="AT16" s="263">
        <v>96</v>
      </c>
      <c r="AU16" s="263">
        <v>81</v>
      </c>
      <c r="AV16" s="278">
        <f t="shared" si="3"/>
        <v>33201</v>
      </c>
      <c r="AW16" s="263"/>
      <c r="AX16" s="263"/>
      <c r="AY16" s="263"/>
      <c r="AZ16" s="263">
        <v>1</v>
      </c>
      <c r="BA16" s="263"/>
      <c r="BB16" s="263"/>
      <c r="BC16" s="263"/>
      <c r="BD16" s="263"/>
      <c r="BE16" s="263"/>
      <c r="BF16" s="263">
        <v>23</v>
      </c>
      <c r="BG16" s="263"/>
      <c r="BH16" s="613"/>
      <c r="BI16" s="263">
        <f t="shared" si="4"/>
        <v>33225</v>
      </c>
    </row>
    <row r="17" spans="1:61" s="270" customFormat="1" ht="16.149999999999999" customHeight="1" x14ac:dyDescent="0.2">
      <c r="A17" s="273" t="s">
        <v>92</v>
      </c>
      <c r="B17" s="264" t="s">
        <v>149</v>
      </c>
      <c r="C17" s="265">
        <v>1541</v>
      </c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65">
        <v>1</v>
      </c>
      <c r="AU17" s="265">
        <v>4</v>
      </c>
      <c r="AV17" s="274">
        <f t="shared" si="3"/>
        <v>1546</v>
      </c>
      <c r="AW17" s="265"/>
      <c r="AX17" s="265"/>
      <c r="AY17" s="265"/>
      <c r="AZ17" s="265"/>
      <c r="BA17" s="265"/>
      <c r="BB17" s="265"/>
      <c r="BC17" s="265"/>
      <c r="BD17" s="265"/>
      <c r="BE17" s="265"/>
      <c r="BF17" s="265">
        <v>1</v>
      </c>
      <c r="BG17" s="265"/>
      <c r="BH17" s="612"/>
      <c r="BI17" s="265">
        <f t="shared" si="4"/>
        <v>1547</v>
      </c>
    </row>
    <row r="18" spans="1:61" s="270" customFormat="1" ht="16.149999999999999" customHeight="1" x14ac:dyDescent="0.2">
      <c r="A18" s="275" t="s">
        <v>150</v>
      </c>
      <c r="B18" s="260" t="s">
        <v>151</v>
      </c>
      <c r="C18" s="261">
        <v>1313</v>
      </c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>
        <v>1</v>
      </c>
      <c r="AU18" s="261">
        <v>1</v>
      </c>
      <c r="AV18" s="276">
        <f t="shared" si="3"/>
        <v>1315</v>
      </c>
      <c r="AW18" s="261"/>
      <c r="AX18" s="261"/>
      <c r="AY18" s="261"/>
      <c r="AZ18" s="261"/>
      <c r="BA18" s="261"/>
      <c r="BB18" s="261"/>
      <c r="BC18" s="261"/>
      <c r="BD18" s="261"/>
      <c r="BE18" s="261"/>
      <c r="BF18" s="261"/>
      <c r="BG18" s="261"/>
      <c r="BH18" s="261"/>
      <c r="BI18" s="261">
        <f t="shared" si="4"/>
        <v>1315</v>
      </c>
    </row>
    <row r="19" spans="1:61" s="270" customFormat="1" ht="16.149999999999999" customHeight="1" x14ac:dyDescent="0.2">
      <c r="A19" s="275" t="s">
        <v>152</v>
      </c>
      <c r="B19" s="260" t="s">
        <v>153</v>
      </c>
      <c r="C19" s="261">
        <v>1165</v>
      </c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>
        <v>90</v>
      </c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  <c r="AR19" s="261"/>
      <c r="AS19" s="261"/>
      <c r="AT19" s="261">
        <v>6</v>
      </c>
      <c r="AU19" s="261">
        <v>4</v>
      </c>
      <c r="AV19" s="276">
        <f t="shared" si="3"/>
        <v>1265</v>
      </c>
      <c r="AW19" s="261"/>
      <c r="AX19" s="261"/>
      <c r="AY19" s="261"/>
      <c r="AZ19" s="261"/>
      <c r="BA19" s="261"/>
      <c r="BB19" s="261"/>
      <c r="BC19" s="261"/>
      <c r="BD19" s="261"/>
      <c r="BE19" s="261"/>
      <c r="BF19" s="261"/>
      <c r="BG19" s="261"/>
      <c r="BH19" s="261"/>
      <c r="BI19" s="261">
        <f t="shared" si="4"/>
        <v>1265</v>
      </c>
    </row>
    <row r="20" spans="1:61" s="270" customFormat="1" ht="16.149999999999999" customHeight="1" x14ac:dyDescent="0.2">
      <c r="A20" s="275" t="s">
        <v>154</v>
      </c>
      <c r="B20" s="260" t="s">
        <v>155</v>
      </c>
      <c r="C20" s="261">
        <v>1629</v>
      </c>
      <c r="D20" s="261"/>
      <c r="E20" s="261"/>
      <c r="F20" s="261">
        <v>2</v>
      </c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>
        <v>45</v>
      </c>
      <c r="W20" s="261"/>
      <c r="X20" s="261"/>
      <c r="Y20" s="261"/>
      <c r="Z20" s="261"/>
      <c r="AA20" s="261"/>
      <c r="AB20" s="261">
        <v>51</v>
      </c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>
        <v>9</v>
      </c>
      <c r="AU20" s="261">
        <v>5</v>
      </c>
      <c r="AV20" s="276">
        <f t="shared" si="3"/>
        <v>1741</v>
      </c>
      <c r="AW20" s="261">
        <v>2</v>
      </c>
      <c r="AX20" s="261"/>
      <c r="AY20" s="261"/>
      <c r="AZ20" s="261"/>
      <c r="BA20" s="261"/>
      <c r="BB20" s="261"/>
      <c r="BC20" s="261"/>
      <c r="BD20" s="261"/>
      <c r="BE20" s="261"/>
      <c r="BF20" s="261">
        <v>2</v>
      </c>
      <c r="BG20" s="261"/>
      <c r="BH20" s="261"/>
      <c r="BI20" s="261">
        <f t="shared" si="4"/>
        <v>1745</v>
      </c>
    </row>
    <row r="21" spans="1:61" s="270" customFormat="1" ht="16.149999999999999" customHeight="1" x14ac:dyDescent="0.2">
      <c r="A21" s="277" t="s">
        <v>156</v>
      </c>
      <c r="B21" s="262" t="s">
        <v>157</v>
      </c>
      <c r="C21" s="263">
        <v>3209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>
        <v>347</v>
      </c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>
        <v>10</v>
      </c>
      <c r="AU21" s="263">
        <v>2</v>
      </c>
      <c r="AV21" s="278">
        <f t="shared" si="3"/>
        <v>3568</v>
      </c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613"/>
      <c r="BI21" s="263">
        <f t="shared" si="4"/>
        <v>3568</v>
      </c>
    </row>
    <row r="22" spans="1:61" s="270" customFormat="1" ht="16.149999999999999" customHeight="1" x14ac:dyDescent="0.2">
      <c r="A22" s="273" t="s">
        <v>158</v>
      </c>
      <c r="B22" s="264" t="s">
        <v>159</v>
      </c>
      <c r="C22" s="265">
        <v>4796</v>
      </c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65">
        <v>17</v>
      </c>
      <c r="AU22" s="265">
        <v>12</v>
      </c>
      <c r="AV22" s="274">
        <f t="shared" si="3"/>
        <v>4825</v>
      </c>
      <c r="AW22" s="265"/>
      <c r="AX22" s="265"/>
      <c r="AY22" s="265"/>
      <c r="AZ22" s="265"/>
      <c r="BA22" s="265"/>
      <c r="BB22" s="265"/>
      <c r="BC22" s="265"/>
      <c r="BD22" s="265"/>
      <c r="BE22" s="265"/>
      <c r="BF22" s="265">
        <v>3</v>
      </c>
      <c r="BG22" s="265"/>
      <c r="BH22" s="612"/>
      <c r="BI22" s="265">
        <f t="shared" si="4"/>
        <v>4828</v>
      </c>
    </row>
    <row r="23" spans="1:61" s="270" customFormat="1" ht="16.149999999999999" customHeight="1" x14ac:dyDescent="0.2">
      <c r="A23" s="275" t="s">
        <v>93</v>
      </c>
      <c r="B23" s="260" t="s">
        <v>160</v>
      </c>
      <c r="C23" s="261">
        <v>39448</v>
      </c>
      <c r="D23" s="261">
        <v>2167</v>
      </c>
      <c r="E23" s="261">
        <v>510</v>
      </c>
      <c r="F23" s="261"/>
      <c r="G23" s="261"/>
      <c r="H23" s="261"/>
      <c r="I23" s="261"/>
      <c r="J23" s="261"/>
      <c r="K23" s="261"/>
      <c r="L23" s="261"/>
      <c r="M23" s="261">
        <v>233</v>
      </c>
      <c r="N23" s="261"/>
      <c r="O23" s="261">
        <v>617</v>
      </c>
      <c r="P23" s="261"/>
      <c r="Q23" s="261">
        <v>170</v>
      </c>
      <c r="R23" s="261"/>
      <c r="S23" s="261">
        <v>227</v>
      </c>
      <c r="T23" s="261">
        <v>2</v>
      </c>
      <c r="U23" s="261"/>
      <c r="V23" s="261"/>
      <c r="W23" s="261"/>
      <c r="X23" s="261"/>
      <c r="Y23" s="261"/>
      <c r="Z23" s="261"/>
      <c r="AA23" s="261">
        <v>473</v>
      </c>
      <c r="AB23" s="261"/>
      <c r="AC23" s="261"/>
      <c r="AD23" s="261"/>
      <c r="AE23" s="261"/>
      <c r="AF23" s="261"/>
      <c r="AG23" s="261"/>
      <c r="AH23" s="261"/>
      <c r="AI23" s="261">
        <v>251</v>
      </c>
      <c r="AJ23" s="261">
        <v>303</v>
      </c>
      <c r="AK23" s="261"/>
      <c r="AL23" s="261"/>
      <c r="AM23" s="261"/>
      <c r="AN23" s="261"/>
      <c r="AO23" s="261"/>
      <c r="AP23" s="261"/>
      <c r="AQ23" s="261"/>
      <c r="AR23" s="261"/>
      <c r="AS23" s="261"/>
      <c r="AT23" s="261">
        <v>109</v>
      </c>
      <c r="AU23" s="261">
        <v>235</v>
      </c>
      <c r="AV23" s="276">
        <f t="shared" si="3"/>
        <v>44745</v>
      </c>
      <c r="AW23" s="261"/>
      <c r="AX23" s="261"/>
      <c r="AY23" s="261"/>
      <c r="AZ23" s="261"/>
      <c r="BA23" s="261"/>
      <c r="BB23" s="261"/>
      <c r="BC23" s="261"/>
      <c r="BD23" s="261">
        <v>1427</v>
      </c>
      <c r="BE23" s="261">
        <v>557</v>
      </c>
      <c r="BF23" s="261">
        <v>24</v>
      </c>
      <c r="BG23" s="261">
        <v>1</v>
      </c>
      <c r="BH23" s="261">
        <v>141</v>
      </c>
      <c r="BI23" s="261">
        <f t="shared" si="4"/>
        <v>46895</v>
      </c>
    </row>
    <row r="24" spans="1:61" s="270" customFormat="1" ht="16.149999999999999" customHeight="1" x14ac:dyDescent="0.2">
      <c r="A24" s="275" t="s">
        <v>161</v>
      </c>
      <c r="B24" s="260" t="s">
        <v>162</v>
      </c>
      <c r="C24" s="261">
        <v>893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>
        <v>3</v>
      </c>
      <c r="AU24" s="261">
        <v>2</v>
      </c>
      <c r="AV24" s="276">
        <f t="shared" si="3"/>
        <v>898</v>
      </c>
      <c r="AW24" s="261"/>
      <c r="AX24" s="261"/>
      <c r="AY24" s="261"/>
      <c r="AZ24" s="261"/>
      <c r="BA24" s="261">
        <v>19</v>
      </c>
      <c r="BB24" s="261"/>
      <c r="BC24" s="261"/>
      <c r="BD24" s="261"/>
      <c r="BE24" s="261"/>
      <c r="BF24" s="261"/>
      <c r="BG24" s="261"/>
      <c r="BH24" s="261"/>
      <c r="BI24" s="261">
        <f t="shared" si="4"/>
        <v>917</v>
      </c>
    </row>
    <row r="25" spans="1:61" s="270" customFormat="1" ht="16.149999999999999" customHeight="1" x14ac:dyDescent="0.2">
      <c r="A25" s="275" t="s">
        <v>94</v>
      </c>
      <c r="B25" s="260" t="s">
        <v>163</v>
      </c>
      <c r="C25" s="261">
        <v>1793</v>
      </c>
      <c r="D25" s="261"/>
      <c r="E25" s="261"/>
      <c r="F25" s="261"/>
      <c r="G25" s="261"/>
      <c r="H25" s="261"/>
      <c r="I25" s="261"/>
      <c r="J25" s="261"/>
      <c r="K25" s="261"/>
      <c r="L25" s="261"/>
      <c r="M25" s="261">
        <v>6</v>
      </c>
      <c r="N25" s="261"/>
      <c r="O25" s="261"/>
      <c r="P25" s="261"/>
      <c r="Q25" s="261">
        <v>1</v>
      </c>
      <c r="R25" s="261"/>
      <c r="S25" s="261">
        <v>25</v>
      </c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  <c r="AR25" s="261"/>
      <c r="AS25" s="261"/>
      <c r="AT25" s="261">
        <v>11</v>
      </c>
      <c r="AU25" s="261">
        <v>25</v>
      </c>
      <c r="AV25" s="276">
        <f t="shared" si="3"/>
        <v>1861</v>
      </c>
      <c r="AW25" s="261"/>
      <c r="AX25" s="261"/>
      <c r="AY25" s="261"/>
      <c r="AZ25" s="261"/>
      <c r="BA25" s="261"/>
      <c r="BB25" s="261"/>
      <c r="BC25" s="261"/>
      <c r="BD25" s="261"/>
      <c r="BE25" s="261"/>
      <c r="BF25" s="261">
        <v>1</v>
      </c>
      <c r="BG25" s="261"/>
      <c r="BH25" s="261"/>
      <c r="BI25" s="261">
        <f t="shared" si="4"/>
        <v>1862</v>
      </c>
    </row>
    <row r="26" spans="1:61" s="270" customFormat="1" ht="16.149999999999999" customHeight="1" x14ac:dyDescent="0.2">
      <c r="A26" s="277" t="s">
        <v>164</v>
      </c>
      <c r="B26" s="262" t="s">
        <v>165</v>
      </c>
      <c r="C26" s="263">
        <v>5572</v>
      </c>
      <c r="D26" s="263"/>
      <c r="E26" s="263"/>
      <c r="F26" s="263"/>
      <c r="G26" s="263"/>
      <c r="H26" s="263"/>
      <c r="I26" s="263"/>
      <c r="J26" s="263"/>
      <c r="K26" s="263">
        <v>2</v>
      </c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>
        <v>18</v>
      </c>
      <c r="AU26" s="263">
        <v>17</v>
      </c>
      <c r="AV26" s="278">
        <f t="shared" si="3"/>
        <v>5609</v>
      </c>
      <c r="AW26" s="263"/>
      <c r="AX26" s="263"/>
      <c r="AY26" s="263"/>
      <c r="AZ26" s="263"/>
      <c r="BA26" s="263"/>
      <c r="BB26" s="263"/>
      <c r="BC26" s="263"/>
      <c r="BD26" s="263"/>
      <c r="BE26" s="263"/>
      <c r="BF26" s="263">
        <v>1</v>
      </c>
      <c r="BG26" s="263"/>
      <c r="BH26" s="613"/>
      <c r="BI26" s="263">
        <f t="shared" si="4"/>
        <v>5610</v>
      </c>
    </row>
    <row r="27" spans="1:61" s="270" customFormat="1" ht="16.149999999999999" customHeight="1" x14ac:dyDescent="0.2">
      <c r="A27" s="273" t="s">
        <v>95</v>
      </c>
      <c r="B27" s="264" t="s">
        <v>166</v>
      </c>
      <c r="C27" s="265">
        <v>2928</v>
      </c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>
        <v>2</v>
      </c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65">
        <v>17</v>
      </c>
      <c r="AU27" s="265">
        <v>9</v>
      </c>
      <c r="AV27" s="274">
        <f t="shared" si="3"/>
        <v>2956</v>
      </c>
      <c r="AW27" s="265">
        <v>2</v>
      </c>
      <c r="AX27" s="265"/>
      <c r="AY27" s="265"/>
      <c r="AZ27" s="265"/>
      <c r="BA27" s="265">
        <v>76</v>
      </c>
      <c r="BB27" s="265"/>
      <c r="BC27" s="265"/>
      <c r="BD27" s="265"/>
      <c r="BE27" s="265"/>
      <c r="BF27" s="265">
        <v>2</v>
      </c>
      <c r="BG27" s="265"/>
      <c r="BH27" s="612"/>
      <c r="BI27" s="265">
        <f t="shared" si="4"/>
        <v>3036</v>
      </c>
    </row>
    <row r="28" spans="1:61" s="270" customFormat="1" ht="16.149999999999999" customHeight="1" x14ac:dyDescent="0.2">
      <c r="A28" s="275" t="s">
        <v>96</v>
      </c>
      <c r="B28" s="260" t="s">
        <v>167</v>
      </c>
      <c r="C28" s="261">
        <v>2891</v>
      </c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>
        <v>6</v>
      </c>
      <c r="AU28" s="261">
        <v>18</v>
      </c>
      <c r="AV28" s="276">
        <f t="shared" si="3"/>
        <v>2915</v>
      </c>
      <c r="AW28" s="261"/>
      <c r="AX28" s="261"/>
      <c r="AY28" s="261"/>
      <c r="AZ28" s="261"/>
      <c r="BA28" s="261"/>
      <c r="BB28" s="261"/>
      <c r="BC28" s="261"/>
      <c r="BD28" s="261"/>
      <c r="BE28" s="261"/>
      <c r="BF28" s="261">
        <v>1</v>
      </c>
      <c r="BG28" s="261"/>
      <c r="BH28" s="261"/>
      <c r="BI28" s="261">
        <f t="shared" si="4"/>
        <v>2916</v>
      </c>
    </row>
    <row r="29" spans="1:61" s="270" customFormat="1" ht="16.149999999999999" customHeight="1" x14ac:dyDescent="0.2">
      <c r="A29" s="275" t="s">
        <v>97</v>
      </c>
      <c r="B29" s="260" t="s">
        <v>168</v>
      </c>
      <c r="C29" s="261">
        <v>12103</v>
      </c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>
        <v>1</v>
      </c>
      <c r="O29" s="261"/>
      <c r="P29" s="261"/>
      <c r="Q29" s="261"/>
      <c r="R29" s="261"/>
      <c r="S29" s="261"/>
      <c r="T29" s="261"/>
      <c r="U29" s="261"/>
      <c r="V29" s="261"/>
      <c r="W29" s="261">
        <v>72</v>
      </c>
      <c r="X29" s="261">
        <v>1</v>
      </c>
      <c r="Y29" s="261">
        <v>1</v>
      </c>
      <c r="Z29" s="261"/>
      <c r="AA29" s="261"/>
      <c r="AB29" s="261"/>
      <c r="AC29" s="261"/>
      <c r="AD29" s="261"/>
      <c r="AE29" s="261"/>
      <c r="AF29" s="261"/>
      <c r="AG29" s="261"/>
      <c r="AH29" s="261">
        <v>1</v>
      </c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>
        <v>30</v>
      </c>
      <c r="AU29" s="261">
        <v>32</v>
      </c>
      <c r="AV29" s="276">
        <f t="shared" si="3"/>
        <v>12241</v>
      </c>
      <c r="AW29" s="261"/>
      <c r="AX29" s="261">
        <v>84</v>
      </c>
      <c r="AY29" s="261"/>
      <c r="AZ29" s="261"/>
      <c r="BA29" s="261"/>
      <c r="BB29" s="261"/>
      <c r="BC29" s="261"/>
      <c r="BD29" s="261"/>
      <c r="BE29" s="261"/>
      <c r="BF29" s="261">
        <v>9</v>
      </c>
      <c r="BG29" s="261"/>
      <c r="BH29" s="261"/>
      <c r="BI29" s="261">
        <f t="shared" si="4"/>
        <v>12334</v>
      </c>
    </row>
    <row r="30" spans="1:61" s="270" customFormat="1" ht="16.149999999999999" customHeight="1" x14ac:dyDescent="0.2">
      <c r="A30" s="275" t="s">
        <v>98</v>
      </c>
      <c r="B30" s="260" t="s">
        <v>169</v>
      </c>
      <c r="C30" s="261">
        <v>4316</v>
      </c>
      <c r="D30" s="261"/>
      <c r="E30" s="261">
        <v>1</v>
      </c>
      <c r="F30" s="261"/>
      <c r="G30" s="261"/>
      <c r="H30" s="261"/>
      <c r="I30" s="261"/>
      <c r="J30" s="261"/>
      <c r="K30" s="261"/>
      <c r="L30" s="261"/>
      <c r="M30" s="261">
        <v>19</v>
      </c>
      <c r="N30" s="261"/>
      <c r="O30" s="261"/>
      <c r="P30" s="261"/>
      <c r="Q30" s="261"/>
      <c r="R30" s="261"/>
      <c r="S30" s="261">
        <v>1</v>
      </c>
      <c r="T30" s="261">
        <v>200</v>
      </c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  <c r="AP30" s="261"/>
      <c r="AQ30" s="261"/>
      <c r="AR30" s="261"/>
      <c r="AS30" s="261"/>
      <c r="AT30" s="261">
        <v>8</v>
      </c>
      <c r="AU30" s="261">
        <v>10</v>
      </c>
      <c r="AV30" s="276">
        <f t="shared" si="3"/>
        <v>4555</v>
      </c>
      <c r="AW30" s="261"/>
      <c r="AX30" s="261"/>
      <c r="AY30" s="261"/>
      <c r="AZ30" s="261"/>
      <c r="BA30" s="261"/>
      <c r="BB30" s="261"/>
      <c r="BC30" s="261"/>
      <c r="BD30" s="261"/>
      <c r="BE30" s="261"/>
      <c r="BF30" s="261">
        <v>2</v>
      </c>
      <c r="BG30" s="261"/>
      <c r="BH30" s="261">
        <v>1</v>
      </c>
      <c r="BI30" s="261">
        <f t="shared" si="4"/>
        <v>4558</v>
      </c>
    </row>
    <row r="31" spans="1:61" s="270" customFormat="1" ht="16.149999999999999" customHeight="1" x14ac:dyDescent="0.2">
      <c r="A31" s="277" t="s">
        <v>99</v>
      </c>
      <c r="B31" s="262" t="s">
        <v>170</v>
      </c>
      <c r="C31" s="263">
        <v>2213</v>
      </c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>
        <v>17</v>
      </c>
      <c r="AC31" s="263"/>
      <c r="AD31" s="263"/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>
        <v>9</v>
      </c>
      <c r="AU31" s="263">
        <v>4</v>
      </c>
      <c r="AV31" s="278">
        <f t="shared" si="3"/>
        <v>2243</v>
      </c>
      <c r="AW31" s="263">
        <v>1</v>
      </c>
      <c r="AX31" s="263"/>
      <c r="AY31" s="263"/>
      <c r="AZ31" s="263"/>
      <c r="BA31" s="263"/>
      <c r="BB31" s="263"/>
      <c r="BC31" s="263"/>
      <c r="BD31" s="263"/>
      <c r="BE31" s="263"/>
      <c r="BF31" s="263">
        <v>3</v>
      </c>
      <c r="BG31" s="263"/>
      <c r="BH31" s="613"/>
      <c r="BI31" s="263">
        <f t="shared" si="4"/>
        <v>2247</v>
      </c>
    </row>
    <row r="32" spans="1:61" s="270" customFormat="1" ht="16.149999999999999" customHeight="1" x14ac:dyDescent="0.2">
      <c r="A32" s="273" t="s">
        <v>100</v>
      </c>
      <c r="B32" s="264" t="s">
        <v>171</v>
      </c>
      <c r="C32" s="265">
        <v>47214</v>
      </c>
      <c r="D32" s="265"/>
      <c r="E32" s="265"/>
      <c r="F32" s="265"/>
      <c r="G32" s="265">
        <v>54</v>
      </c>
      <c r="H32" s="265">
        <v>598</v>
      </c>
      <c r="I32" s="265">
        <v>209</v>
      </c>
      <c r="J32" s="265"/>
      <c r="K32" s="265"/>
      <c r="L32" s="265"/>
      <c r="M32" s="265"/>
      <c r="N32" s="265">
        <v>205</v>
      </c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94"/>
      <c r="AC32" s="294"/>
      <c r="AD32" s="294"/>
      <c r="AE32" s="294"/>
      <c r="AF32" s="294"/>
      <c r="AG32" s="294">
        <v>8</v>
      </c>
      <c r="AH32" s="294"/>
      <c r="AI32" s="294"/>
      <c r="AJ32" s="294"/>
      <c r="AK32" s="294">
        <v>7</v>
      </c>
      <c r="AL32" s="294">
        <v>912</v>
      </c>
      <c r="AM32" s="294"/>
      <c r="AN32" s="294"/>
      <c r="AO32" s="294"/>
      <c r="AP32" s="294"/>
      <c r="AQ32" s="294"/>
      <c r="AR32" s="294"/>
      <c r="AS32" s="294"/>
      <c r="AT32" s="265">
        <v>185</v>
      </c>
      <c r="AU32" s="265">
        <v>169</v>
      </c>
      <c r="AV32" s="274">
        <f t="shared" si="3"/>
        <v>49561</v>
      </c>
      <c r="AW32" s="265"/>
      <c r="AX32" s="265"/>
      <c r="AY32" s="265">
        <v>611</v>
      </c>
      <c r="AZ32" s="265"/>
      <c r="BA32" s="265"/>
      <c r="BB32" s="265">
        <v>248</v>
      </c>
      <c r="BC32" s="265"/>
      <c r="BD32" s="265"/>
      <c r="BE32" s="265"/>
      <c r="BF32" s="265">
        <v>5</v>
      </c>
      <c r="BG32" s="265">
        <v>49</v>
      </c>
      <c r="BH32" s="612">
        <v>4</v>
      </c>
      <c r="BI32" s="265">
        <f t="shared" si="4"/>
        <v>50478</v>
      </c>
    </row>
    <row r="33" spans="1:61" s="270" customFormat="1" ht="16.149999999999999" customHeight="1" x14ac:dyDescent="0.2">
      <c r="A33" s="275" t="s">
        <v>172</v>
      </c>
      <c r="B33" s="260" t="s">
        <v>173</v>
      </c>
      <c r="C33" s="261">
        <v>5505</v>
      </c>
      <c r="D33" s="261"/>
      <c r="E33" s="261"/>
      <c r="F33" s="261"/>
      <c r="G33" s="261"/>
      <c r="H33" s="261"/>
      <c r="I33" s="261"/>
      <c r="J33" s="261">
        <v>3</v>
      </c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>
        <v>15</v>
      </c>
      <c r="AU33" s="261">
        <v>7</v>
      </c>
      <c r="AV33" s="276">
        <f t="shared" si="3"/>
        <v>5530</v>
      </c>
      <c r="AW33" s="261"/>
      <c r="AX33" s="261"/>
      <c r="AY33" s="261"/>
      <c r="AZ33" s="261"/>
      <c r="BA33" s="261"/>
      <c r="BB33" s="261"/>
      <c r="BC33" s="261"/>
      <c r="BD33" s="261"/>
      <c r="BE33" s="261"/>
      <c r="BF33" s="261">
        <v>3</v>
      </c>
      <c r="BG33" s="261"/>
      <c r="BH33" s="261"/>
      <c r="BI33" s="261">
        <f t="shared" si="4"/>
        <v>5533</v>
      </c>
    </row>
    <row r="34" spans="1:61" s="270" customFormat="1" ht="16.149999999999999" customHeight="1" x14ac:dyDescent="0.2">
      <c r="A34" s="275" t="s">
        <v>101</v>
      </c>
      <c r="B34" s="260" t="s">
        <v>174</v>
      </c>
      <c r="C34" s="261">
        <v>30348</v>
      </c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>
        <v>749</v>
      </c>
      <c r="X34" s="261">
        <v>740</v>
      </c>
      <c r="Y34" s="261">
        <v>532</v>
      </c>
      <c r="Z34" s="261"/>
      <c r="AA34" s="261"/>
      <c r="AB34" s="261"/>
      <c r="AC34" s="261"/>
      <c r="AD34" s="261"/>
      <c r="AE34" s="261"/>
      <c r="AF34" s="261"/>
      <c r="AG34" s="261"/>
      <c r="AH34" s="261">
        <v>53</v>
      </c>
      <c r="AI34" s="261"/>
      <c r="AJ34" s="261"/>
      <c r="AK34" s="261"/>
      <c r="AL34" s="261"/>
      <c r="AM34" s="261"/>
      <c r="AN34" s="261"/>
      <c r="AO34" s="261"/>
      <c r="AP34" s="261"/>
      <c r="AQ34" s="261"/>
      <c r="AR34" s="261"/>
      <c r="AS34" s="261"/>
      <c r="AT34" s="261">
        <v>59</v>
      </c>
      <c r="AU34" s="261">
        <v>106</v>
      </c>
      <c r="AV34" s="276">
        <f t="shared" si="3"/>
        <v>32587</v>
      </c>
      <c r="AW34" s="261"/>
      <c r="AX34" s="261">
        <v>3</v>
      </c>
      <c r="AY34" s="261"/>
      <c r="AZ34" s="261"/>
      <c r="BA34" s="261"/>
      <c r="BB34" s="261"/>
      <c r="BC34" s="261"/>
      <c r="BD34" s="261"/>
      <c r="BE34" s="261"/>
      <c r="BF34" s="261">
        <v>13</v>
      </c>
      <c r="BG34" s="261"/>
      <c r="BH34" s="261"/>
      <c r="BI34" s="261">
        <f t="shared" si="4"/>
        <v>32603</v>
      </c>
    </row>
    <row r="35" spans="1:61" s="270" customFormat="1" ht="16.149999999999999" customHeight="1" x14ac:dyDescent="0.2">
      <c r="A35" s="275" t="s">
        <v>102</v>
      </c>
      <c r="B35" s="260" t="s">
        <v>175</v>
      </c>
      <c r="C35" s="261">
        <v>13809</v>
      </c>
      <c r="D35" s="261"/>
      <c r="E35" s="261"/>
      <c r="F35" s="261"/>
      <c r="G35" s="261">
        <v>1</v>
      </c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>
        <v>1</v>
      </c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  <c r="AR35" s="261"/>
      <c r="AS35" s="261"/>
      <c r="AT35" s="261">
        <v>30</v>
      </c>
      <c r="AU35" s="261">
        <v>103</v>
      </c>
      <c r="AV35" s="276">
        <f t="shared" si="3"/>
        <v>13944</v>
      </c>
      <c r="AW35" s="261"/>
      <c r="AX35" s="261"/>
      <c r="AY35" s="261"/>
      <c r="AZ35" s="261"/>
      <c r="BA35" s="261"/>
      <c r="BB35" s="261"/>
      <c r="BC35" s="261">
        <v>58</v>
      </c>
      <c r="BD35" s="261"/>
      <c r="BE35" s="261"/>
      <c r="BF35" s="261">
        <v>12</v>
      </c>
      <c r="BG35" s="261"/>
      <c r="BH35" s="261"/>
      <c r="BI35" s="261">
        <f t="shared" si="4"/>
        <v>14014</v>
      </c>
    </row>
    <row r="36" spans="1:61" s="270" customFormat="1" ht="16.149999999999999" customHeight="1" x14ac:dyDescent="0.2">
      <c r="A36" s="277" t="s">
        <v>176</v>
      </c>
      <c r="B36" s="262" t="s">
        <v>177</v>
      </c>
      <c r="C36" s="263">
        <v>2468</v>
      </c>
      <c r="D36" s="263"/>
      <c r="E36" s="263"/>
      <c r="F36" s="263"/>
      <c r="G36" s="263"/>
      <c r="H36" s="263"/>
      <c r="I36" s="263"/>
      <c r="J36" s="263"/>
      <c r="K36" s="263"/>
      <c r="L36" s="263"/>
      <c r="M36" s="263"/>
      <c r="N36" s="263"/>
      <c r="O36" s="263"/>
      <c r="P36" s="263"/>
      <c r="Q36" s="263"/>
      <c r="R36" s="263"/>
      <c r="S36" s="263"/>
      <c r="T36" s="263"/>
      <c r="U36" s="263"/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3"/>
      <c r="AK36" s="263"/>
      <c r="AL36" s="263"/>
      <c r="AM36" s="263"/>
      <c r="AN36" s="263"/>
      <c r="AO36" s="263"/>
      <c r="AP36" s="263"/>
      <c r="AQ36" s="263"/>
      <c r="AR36" s="263"/>
      <c r="AS36" s="263"/>
      <c r="AT36" s="263"/>
      <c r="AU36" s="263">
        <v>9</v>
      </c>
      <c r="AV36" s="278">
        <f t="shared" si="3"/>
        <v>2477</v>
      </c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613"/>
      <c r="BI36" s="263">
        <f t="shared" si="4"/>
        <v>2477</v>
      </c>
    </row>
    <row r="37" spans="1:61" s="270" customFormat="1" ht="16.149999999999999" customHeight="1" x14ac:dyDescent="0.2">
      <c r="A37" s="273" t="s">
        <v>103</v>
      </c>
      <c r="B37" s="264" t="s">
        <v>178</v>
      </c>
      <c r="C37" s="265">
        <v>5821</v>
      </c>
      <c r="D37" s="265"/>
      <c r="E37" s="265"/>
      <c r="F37" s="265">
        <v>53</v>
      </c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>
        <v>3</v>
      </c>
      <c r="W37" s="265"/>
      <c r="X37" s="265"/>
      <c r="Y37" s="265"/>
      <c r="Z37" s="265"/>
      <c r="AA37" s="265"/>
      <c r="AB37" s="294">
        <v>299</v>
      </c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65">
        <v>12</v>
      </c>
      <c r="AU37" s="265">
        <v>7</v>
      </c>
      <c r="AV37" s="274">
        <f t="shared" si="3"/>
        <v>6195</v>
      </c>
      <c r="AW37" s="265">
        <v>2</v>
      </c>
      <c r="AX37" s="265"/>
      <c r="AY37" s="265"/>
      <c r="AZ37" s="265"/>
      <c r="BA37" s="265"/>
      <c r="BB37" s="265"/>
      <c r="BC37" s="265"/>
      <c r="BD37" s="265"/>
      <c r="BE37" s="265"/>
      <c r="BF37" s="265">
        <v>2</v>
      </c>
      <c r="BG37" s="265"/>
      <c r="BH37" s="612"/>
      <c r="BI37" s="265">
        <f t="shared" si="4"/>
        <v>6199</v>
      </c>
    </row>
    <row r="38" spans="1:61" s="270" customFormat="1" ht="16.149999999999999" customHeight="1" x14ac:dyDescent="0.2">
      <c r="A38" s="275" t="s">
        <v>104</v>
      </c>
      <c r="B38" s="260" t="s">
        <v>179</v>
      </c>
      <c r="C38" s="261">
        <v>25156</v>
      </c>
      <c r="D38" s="261"/>
      <c r="E38" s="261">
        <v>6</v>
      </c>
      <c r="F38" s="261"/>
      <c r="G38" s="261"/>
      <c r="H38" s="261"/>
      <c r="I38" s="261"/>
      <c r="J38" s="261"/>
      <c r="K38" s="261"/>
      <c r="L38" s="261"/>
      <c r="M38" s="261">
        <v>19</v>
      </c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>
        <v>3</v>
      </c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>
        <v>85</v>
      </c>
      <c r="AU38" s="261">
        <v>202</v>
      </c>
      <c r="AV38" s="276">
        <f t="shared" si="3"/>
        <v>25471</v>
      </c>
      <c r="AW38" s="261"/>
      <c r="AX38" s="261"/>
      <c r="AY38" s="261"/>
      <c r="AZ38" s="261"/>
      <c r="BA38" s="261"/>
      <c r="BB38" s="261"/>
      <c r="BC38" s="261"/>
      <c r="BD38" s="261"/>
      <c r="BE38" s="261"/>
      <c r="BF38" s="261">
        <v>23</v>
      </c>
      <c r="BG38" s="261"/>
      <c r="BH38" s="261">
        <v>1</v>
      </c>
      <c r="BI38" s="261">
        <f t="shared" si="4"/>
        <v>25495</v>
      </c>
    </row>
    <row r="39" spans="1:61" s="270" customFormat="1" ht="16.149999999999999" customHeight="1" x14ac:dyDescent="0.2">
      <c r="A39" s="275" t="s">
        <v>180</v>
      </c>
      <c r="B39" s="260" t="s">
        <v>181</v>
      </c>
      <c r="C39" s="261">
        <v>1165</v>
      </c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>
        <v>2</v>
      </c>
      <c r="AU39" s="261">
        <v>361</v>
      </c>
      <c r="AV39" s="276">
        <f t="shared" ref="AV39:AV70" si="5">SUM(C39:AU39)</f>
        <v>1528</v>
      </c>
      <c r="AW39" s="261"/>
      <c r="AX39" s="261"/>
      <c r="AY39" s="261"/>
      <c r="AZ39" s="261"/>
      <c r="BA39" s="261">
        <v>295</v>
      </c>
      <c r="BB39" s="261"/>
      <c r="BC39" s="261"/>
      <c r="BD39" s="261"/>
      <c r="BE39" s="261"/>
      <c r="BF39" s="261">
        <v>1</v>
      </c>
      <c r="BG39" s="261"/>
      <c r="BH39" s="261"/>
      <c r="BI39" s="261">
        <f t="shared" ref="BI39:BI70" si="6">SUM(AV39:BH39)</f>
        <v>1824</v>
      </c>
    </row>
    <row r="40" spans="1:61" s="270" customFormat="1" ht="16.149999999999999" customHeight="1" x14ac:dyDescent="0.2">
      <c r="A40" s="275" t="s">
        <v>105</v>
      </c>
      <c r="B40" s="260" t="s">
        <v>182</v>
      </c>
      <c r="C40" s="261">
        <v>3631</v>
      </c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  <c r="AP40" s="261"/>
      <c r="AQ40" s="261"/>
      <c r="AR40" s="261"/>
      <c r="AS40" s="261"/>
      <c r="AT40" s="261">
        <v>47</v>
      </c>
      <c r="AU40" s="261">
        <v>23</v>
      </c>
      <c r="AV40" s="276">
        <f t="shared" si="5"/>
        <v>3701</v>
      </c>
      <c r="AW40" s="261">
        <v>11</v>
      </c>
      <c r="AX40" s="261"/>
      <c r="AY40" s="261"/>
      <c r="AZ40" s="261"/>
      <c r="BA40" s="261">
        <v>2</v>
      </c>
      <c r="BB40" s="261"/>
      <c r="BC40" s="261"/>
      <c r="BD40" s="261"/>
      <c r="BE40" s="261"/>
      <c r="BF40" s="261"/>
      <c r="BG40" s="261"/>
      <c r="BH40" s="261"/>
      <c r="BI40" s="261">
        <f t="shared" si="6"/>
        <v>3714</v>
      </c>
    </row>
    <row r="41" spans="1:61" s="270" customFormat="1" ht="16.149999999999999" customHeight="1" x14ac:dyDescent="0.2">
      <c r="A41" s="277" t="s">
        <v>106</v>
      </c>
      <c r="B41" s="262" t="s">
        <v>183</v>
      </c>
      <c r="C41" s="263">
        <v>5763</v>
      </c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263"/>
      <c r="AG41" s="263"/>
      <c r="AH41" s="263"/>
      <c r="AI41" s="263"/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>
        <v>19</v>
      </c>
      <c r="AU41" s="263">
        <v>19</v>
      </c>
      <c r="AV41" s="278">
        <f t="shared" si="5"/>
        <v>5801</v>
      </c>
      <c r="AW41" s="263"/>
      <c r="AX41" s="263"/>
      <c r="AY41" s="263"/>
      <c r="AZ41" s="263"/>
      <c r="BA41" s="263"/>
      <c r="BB41" s="263"/>
      <c r="BC41" s="263"/>
      <c r="BD41" s="263"/>
      <c r="BE41" s="263"/>
      <c r="BF41" s="263">
        <v>27</v>
      </c>
      <c r="BG41" s="263"/>
      <c r="BH41" s="613"/>
      <c r="BI41" s="263">
        <f t="shared" si="6"/>
        <v>5828</v>
      </c>
    </row>
    <row r="42" spans="1:61" s="270" customFormat="1" ht="16.149999999999999" customHeight="1" x14ac:dyDescent="0.2">
      <c r="A42" s="273" t="s">
        <v>107</v>
      </c>
      <c r="B42" s="264" t="s">
        <v>184</v>
      </c>
      <c r="C42" s="265">
        <v>44750</v>
      </c>
      <c r="D42" s="265"/>
      <c r="E42" s="265"/>
      <c r="F42" s="265"/>
      <c r="G42" s="265">
        <v>447</v>
      </c>
      <c r="H42" s="265">
        <v>246</v>
      </c>
      <c r="I42" s="265">
        <v>618</v>
      </c>
      <c r="J42" s="265"/>
      <c r="K42" s="265"/>
      <c r="L42" s="265"/>
      <c r="M42" s="265"/>
      <c r="N42" s="265">
        <v>49</v>
      </c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94"/>
      <c r="AC42" s="294"/>
      <c r="AD42" s="294"/>
      <c r="AE42" s="294"/>
      <c r="AF42" s="294"/>
      <c r="AG42" s="294">
        <v>58</v>
      </c>
      <c r="AH42" s="294"/>
      <c r="AI42" s="294"/>
      <c r="AJ42" s="294"/>
      <c r="AK42" s="294">
        <v>37</v>
      </c>
      <c r="AL42" s="294">
        <v>52</v>
      </c>
      <c r="AM42" s="294"/>
      <c r="AN42" s="294"/>
      <c r="AO42" s="294"/>
      <c r="AP42" s="294"/>
      <c r="AQ42" s="294"/>
      <c r="AR42" s="294"/>
      <c r="AS42" s="294"/>
      <c r="AT42" s="265">
        <v>58</v>
      </c>
      <c r="AU42" s="265">
        <v>75</v>
      </c>
      <c r="AV42" s="274">
        <f t="shared" si="5"/>
        <v>46390</v>
      </c>
      <c r="AW42" s="265"/>
      <c r="AX42" s="265"/>
      <c r="AY42" s="265">
        <v>729</v>
      </c>
      <c r="AZ42" s="265"/>
      <c r="BA42" s="265"/>
      <c r="BB42" s="265">
        <v>200</v>
      </c>
      <c r="BC42" s="265"/>
      <c r="BD42" s="265"/>
      <c r="BE42" s="265"/>
      <c r="BF42" s="265">
        <v>3</v>
      </c>
      <c r="BG42" s="265">
        <v>115</v>
      </c>
      <c r="BH42" s="612">
        <v>1</v>
      </c>
      <c r="BI42" s="265">
        <f t="shared" si="6"/>
        <v>47438</v>
      </c>
    </row>
    <row r="43" spans="1:61" s="270" customFormat="1" ht="16.149999999999999" customHeight="1" x14ac:dyDescent="0.2">
      <c r="A43" s="275" t="s">
        <v>108</v>
      </c>
      <c r="B43" s="260" t="s">
        <v>185</v>
      </c>
      <c r="C43" s="261">
        <v>18693</v>
      </c>
      <c r="D43" s="261"/>
      <c r="E43" s="261"/>
      <c r="F43" s="261">
        <v>12</v>
      </c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>
        <v>7</v>
      </c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>
        <v>50</v>
      </c>
      <c r="AU43" s="261">
        <v>48</v>
      </c>
      <c r="AV43" s="276">
        <f t="shared" si="5"/>
        <v>18810</v>
      </c>
      <c r="AW43" s="261">
        <v>62</v>
      </c>
      <c r="AX43" s="261"/>
      <c r="AY43" s="261"/>
      <c r="AZ43" s="261"/>
      <c r="BA43" s="261">
        <v>2</v>
      </c>
      <c r="BB43" s="261"/>
      <c r="BC43" s="261"/>
      <c r="BD43" s="261"/>
      <c r="BE43" s="261"/>
      <c r="BF43" s="261">
        <v>4</v>
      </c>
      <c r="BG43" s="261"/>
      <c r="BH43" s="261"/>
      <c r="BI43" s="261">
        <f t="shared" si="6"/>
        <v>18878</v>
      </c>
    </row>
    <row r="44" spans="1:61" s="270" customFormat="1" ht="16.149999999999999" customHeight="1" x14ac:dyDescent="0.2">
      <c r="A44" s="275" t="s">
        <v>109</v>
      </c>
      <c r="B44" s="260" t="s">
        <v>186</v>
      </c>
      <c r="C44" s="261">
        <v>3832</v>
      </c>
      <c r="D44" s="261"/>
      <c r="E44" s="261"/>
      <c r="F44" s="261"/>
      <c r="G44" s="261"/>
      <c r="H44" s="261">
        <v>16</v>
      </c>
      <c r="I44" s="261">
        <v>7</v>
      </c>
      <c r="J44" s="261"/>
      <c r="K44" s="261"/>
      <c r="L44" s="261"/>
      <c r="M44" s="261"/>
      <c r="N44" s="261">
        <v>3</v>
      </c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>
        <v>1</v>
      </c>
      <c r="AL44" s="261">
        <v>9</v>
      </c>
      <c r="AM44" s="261"/>
      <c r="AN44" s="261"/>
      <c r="AO44" s="261"/>
      <c r="AP44" s="261"/>
      <c r="AQ44" s="261"/>
      <c r="AR44" s="261"/>
      <c r="AS44" s="261"/>
      <c r="AT44" s="261">
        <v>5</v>
      </c>
      <c r="AU44" s="261">
        <v>16</v>
      </c>
      <c r="AV44" s="276">
        <f t="shared" si="5"/>
        <v>3889</v>
      </c>
      <c r="AW44" s="261"/>
      <c r="AX44" s="261"/>
      <c r="AY44" s="261">
        <v>9</v>
      </c>
      <c r="AZ44" s="261"/>
      <c r="BA44" s="261"/>
      <c r="BB44" s="261">
        <v>504</v>
      </c>
      <c r="BC44" s="261"/>
      <c r="BD44" s="261"/>
      <c r="BE44" s="261"/>
      <c r="BF44" s="261">
        <v>1</v>
      </c>
      <c r="BG44" s="261">
        <v>3</v>
      </c>
      <c r="BH44" s="261"/>
      <c r="BI44" s="261">
        <f t="shared" si="6"/>
        <v>4406</v>
      </c>
    </row>
    <row r="45" spans="1:61" s="270" customFormat="1" ht="16.149999999999999" customHeight="1" x14ac:dyDescent="0.2">
      <c r="A45" s="275" t="s">
        <v>110</v>
      </c>
      <c r="B45" s="260" t="s">
        <v>187</v>
      </c>
      <c r="C45" s="261">
        <v>2580</v>
      </c>
      <c r="D45" s="261"/>
      <c r="E45" s="261"/>
      <c r="F45" s="261"/>
      <c r="G45" s="261"/>
      <c r="H45" s="261"/>
      <c r="I45" s="261"/>
      <c r="J45" s="261"/>
      <c r="K45" s="261"/>
      <c r="L45" s="261"/>
      <c r="M45" s="261">
        <v>9</v>
      </c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>
        <v>8</v>
      </c>
      <c r="AU45" s="261">
        <v>21</v>
      </c>
      <c r="AV45" s="276">
        <f t="shared" si="5"/>
        <v>2618</v>
      </c>
      <c r="AW45" s="261"/>
      <c r="AX45" s="261"/>
      <c r="AY45" s="261"/>
      <c r="AZ45" s="261"/>
      <c r="BA45" s="261"/>
      <c r="BB45" s="261"/>
      <c r="BC45" s="261"/>
      <c r="BD45" s="261"/>
      <c r="BE45" s="261"/>
      <c r="BF45" s="261">
        <v>5</v>
      </c>
      <c r="BG45" s="261"/>
      <c r="BH45" s="261">
        <v>2</v>
      </c>
      <c r="BI45" s="261">
        <f t="shared" si="6"/>
        <v>2625</v>
      </c>
    </row>
    <row r="46" spans="1:61" s="270" customFormat="1" ht="16.149999999999999" customHeight="1" x14ac:dyDescent="0.2">
      <c r="A46" s="277" t="s">
        <v>111</v>
      </c>
      <c r="B46" s="262" t="s">
        <v>188</v>
      </c>
      <c r="C46" s="263">
        <v>21913</v>
      </c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>
        <v>55</v>
      </c>
      <c r="AU46" s="263">
        <v>57</v>
      </c>
      <c r="AV46" s="278">
        <f t="shared" si="5"/>
        <v>22025</v>
      </c>
      <c r="AW46" s="263"/>
      <c r="AX46" s="263"/>
      <c r="AY46" s="263"/>
      <c r="AZ46" s="263">
        <v>5</v>
      </c>
      <c r="BA46" s="263"/>
      <c r="BB46" s="263"/>
      <c r="BC46" s="263"/>
      <c r="BD46" s="263"/>
      <c r="BE46" s="263"/>
      <c r="BF46" s="263">
        <v>9</v>
      </c>
      <c r="BG46" s="263"/>
      <c r="BH46" s="613"/>
      <c r="BI46" s="263">
        <f t="shared" si="6"/>
        <v>22039</v>
      </c>
    </row>
    <row r="47" spans="1:61" s="270" customFormat="1" ht="16.149999999999999" customHeight="1" x14ac:dyDescent="0.2">
      <c r="A47" s="273" t="s">
        <v>189</v>
      </c>
      <c r="B47" s="264" t="s">
        <v>190</v>
      </c>
      <c r="C47" s="265">
        <v>1374</v>
      </c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65">
        <v>3</v>
      </c>
      <c r="AU47" s="265">
        <v>6</v>
      </c>
      <c r="AV47" s="274">
        <f t="shared" si="5"/>
        <v>1383</v>
      </c>
      <c r="AW47" s="265"/>
      <c r="AX47" s="265"/>
      <c r="AY47" s="265"/>
      <c r="AZ47" s="265"/>
      <c r="BA47" s="265"/>
      <c r="BB47" s="265"/>
      <c r="BC47" s="265"/>
      <c r="BD47" s="265"/>
      <c r="BE47" s="265"/>
      <c r="BF47" s="265"/>
      <c r="BG47" s="265"/>
      <c r="BH47" s="612"/>
      <c r="BI47" s="265">
        <f t="shared" si="6"/>
        <v>1383</v>
      </c>
    </row>
    <row r="48" spans="1:61" s="270" customFormat="1" ht="16.149999999999999" customHeight="1" x14ac:dyDescent="0.2">
      <c r="A48" s="275" t="s">
        <v>112</v>
      </c>
      <c r="B48" s="260" t="s">
        <v>191</v>
      </c>
      <c r="C48" s="261">
        <v>2714</v>
      </c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61"/>
      <c r="AA48" s="261"/>
      <c r="AB48" s="261"/>
      <c r="AC48" s="261"/>
      <c r="AD48" s="261"/>
      <c r="AE48" s="261"/>
      <c r="AF48" s="261"/>
      <c r="AG48" s="261"/>
      <c r="AH48" s="261"/>
      <c r="AI48" s="261"/>
      <c r="AJ48" s="261"/>
      <c r="AK48" s="261"/>
      <c r="AL48" s="261"/>
      <c r="AM48" s="261"/>
      <c r="AN48" s="261"/>
      <c r="AO48" s="261"/>
      <c r="AP48" s="261"/>
      <c r="AQ48" s="261"/>
      <c r="AR48" s="261"/>
      <c r="AS48" s="261"/>
      <c r="AT48" s="261">
        <v>8</v>
      </c>
      <c r="AU48" s="261">
        <v>27</v>
      </c>
      <c r="AV48" s="276">
        <f t="shared" si="5"/>
        <v>2749</v>
      </c>
      <c r="AW48" s="261"/>
      <c r="AX48" s="261"/>
      <c r="AY48" s="261"/>
      <c r="AZ48" s="261"/>
      <c r="BA48" s="261">
        <v>423</v>
      </c>
      <c r="BB48" s="261"/>
      <c r="BC48" s="261"/>
      <c r="BD48" s="261"/>
      <c r="BE48" s="261"/>
      <c r="BF48" s="261">
        <v>2</v>
      </c>
      <c r="BG48" s="261"/>
      <c r="BH48" s="261"/>
      <c r="BI48" s="261">
        <f t="shared" si="6"/>
        <v>3174</v>
      </c>
    </row>
    <row r="49" spans="1:61" s="270" customFormat="1" ht="16.149999999999999" customHeight="1" x14ac:dyDescent="0.2">
      <c r="A49" s="275" t="s">
        <v>192</v>
      </c>
      <c r="B49" s="260" t="s">
        <v>193</v>
      </c>
      <c r="C49" s="261">
        <v>4048</v>
      </c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261"/>
      <c r="AG49" s="261"/>
      <c r="AH49" s="261"/>
      <c r="AI49" s="261"/>
      <c r="AJ49" s="261"/>
      <c r="AK49" s="261"/>
      <c r="AL49" s="261"/>
      <c r="AM49" s="261"/>
      <c r="AN49" s="261"/>
      <c r="AO49" s="261"/>
      <c r="AP49" s="261"/>
      <c r="AQ49" s="261"/>
      <c r="AR49" s="261"/>
      <c r="AS49" s="261"/>
      <c r="AT49" s="261">
        <v>8</v>
      </c>
      <c r="AU49" s="261">
        <v>5</v>
      </c>
      <c r="AV49" s="276">
        <f t="shared" si="5"/>
        <v>4061</v>
      </c>
      <c r="AW49" s="261"/>
      <c r="AX49" s="261"/>
      <c r="AY49" s="261"/>
      <c r="AZ49" s="261"/>
      <c r="BA49" s="261"/>
      <c r="BB49" s="261"/>
      <c r="BC49" s="261"/>
      <c r="BD49" s="261"/>
      <c r="BE49" s="261"/>
      <c r="BF49" s="261">
        <v>9</v>
      </c>
      <c r="BG49" s="261"/>
      <c r="BH49" s="261"/>
      <c r="BI49" s="261">
        <f t="shared" si="6"/>
        <v>4070</v>
      </c>
    </row>
    <row r="50" spans="1:61" s="270" customFormat="1" ht="16.149999999999999" customHeight="1" x14ac:dyDescent="0.2">
      <c r="A50" s="275" t="s">
        <v>113</v>
      </c>
      <c r="B50" s="260" t="s">
        <v>194</v>
      </c>
      <c r="C50" s="261">
        <v>7368</v>
      </c>
      <c r="D50" s="261"/>
      <c r="E50" s="261"/>
      <c r="F50" s="261"/>
      <c r="G50" s="261">
        <v>3</v>
      </c>
      <c r="H50" s="261">
        <v>5</v>
      </c>
      <c r="I50" s="261">
        <v>5</v>
      </c>
      <c r="J50" s="261"/>
      <c r="K50" s="261"/>
      <c r="L50" s="261"/>
      <c r="M50" s="261"/>
      <c r="N50" s="261">
        <v>1</v>
      </c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>
        <v>1</v>
      </c>
      <c r="AH50" s="261"/>
      <c r="AI50" s="261"/>
      <c r="AJ50" s="261"/>
      <c r="AK50" s="261"/>
      <c r="AL50" s="261">
        <v>1</v>
      </c>
      <c r="AM50" s="261"/>
      <c r="AN50" s="261"/>
      <c r="AO50" s="261"/>
      <c r="AP50" s="261"/>
      <c r="AQ50" s="261"/>
      <c r="AR50" s="261"/>
      <c r="AS50" s="261"/>
      <c r="AT50" s="261">
        <v>24</v>
      </c>
      <c r="AU50" s="261">
        <v>20</v>
      </c>
      <c r="AV50" s="276">
        <f t="shared" si="5"/>
        <v>7428</v>
      </c>
      <c r="AW50" s="261"/>
      <c r="AX50" s="261"/>
      <c r="AY50" s="261">
        <v>19</v>
      </c>
      <c r="AZ50" s="261"/>
      <c r="BA50" s="261"/>
      <c r="BB50" s="261"/>
      <c r="BC50" s="261"/>
      <c r="BD50" s="261"/>
      <c r="BE50" s="261"/>
      <c r="BF50" s="261">
        <v>1</v>
      </c>
      <c r="BG50" s="261">
        <v>5</v>
      </c>
      <c r="BH50" s="261"/>
      <c r="BI50" s="261">
        <f t="shared" si="6"/>
        <v>7453</v>
      </c>
    </row>
    <row r="51" spans="1:61" s="270" customFormat="1" ht="16.149999999999999" customHeight="1" x14ac:dyDescent="0.2">
      <c r="A51" s="277" t="s">
        <v>114</v>
      </c>
      <c r="B51" s="262" t="s">
        <v>195</v>
      </c>
      <c r="C51" s="263">
        <v>9318</v>
      </c>
      <c r="D51" s="263"/>
      <c r="E51" s="263"/>
      <c r="F51" s="263"/>
      <c r="G51" s="263"/>
      <c r="H51" s="263">
        <v>3</v>
      </c>
      <c r="I51" s="263">
        <v>4</v>
      </c>
      <c r="J51" s="263"/>
      <c r="K51" s="263"/>
      <c r="L51" s="263"/>
      <c r="M51" s="263"/>
      <c r="N51" s="263">
        <v>1</v>
      </c>
      <c r="O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>
        <v>18</v>
      </c>
      <c r="AU51" s="263">
        <v>17</v>
      </c>
      <c r="AV51" s="278">
        <f t="shared" si="5"/>
        <v>9361</v>
      </c>
      <c r="AW51" s="263"/>
      <c r="AX51" s="263"/>
      <c r="AY51" s="263">
        <v>6</v>
      </c>
      <c r="AZ51" s="263"/>
      <c r="BA51" s="263"/>
      <c r="BB51" s="263">
        <v>2</v>
      </c>
      <c r="BC51" s="263">
        <v>2</v>
      </c>
      <c r="BD51" s="263"/>
      <c r="BE51" s="263"/>
      <c r="BF51" s="263">
        <v>3</v>
      </c>
      <c r="BG51" s="263">
        <v>7</v>
      </c>
      <c r="BH51" s="613"/>
      <c r="BI51" s="263">
        <f t="shared" si="6"/>
        <v>9381</v>
      </c>
    </row>
    <row r="52" spans="1:61" s="270" customFormat="1" ht="16.149999999999999" customHeight="1" x14ac:dyDescent="0.2">
      <c r="A52" s="273" t="s">
        <v>115</v>
      </c>
      <c r="B52" s="264" t="s">
        <v>196</v>
      </c>
      <c r="C52" s="265">
        <v>1164</v>
      </c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65">
        <v>10</v>
      </c>
      <c r="AU52" s="265">
        <v>21</v>
      </c>
      <c r="AV52" s="274">
        <f t="shared" si="5"/>
        <v>1195</v>
      </c>
      <c r="AW52" s="265"/>
      <c r="AX52" s="265"/>
      <c r="AY52" s="265"/>
      <c r="AZ52" s="265"/>
      <c r="BA52" s="265"/>
      <c r="BB52" s="265"/>
      <c r="BC52" s="265"/>
      <c r="BD52" s="265"/>
      <c r="BE52" s="265"/>
      <c r="BF52" s="265"/>
      <c r="BG52" s="265"/>
      <c r="BH52" s="612"/>
      <c r="BI52" s="265">
        <f t="shared" si="6"/>
        <v>1195</v>
      </c>
    </row>
    <row r="53" spans="1:61" s="270" customFormat="1" ht="16.149999999999999" customHeight="1" x14ac:dyDescent="0.2">
      <c r="A53" s="275" t="s">
        <v>116</v>
      </c>
      <c r="B53" s="260" t="s">
        <v>197</v>
      </c>
      <c r="C53" s="261">
        <v>3491</v>
      </c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>
        <v>60</v>
      </c>
      <c r="AG53" s="261"/>
      <c r="AH53" s="261"/>
      <c r="AI53" s="261"/>
      <c r="AJ53" s="261"/>
      <c r="AK53" s="261"/>
      <c r="AL53" s="261"/>
      <c r="AM53" s="261"/>
      <c r="AN53" s="261"/>
      <c r="AO53" s="261"/>
      <c r="AP53" s="261"/>
      <c r="AQ53" s="261"/>
      <c r="AR53" s="261"/>
      <c r="AS53" s="261"/>
      <c r="AT53" s="261">
        <v>2</v>
      </c>
      <c r="AU53" s="261">
        <v>6</v>
      </c>
      <c r="AV53" s="276">
        <f t="shared" si="5"/>
        <v>3559</v>
      </c>
      <c r="AW53" s="261"/>
      <c r="AX53" s="261"/>
      <c r="AY53" s="261">
        <v>1</v>
      </c>
      <c r="AZ53" s="261"/>
      <c r="BA53" s="261"/>
      <c r="BB53" s="261"/>
      <c r="BC53" s="261">
        <v>2</v>
      </c>
      <c r="BD53" s="261"/>
      <c r="BE53" s="261"/>
      <c r="BF53" s="261"/>
      <c r="BG53" s="261">
        <v>2</v>
      </c>
      <c r="BH53" s="261"/>
      <c r="BI53" s="261">
        <f t="shared" si="6"/>
        <v>3564</v>
      </c>
    </row>
    <row r="54" spans="1:61" s="270" customFormat="1" ht="16.149999999999999" customHeight="1" x14ac:dyDescent="0.2">
      <c r="A54" s="275" t="s">
        <v>117</v>
      </c>
      <c r="B54" s="260" t="s">
        <v>198</v>
      </c>
      <c r="C54" s="261">
        <v>5754</v>
      </c>
      <c r="D54" s="261"/>
      <c r="E54" s="261"/>
      <c r="F54" s="261"/>
      <c r="G54" s="261"/>
      <c r="H54" s="261"/>
      <c r="I54" s="261">
        <v>2</v>
      </c>
      <c r="J54" s="261"/>
      <c r="K54" s="261"/>
      <c r="L54" s="261"/>
      <c r="M54" s="261"/>
      <c r="N54" s="261">
        <v>2</v>
      </c>
      <c r="O54" s="261"/>
      <c r="P54" s="261"/>
      <c r="Q54" s="261"/>
      <c r="R54" s="261"/>
      <c r="S54" s="261">
        <v>6</v>
      </c>
      <c r="T54" s="261"/>
      <c r="U54" s="261"/>
      <c r="V54" s="261"/>
      <c r="W54" s="261"/>
      <c r="X54" s="261"/>
      <c r="Y54" s="261"/>
      <c r="Z54" s="261"/>
      <c r="AA54" s="261"/>
      <c r="AB54" s="261"/>
      <c r="AC54" s="261"/>
      <c r="AD54" s="261"/>
      <c r="AE54" s="261"/>
      <c r="AF54" s="261">
        <v>14</v>
      </c>
      <c r="AG54" s="261"/>
      <c r="AH54" s="261"/>
      <c r="AI54" s="261"/>
      <c r="AJ54" s="261"/>
      <c r="AK54" s="261"/>
      <c r="AL54" s="261"/>
      <c r="AM54" s="261"/>
      <c r="AN54" s="261"/>
      <c r="AO54" s="261"/>
      <c r="AP54" s="261"/>
      <c r="AQ54" s="261"/>
      <c r="AR54" s="261"/>
      <c r="AS54" s="261"/>
      <c r="AT54" s="261">
        <v>18</v>
      </c>
      <c r="AU54" s="261">
        <v>39</v>
      </c>
      <c r="AV54" s="276">
        <f t="shared" si="5"/>
        <v>5835</v>
      </c>
      <c r="AW54" s="261"/>
      <c r="AX54" s="261"/>
      <c r="AY54" s="261">
        <v>6</v>
      </c>
      <c r="AZ54" s="261"/>
      <c r="BA54" s="261"/>
      <c r="BB54" s="261"/>
      <c r="BC54" s="261">
        <v>4</v>
      </c>
      <c r="BD54" s="261"/>
      <c r="BE54" s="261"/>
      <c r="BF54" s="261">
        <v>1</v>
      </c>
      <c r="BG54" s="261">
        <v>2</v>
      </c>
      <c r="BH54" s="261">
        <v>2</v>
      </c>
      <c r="BI54" s="261">
        <f t="shared" si="6"/>
        <v>5850</v>
      </c>
    </row>
    <row r="55" spans="1:61" s="270" customFormat="1" ht="16.149999999999999" customHeight="1" x14ac:dyDescent="0.2">
      <c r="A55" s="275" t="s">
        <v>118</v>
      </c>
      <c r="B55" s="260" t="s">
        <v>199</v>
      </c>
      <c r="C55" s="261">
        <v>12852</v>
      </c>
      <c r="D55" s="261"/>
      <c r="E55" s="261"/>
      <c r="F55" s="261"/>
      <c r="G55" s="261"/>
      <c r="H55" s="261"/>
      <c r="I55" s="261"/>
      <c r="J55" s="261"/>
      <c r="K55" s="261">
        <v>221</v>
      </c>
      <c r="L55" s="261"/>
      <c r="M55" s="261">
        <v>1</v>
      </c>
      <c r="N55" s="261"/>
      <c r="O55" s="261"/>
      <c r="P55" s="261"/>
      <c r="Q55" s="261"/>
      <c r="R55" s="261"/>
      <c r="S55" s="261"/>
      <c r="T55" s="261"/>
      <c r="U55" s="261"/>
      <c r="V55" s="261"/>
      <c r="W55" s="261">
        <v>1</v>
      </c>
      <c r="X55" s="261">
        <v>92</v>
      </c>
      <c r="Y55" s="261">
        <v>27</v>
      </c>
      <c r="Z55" s="261"/>
      <c r="AA55" s="261"/>
      <c r="AB55" s="261"/>
      <c r="AC55" s="261"/>
      <c r="AD55" s="261"/>
      <c r="AE55" s="261"/>
      <c r="AF55" s="261"/>
      <c r="AG55" s="261"/>
      <c r="AH55" s="261">
        <v>2</v>
      </c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>
        <v>61</v>
      </c>
      <c r="AU55" s="261">
        <v>57</v>
      </c>
      <c r="AV55" s="276">
        <f t="shared" si="5"/>
        <v>13314</v>
      </c>
      <c r="AW55" s="261"/>
      <c r="AX55" s="261"/>
      <c r="AY55" s="261"/>
      <c r="AZ55" s="261">
        <v>4</v>
      </c>
      <c r="BA55" s="261"/>
      <c r="BB55" s="261"/>
      <c r="BC55" s="261"/>
      <c r="BD55" s="261"/>
      <c r="BE55" s="261"/>
      <c r="BF55" s="261">
        <v>6</v>
      </c>
      <c r="BG55" s="261"/>
      <c r="BH55" s="261"/>
      <c r="BI55" s="261">
        <f t="shared" si="6"/>
        <v>13324</v>
      </c>
    </row>
    <row r="56" spans="1:61" s="270" customFormat="1" ht="16.149999999999999" customHeight="1" x14ac:dyDescent="0.2">
      <c r="A56" s="277" t="s">
        <v>119</v>
      </c>
      <c r="B56" s="262" t="s">
        <v>200</v>
      </c>
      <c r="C56" s="263">
        <v>7387</v>
      </c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3">
        <v>43</v>
      </c>
      <c r="X56" s="263">
        <v>44</v>
      </c>
      <c r="Y56" s="263">
        <v>32</v>
      </c>
      <c r="Z56" s="263"/>
      <c r="AA56" s="263"/>
      <c r="AB56" s="263"/>
      <c r="AC56" s="263"/>
      <c r="AD56" s="263"/>
      <c r="AE56" s="263"/>
      <c r="AF56" s="263"/>
      <c r="AG56" s="263"/>
      <c r="AH56" s="263">
        <v>1</v>
      </c>
      <c r="AI56" s="263"/>
      <c r="AJ56" s="263"/>
      <c r="AK56" s="263"/>
      <c r="AL56" s="263"/>
      <c r="AM56" s="263"/>
      <c r="AN56" s="263"/>
      <c r="AO56" s="263"/>
      <c r="AP56" s="263"/>
      <c r="AQ56" s="263"/>
      <c r="AR56" s="263"/>
      <c r="AS56" s="263"/>
      <c r="AT56" s="263">
        <v>32</v>
      </c>
      <c r="AU56" s="263">
        <v>18</v>
      </c>
      <c r="AV56" s="278">
        <f t="shared" si="5"/>
        <v>7557</v>
      </c>
      <c r="AW56" s="263"/>
      <c r="AX56" s="263"/>
      <c r="AY56" s="263"/>
      <c r="AZ56" s="263"/>
      <c r="BA56" s="263"/>
      <c r="BB56" s="263"/>
      <c r="BC56" s="263"/>
      <c r="BD56" s="263"/>
      <c r="BE56" s="263"/>
      <c r="BF56" s="263">
        <v>5</v>
      </c>
      <c r="BG56" s="263"/>
      <c r="BH56" s="613">
        <v>1</v>
      </c>
      <c r="BI56" s="263">
        <f t="shared" si="6"/>
        <v>7563</v>
      </c>
    </row>
    <row r="57" spans="1:61" s="270" customFormat="1" ht="16.149999999999999" customHeight="1" x14ac:dyDescent="0.2">
      <c r="A57" s="273" t="s">
        <v>120</v>
      </c>
      <c r="B57" s="264" t="s">
        <v>201</v>
      </c>
      <c r="C57" s="265">
        <v>8235</v>
      </c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94"/>
      <c r="AC57" s="294"/>
      <c r="AD57" s="294"/>
      <c r="AE57" s="294"/>
      <c r="AF57" s="294"/>
      <c r="AG57" s="294"/>
      <c r="AH57" s="294">
        <v>1</v>
      </c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65">
        <v>14</v>
      </c>
      <c r="AU57" s="265">
        <v>18</v>
      </c>
      <c r="AV57" s="274">
        <f t="shared" si="5"/>
        <v>8268</v>
      </c>
      <c r="AW57" s="265"/>
      <c r="AX57" s="265">
        <v>242</v>
      </c>
      <c r="AY57" s="265"/>
      <c r="AZ57" s="265"/>
      <c r="BA57" s="265"/>
      <c r="BB57" s="265"/>
      <c r="BC57" s="265">
        <v>2</v>
      </c>
      <c r="BD57" s="265"/>
      <c r="BE57" s="265"/>
      <c r="BF57" s="265">
        <v>2</v>
      </c>
      <c r="BG57" s="265"/>
      <c r="BH57" s="612"/>
      <c r="BI57" s="265">
        <f t="shared" si="6"/>
        <v>8514</v>
      </c>
    </row>
    <row r="58" spans="1:61" s="270" customFormat="1" ht="16.149999999999999" customHeight="1" x14ac:dyDescent="0.2">
      <c r="A58" s="275" t="s">
        <v>121</v>
      </c>
      <c r="B58" s="260" t="s">
        <v>202</v>
      </c>
      <c r="C58" s="261">
        <v>37355</v>
      </c>
      <c r="D58" s="261"/>
      <c r="E58" s="261"/>
      <c r="F58" s="261"/>
      <c r="G58" s="261">
        <v>3</v>
      </c>
      <c r="H58" s="261">
        <v>2</v>
      </c>
      <c r="I58" s="261">
        <v>7</v>
      </c>
      <c r="J58" s="261"/>
      <c r="K58" s="261"/>
      <c r="L58" s="261"/>
      <c r="M58" s="261">
        <v>1</v>
      </c>
      <c r="N58" s="261">
        <v>2</v>
      </c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>
        <v>102</v>
      </c>
      <c r="AU58" s="261">
        <v>246</v>
      </c>
      <c r="AV58" s="276">
        <f t="shared" si="5"/>
        <v>37718</v>
      </c>
      <c r="AW58" s="261"/>
      <c r="AX58" s="261"/>
      <c r="AY58" s="261">
        <v>6</v>
      </c>
      <c r="AZ58" s="261"/>
      <c r="BA58" s="261"/>
      <c r="BB58" s="261">
        <v>3</v>
      </c>
      <c r="BC58" s="261"/>
      <c r="BD58" s="261"/>
      <c r="BE58" s="261"/>
      <c r="BF58" s="261">
        <v>33</v>
      </c>
      <c r="BG58" s="261">
        <v>44</v>
      </c>
      <c r="BH58" s="261">
        <v>1</v>
      </c>
      <c r="BI58" s="261">
        <f t="shared" si="6"/>
        <v>37805</v>
      </c>
    </row>
    <row r="59" spans="1:61" s="270" customFormat="1" ht="16.149999999999999" customHeight="1" x14ac:dyDescent="0.2">
      <c r="A59" s="275" t="s">
        <v>122</v>
      </c>
      <c r="B59" s="260" t="s">
        <v>203</v>
      </c>
      <c r="C59" s="261">
        <v>19230</v>
      </c>
      <c r="D59" s="261"/>
      <c r="E59" s="261">
        <v>1</v>
      </c>
      <c r="F59" s="261"/>
      <c r="G59" s="261"/>
      <c r="H59" s="261"/>
      <c r="I59" s="261"/>
      <c r="J59" s="261"/>
      <c r="K59" s="261"/>
      <c r="L59" s="261"/>
      <c r="M59" s="261">
        <v>1</v>
      </c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>
        <v>75</v>
      </c>
      <c r="AU59" s="261">
        <v>172</v>
      </c>
      <c r="AV59" s="276">
        <f t="shared" si="5"/>
        <v>19479</v>
      </c>
      <c r="AW59" s="261"/>
      <c r="AX59" s="261"/>
      <c r="AY59" s="261"/>
      <c r="AZ59" s="261"/>
      <c r="BA59" s="261"/>
      <c r="BB59" s="261">
        <v>3</v>
      </c>
      <c r="BC59" s="261"/>
      <c r="BD59" s="261"/>
      <c r="BE59" s="261"/>
      <c r="BF59" s="261">
        <v>11</v>
      </c>
      <c r="BG59" s="261">
        <v>8</v>
      </c>
      <c r="BH59" s="261"/>
      <c r="BI59" s="261">
        <f t="shared" si="6"/>
        <v>19501</v>
      </c>
    </row>
    <row r="60" spans="1:61" s="270" customFormat="1" ht="16.149999999999999" customHeight="1" x14ac:dyDescent="0.2">
      <c r="A60" s="275" t="s">
        <v>204</v>
      </c>
      <c r="B60" s="260" t="s">
        <v>205</v>
      </c>
      <c r="C60" s="261">
        <v>434</v>
      </c>
      <c r="D60" s="261"/>
      <c r="E60" s="261"/>
      <c r="F60" s="261"/>
      <c r="G60" s="261"/>
      <c r="H60" s="261"/>
      <c r="I60" s="261"/>
      <c r="J60" s="261"/>
      <c r="K60" s="261"/>
      <c r="L60" s="261"/>
      <c r="M60" s="261"/>
      <c r="N60" s="261"/>
      <c r="O60" s="261"/>
      <c r="P60" s="261">
        <v>43</v>
      </c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  <c r="AH60" s="261"/>
      <c r="AI60" s="261"/>
      <c r="AJ60" s="261"/>
      <c r="AK60" s="261"/>
      <c r="AL60" s="261"/>
      <c r="AM60" s="261"/>
      <c r="AN60" s="261"/>
      <c r="AO60" s="261"/>
      <c r="AP60" s="261"/>
      <c r="AQ60" s="261"/>
      <c r="AR60" s="261"/>
      <c r="AS60" s="261"/>
      <c r="AT60" s="261">
        <v>3</v>
      </c>
      <c r="AU60" s="261">
        <v>6</v>
      </c>
      <c r="AV60" s="276">
        <f t="shared" si="5"/>
        <v>486</v>
      </c>
      <c r="AW60" s="261"/>
      <c r="AX60" s="261"/>
      <c r="AY60" s="261"/>
      <c r="AZ60" s="261"/>
      <c r="BA60" s="261">
        <v>11</v>
      </c>
      <c r="BB60" s="261"/>
      <c r="BC60" s="261"/>
      <c r="BD60" s="261"/>
      <c r="BE60" s="261"/>
      <c r="BF60" s="261"/>
      <c r="BG60" s="261"/>
      <c r="BH60" s="261"/>
      <c r="BI60" s="261">
        <f t="shared" si="6"/>
        <v>497</v>
      </c>
    </row>
    <row r="61" spans="1:61" s="270" customFormat="1" ht="16.149999999999999" customHeight="1" x14ac:dyDescent="0.2">
      <c r="A61" s="277" t="s">
        <v>123</v>
      </c>
      <c r="B61" s="262" t="s">
        <v>206</v>
      </c>
      <c r="C61" s="263">
        <v>16556</v>
      </c>
      <c r="D61" s="263"/>
      <c r="E61" s="263"/>
      <c r="F61" s="263"/>
      <c r="G61" s="263"/>
      <c r="H61" s="263"/>
      <c r="I61" s="263"/>
      <c r="J61" s="263"/>
      <c r="K61" s="263"/>
      <c r="L61" s="263"/>
      <c r="M61" s="263"/>
      <c r="N61" s="263"/>
      <c r="O61" s="263"/>
      <c r="P61" s="263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263"/>
      <c r="AG61" s="263"/>
      <c r="AH61" s="263"/>
      <c r="AI61" s="263"/>
      <c r="AJ61" s="263"/>
      <c r="AK61" s="263"/>
      <c r="AL61" s="263"/>
      <c r="AM61" s="263"/>
      <c r="AN61" s="263"/>
      <c r="AO61" s="263"/>
      <c r="AP61" s="263"/>
      <c r="AQ61" s="263"/>
      <c r="AR61" s="263"/>
      <c r="AS61" s="263"/>
      <c r="AT61" s="263">
        <v>64</v>
      </c>
      <c r="AU61" s="263">
        <v>135</v>
      </c>
      <c r="AV61" s="278">
        <f t="shared" si="5"/>
        <v>16755</v>
      </c>
      <c r="AW61" s="263"/>
      <c r="AX61" s="263"/>
      <c r="AY61" s="263"/>
      <c r="AZ61" s="263"/>
      <c r="BA61" s="263"/>
      <c r="BB61" s="263"/>
      <c r="BC61" s="263">
        <v>44</v>
      </c>
      <c r="BD61" s="263"/>
      <c r="BE61" s="263"/>
      <c r="BF61" s="263">
        <v>8</v>
      </c>
      <c r="BG61" s="263"/>
      <c r="BH61" s="613"/>
      <c r="BI61" s="263">
        <f t="shared" si="6"/>
        <v>16807</v>
      </c>
    </row>
    <row r="62" spans="1:61" s="270" customFormat="1" ht="16.149999999999999" customHeight="1" x14ac:dyDescent="0.2">
      <c r="A62" s="273" t="s">
        <v>124</v>
      </c>
      <c r="B62" s="264" t="s">
        <v>207</v>
      </c>
      <c r="C62" s="265">
        <v>1909</v>
      </c>
      <c r="D62" s="265"/>
      <c r="E62" s="265"/>
      <c r="F62" s="265">
        <v>879</v>
      </c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>
        <v>132</v>
      </c>
      <c r="W62" s="265"/>
      <c r="X62" s="265"/>
      <c r="Y62" s="265"/>
      <c r="Z62" s="265"/>
      <c r="AA62" s="265"/>
      <c r="AB62" s="294">
        <v>36</v>
      </c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65">
        <v>15</v>
      </c>
      <c r="AU62" s="265">
        <v>9</v>
      </c>
      <c r="AV62" s="274">
        <f t="shared" si="5"/>
        <v>2980</v>
      </c>
      <c r="AW62" s="265">
        <v>1</v>
      </c>
      <c r="AX62" s="265"/>
      <c r="AY62" s="265"/>
      <c r="AZ62" s="265"/>
      <c r="BA62" s="265"/>
      <c r="BB62" s="265"/>
      <c r="BC62" s="265"/>
      <c r="BD62" s="265"/>
      <c r="BE62" s="265"/>
      <c r="BF62" s="265"/>
      <c r="BG62" s="265"/>
      <c r="BH62" s="612"/>
      <c r="BI62" s="265">
        <f t="shared" si="6"/>
        <v>2981</v>
      </c>
    </row>
    <row r="63" spans="1:61" s="270" customFormat="1" ht="16.149999999999999" customHeight="1" x14ac:dyDescent="0.2">
      <c r="A63" s="275" t="s">
        <v>125</v>
      </c>
      <c r="B63" s="260" t="s">
        <v>208</v>
      </c>
      <c r="C63" s="261">
        <v>9186</v>
      </c>
      <c r="D63" s="261"/>
      <c r="E63" s="261"/>
      <c r="F63" s="261"/>
      <c r="G63" s="261"/>
      <c r="H63" s="261"/>
      <c r="I63" s="261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>
        <v>25</v>
      </c>
      <c r="X63" s="261">
        <v>6</v>
      </c>
      <c r="Y63" s="261"/>
      <c r="Z63" s="261"/>
      <c r="AA63" s="261"/>
      <c r="AB63" s="261"/>
      <c r="AC63" s="261"/>
      <c r="AD63" s="261"/>
      <c r="AE63" s="261"/>
      <c r="AF63" s="261"/>
      <c r="AG63" s="261"/>
      <c r="AH63" s="261">
        <v>4</v>
      </c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>
        <v>27</v>
      </c>
      <c r="AU63" s="261">
        <v>16</v>
      </c>
      <c r="AV63" s="276">
        <f t="shared" si="5"/>
        <v>9264</v>
      </c>
      <c r="AW63" s="261"/>
      <c r="AX63" s="261"/>
      <c r="AY63" s="261"/>
      <c r="AZ63" s="261"/>
      <c r="BA63" s="261"/>
      <c r="BB63" s="261"/>
      <c r="BC63" s="261"/>
      <c r="BD63" s="261"/>
      <c r="BE63" s="261"/>
      <c r="BF63" s="261">
        <v>3</v>
      </c>
      <c r="BG63" s="261"/>
      <c r="BH63" s="261"/>
      <c r="BI63" s="261">
        <f t="shared" si="6"/>
        <v>9267</v>
      </c>
    </row>
    <row r="64" spans="1:61" s="270" customFormat="1" ht="16.149999999999999" customHeight="1" x14ac:dyDescent="0.2">
      <c r="A64" s="275" t="s">
        <v>209</v>
      </c>
      <c r="B64" s="260" t="s">
        <v>210</v>
      </c>
      <c r="C64" s="261">
        <v>8029</v>
      </c>
      <c r="D64" s="261"/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>
        <v>33</v>
      </c>
      <c r="AU64" s="261">
        <v>17</v>
      </c>
      <c r="AV64" s="276">
        <f t="shared" si="5"/>
        <v>8079</v>
      </c>
      <c r="AW64" s="261"/>
      <c r="AX64" s="261"/>
      <c r="AY64" s="261"/>
      <c r="AZ64" s="261"/>
      <c r="BA64" s="261"/>
      <c r="BB64" s="261"/>
      <c r="BC64" s="261"/>
      <c r="BD64" s="261"/>
      <c r="BE64" s="261"/>
      <c r="BF64" s="261">
        <v>11</v>
      </c>
      <c r="BG64" s="261"/>
      <c r="BH64" s="261"/>
      <c r="BI64" s="261">
        <f t="shared" si="6"/>
        <v>8090</v>
      </c>
    </row>
    <row r="65" spans="1:61" s="270" customFormat="1" ht="16.149999999999999" customHeight="1" x14ac:dyDescent="0.2">
      <c r="A65" s="275" t="s">
        <v>126</v>
      </c>
      <c r="B65" s="260" t="s">
        <v>211</v>
      </c>
      <c r="C65" s="261">
        <v>4995</v>
      </c>
      <c r="D65" s="261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>
        <v>11</v>
      </c>
      <c r="AU65" s="261">
        <v>27</v>
      </c>
      <c r="AV65" s="276">
        <f t="shared" si="5"/>
        <v>5033</v>
      </c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>
        <f t="shared" si="6"/>
        <v>5033</v>
      </c>
    </row>
    <row r="66" spans="1:61" s="270" customFormat="1" ht="16.149999999999999" customHeight="1" x14ac:dyDescent="0.2">
      <c r="A66" s="277" t="s">
        <v>212</v>
      </c>
      <c r="B66" s="262" t="s">
        <v>213</v>
      </c>
      <c r="C66" s="263">
        <v>5927</v>
      </c>
      <c r="D66" s="263"/>
      <c r="E66" s="263"/>
      <c r="F66" s="263"/>
      <c r="G66" s="263"/>
      <c r="H66" s="263"/>
      <c r="I66" s="263"/>
      <c r="J66" s="263"/>
      <c r="K66" s="263"/>
      <c r="L66" s="263"/>
      <c r="M66" s="263"/>
      <c r="N66" s="263"/>
      <c r="O66" s="263"/>
      <c r="P66" s="263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>
        <v>6</v>
      </c>
      <c r="AC66" s="263"/>
      <c r="AD66" s="263"/>
      <c r="AE66" s="263"/>
      <c r="AF66" s="263"/>
      <c r="AG66" s="263"/>
      <c r="AH66" s="263"/>
      <c r="AI66" s="263"/>
      <c r="AJ66" s="263"/>
      <c r="AK66" s="263"/>
      <c r="AL66" s="263"/>
      <c r="AM66" s="263"/>
      <c r="AN66" s="263"/>
      <c r="AO66" s="263"/>
      <c r="AP66" s="263"/>
      <c r="AQ66" s="263"/>
      <c r="AR66" s="263"/>
      <c r="AS66" s="263"/>
      <c r="AT66" s="263">
        <v>12</v>
      </c>
      <c r="AU66" s="263">
        <v>27</v>
      </c>
      <c r="AV66" s="278">
        <f t="shared" si="5"/>
        <v>5972</v>
      </c>
      <c r="AW66" s="263"/>
      <c r="AX66" s="263"/>
      <c r="AY66" s="263"/>
      <c r="AZ66" s="263"/>
      <c r="BA66" s="263"/>
      <c r="BB66" s="263"/>
      <c r="BC66" s="263"/>
      <c r="BD66" s="263"/>
      <c r="BE66" s="263"/>
      <c r="BF66" s="263">
        <v>2</v>
      </c>
      <c r="BG66" s="263"/>
      <c r="BH66" s="613"/>
      <c r="BI66" s="263">
        <f t="shared" si="6"/>
        <v>5974</v>
      </c>
    </row>
    <row r="67" spans="1:61" s="270" customFormat="1" ht="16.149999999999999" customHeight="1" x14ac:dyDescent="0.2">
      <c r="A67" s="273" t="s">
        <v>127</v>
      </c>
      <c r="B67" s="264" t="s">
        <v>214</v>
      </c>
      <c r="C67" s="265">
        <v>3531</v>
      </c>
      <c r="D67" s="265"/>
      <c r="E67" s="265">
        <v>6</v>
      </c>
      <c r="F67" s="265"/>
      <c r="G67" s="265"/>
      <c r="H67" s="265"/>
      <c r="I67" s="265"/>
      <c r="J67" s="265"/>
      <c r="K67" s="265"/>
      <c r="L67" s="265"/>
      <c r="M67" s="265">
        <v>15</v>
      </c>
      <c r="N67" s="265"/>
      <c r="O67" s="265">
        <v>1</v>
      </c>
      <c r="P67" s="265"/>
      <c r="Q67" s="265"/>
      <c r="R67" s="265"/>
      <c r="S67" s="265">
        <v>5</v>
      </c>
      <c r="T67" s="265">
        <v>52</v>
      </c>
      <c r="U67" s="265"/>
      <c r="V67" s="265"/>
      <c r="W67" s="265"/>
      <c r="X67" s="265"/>
      <c r="Y67" s="265"/>
      <c r="Z67" s="265"/>
      <c r="AA67" s="265">
        <v>2</v>
      </c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65">
        <v>10</v>
      </c>
      <c r="AU67" s="265">
        <v>14</v>
      </c>
      <c r="AV67" s="274">
        <f t="shared" si="5"/>
        <v>3636</v>
      </c>
      <c r="AW67" s="265"/>
      <c r="AX67" s="265"/>
      <c r="AY67" s="265"/>
      <c r="AZ67" s="265"/>
      <c r="BA67" s="265"/>
      <c r="BB67" s="265"/>
      <c r="BC67" s="265"/>
      <c r="BD67" s="265"/>
      <c r="BE67" s="265"/>
      <c r="BF67" s="265">
        <v>2</v>
      </c>
      <c r="BG67" s="265"/>
      <c r="BH67" s="612">
        <v>3</v>
      </c>
      <c r="BI67" s="265">
        <f t="shared" si="6"/>
        <v>3641</v>
      </c>
    </row>
    <row r="68" spans="1:61" s="270" customFormat="1" ht="16.149999999999999" customHeight="1" x14ac:dyDescent="0.2">
      <c r="A68" s="275" t="s">
        <v>215</v>
      </c>
      <c r="B68" s="260" t="s">
        <v>216</v>
      </c>
      <c r="C68" s="261">
        <v>1959</v>
      </c>
      <c r="D68" s="261"/>
      <c r="E68" s="261"/>
      <c r="F68" s="261"/>
      <c r="G68" s="261"/>
      <c r="H68" s="261"/>
      <c r="I68" s="261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>
        <v>1</v>
      </c>
      <c r="AU68" s="261">
        <v>11</v>
      </c>
      <c r="AV68" s="276">
        <f t="shared" si="5"/>
        <v>1971</v>
      </c>
      <c r="AW68" s="261"/>
      <c r="AX68" s="261"/>
      <c r="AY68" s="261"/>
      <c r="AZ68" s="261"/>
      <c r="BA68" s="261">
        <v>42</v>
      </c>
      <c r="BB68" s="261"/>
      <c r="BC68" s="261"/>
      <c r="BD68" s="261"/>
      <c r="BE68" s="261"/>
      <c r="BF68" s="261"/>
      <c r="BG68" s="261"/>
      <c r="BH68" s="261"/>
      <c r="BI68" s="261">
        <f t="shared" si="6"/>
        <v>2013</v>
      </c>
    </row>
    <row r="69" spans="1:61" s="270" customFormat="1" ht="16.149999999999999" customHeight="1" x14ac:dyDescent="0.2">
      <c r="A69" s="275" t="s">
        <v>217</v>
      </c>
      <c r="B69" s="260" t="s">
        <v>218</v>
      </c>
      <c r="C69" s="261">
        <v>2103</v>
      </c>
      <c r="D69" s="261"/>
      <c r="E69" s="261"/>
      <c r="F69" s="261"/>
      <c r="G69" s="261"/>
      <c r="H69" s="261"/>
      <c r="I69" s="261"/>
      <c r="J69" s="261"/>
      <c r="K69" s="261"/>
      <c r="L69" s="261"/>
      <c r="M69" s="261"/>
      <c r="N69" s="261"/>
      <c r="O69" s="261"/>
      <c r="P69" s="261"/>
      <c r="Q69" s="261"/>
      <c r="R69" s="261"/>
      <c r="S69" s="261">
        <v>1</v>
      </c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>
        <v>4</v>
      </c>
      <c r="AU69" s="261">
        <v>8</v>
      </c>
      <c r="AV69" s="276">
        <f t="shared" si="5"/>
        <v>2116</v>
      </c>
      <c r="AW69" s="261"/>
      <c r="AX69" s="261"/>
      <c r="AY69" s="261"/>
      <c r="AZ69" s="261"/>
      <c r="BA69" s="261"/>
      <c r="BB69" s="261"/>
      <c r="BC69" s="261"/>
      <c r="BD69" s="261"/>
      <c r="BE69" s="261"/>
      <c r="BF69" s="261">
        <v>2</v>
      </c>
      <c r="BG69" s="261"/>
      <c r="BH69" s="261">
        <v>4</v>
      </c>
      <c r="BI69" s="261">
        <f t="shared" si="6"/>
        <v>2122</v>
      </c>
    </row>
    <row r="70" spans="1:61" s="270" customFormat="1" ht="16.149999999999999" customHeight="1" x14ac:dyDescent="0.2">
      <c r="A70" s="275" t="s">
        <v>219</v>
      </c>
      <c r="B70" s="260" t="s">
        <v>220</v>
      </c>
      <c r="C70" s="261">
        <v>2089</v>
      </c>
      <c r="D70" s="261"/>
      <c r="E70" s="261"/>
      <c r="F70" s="261"/>
      <c r="G70" s="261"/>
      <c r="H70" s="261"/>
      <c r="I70" s="261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61"/>
      <c r="AL70" s="261"/>
      <c r="AM70" s="261"/>
      <c r="AN70" s="261"/>
      <c r="AO70" s="261"/>
      <c r="AP70" s="261"/>
      <c r="AQ70" s="261"/>
      <c r="AR70" s="261"/>
      <c r="AS70" s="261"/>
      <c r="AT70" s="261">
        <v>4</v>
      </c>
      <c r="AU70" s="261"/>
      <c r="AV70" s="276">
        <f t="shared" si="5"/>
        <v>2093</v>
      </c>
      <c r="AW70" s="261"/>
      <c r="AX70" s="261"/>
      <c r="AY70" s="261"/>
      <c r="AZ70" s="261"/>
      <c r="BA70" s="261"/>
      <c r="BB70" s="261"/>
      <c r="BC70" s="261"/>
      <c r="BD70" s="261"/>
      <c r="BE70" s="261"/>
      <c r="BF70" s="261"/>
      <c r="BG70" s="261"/>
      <c r="BH70" s="261"/>
      <c r="BI70" s="261">
        <f t="shared" si="6"/>
        <v>2093</v>
      </c>
    </row>
    <row r="71" spans="1:61" s="270" customFormat="1" ht="16.149999999999999" customHeight="1" x14ac:dyDescent="0.2">
      <c r="A71" s="277" t="s">
        <v>128</v>
      </c>
      <c r="B71" s="262" t="s">
        <v>221</v>
      </c>
      <c r="C71" s="263">
        <v>7932</v>
      </c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263"/>
      <c r="AG71" s="263"/>
      <c r="AH71" s="263"/>
      <c r="AI71" s="263"/>
      <c r="AJ71" s="263"/>
      <c r="AK71" s="263"/>
      <c r="AL71" s="263"/>
      <c r="AM71" s="263"/>
      <c r="AN71" s="263"/>
      <c r="AO71" s="263"/>
      <c r="AP71" s="263"/>
      <c r="AQ71" s="263"/>
      <c r="AR71" s="263"/>
      <c r="AS71" s="263"/>
      <c r="AT71" s="263">
        <v>6</v>
      </c>
      <c r="AU71" s="263">
        <v>7</v>
      </c>
      <c r="AV71" s="278">
        <f>SUM(C71:AU71)</f>
        <v>7945</v>
      </c>
      <c r="AW71" s="263">
        <v>172</v>
      </c>
      <c r="AX71" s="263"/>
      <c r="AY71" s="263"/>
      <c r="AZ71" s="263"/>
      <c r="BA71" s="263"/>
      <c r="BB71" s="263"/>
      <c r="BC71" s="263"/>
      <c r="BD71" s="263"/>
      <c r="BE71" s="263"/>
      <c r="BF71" s="263">
        <v>4</v>
      </c>
      <c r="BG71" s="263"/>
      <c r="BH71" s="613"/>
      <c r="BI71" s="263">
        <f>SUM(AV71:BH71)</f>
        <v>8121</v>
      </c>
    </row>
    <row r="72" spans="1:61" s="270" customFormat="1" ht="16.149999999999999" customHeight="1" x14ac:dyDescent="0.2">
      <c r="A72" s="273" t="s">
        <v>129</v>
      </c>
      <c r="B72" s="264" t="s">
        <v>222</v>
      </c>
      <c r="C72" s="265">
        <v>1877</v>
      </c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65">
        <v>11</v>
      </c>
      <c r="AU72" s="265">
        <v>16</v>
      </c>
      <c r="AV72" s="274">
        <f>SUM(C72:AU72)</f>
        <v>1904</v>
      </c>
      <c r="AW72" s="265"/>
      <c r="AX72" s="265"/>
      <c r="AY72" s="265"/>
      <c r="AZ72" s="265"/>
      <c r="BA72" s="265"/>
      <c r="BB72" s="265"/>
      <c r="BC72" s="265"/>
      <c r="BD72" s="265"/>
      <c r="BE72" s="265"/>
      <c r="BF72" s="265"/>
      <c r="BG72" s="265"/>
      <c r="BH72" s="612"/>
      <c r="BI72" s="265">
        <f>SUM(AV72:BH72)</f>
        <v>1904</v>
      </c>
    </row>
    <row r="73" spans="1:61" s="270" customFormat="1" ht="16.149999999999999" customHeight="1" x14ac:dyDescent="0.2">
      <c r="A73" s="275" t="s">
        <v>223</v>
      </c>
      <c r="B73" s="260" t="s">
        <v>224</v>
      </c>
      <c r="C73" s="261">
        <v>5350</v>
      </c>
      <c r="D73" s="261"/>
      <c r="E73" s="261">
        <v>4</v>
      </c>
      <c r="F73" s="261"/>
      <c r="G73" s="261"/>
      <c r="H73" s="261"/>
      <c r="I73" s="261"/>
      <c r="J73" s="261"/>
      <c r="K73" s="261"/>
      <c r="L73" s="261"/>
      <c r="M73" s="261">
        <v>7</v>
      </c>
      <c r="N73" s="261"/>
      <c r="O73" s="261"/>
      <c r="P73" s="261"/>
      <c r="Q73" s="261">
        <v>12</v>
      </c>
      <c r="R73" s="261"/>
      <c r="S73" s="261">
        <v>24</v>
      </c>
      <c r="T73" s="261"/>
      <c r="U73" s="261"/>
      <c r="V73" s="261"/>
      <c r="W73" s="261"/>
      <c r="X73" s="261"/>
      <c r="Y73" s="261"/>
      <c r="Z73" s="261"/>
      <c r="AA73" s="261">
        <v>1</v>
      </c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>
        <v>11</v>
      </c>
      <c r="AU73" s="261">
        <v>23</v>
      </c>
      <c r="AV73" s="276">
        <f>SUM(C73:AU73)</f>
        <v>5432</v>
      </c>
      <c r="AW73" s="261"/>
      <c r="AX73" s="261"/>
      <c r="AY73" s="261"/>
      <c r="AZ73" s="261"/>
      <c r="BA73" s="261"/>
      <c r="BB73" s="261"/>
      <c r="BC73" s="261"/>
      <c r="BD73" s="261"/>
      <c r="BE73" s="261"/>
      <c r="BF73" s="261">
        <v>8</v>
      </c>
      <c r="BG73" s="261"/>
      <c r="BH73" s="261">
        <v>3</v>
      </c>
      <c r="BI73" s="261">
        <f>SUM(AV73:BH73)</f>
        <v>5443</v>
      </c>
    </row>
    <row r="74" spans="1:61" s="270" customFormat="1" ht="16.149999999999999" customHeight="1" x14ac:dyDescent="0.2">
      <c r="A74" s="275" t="s">
        <v>130</v>
      </c>
      <c r="B74" s="260" t="s">
        <v>225</v>
      </c>
      <c r="C74" s="261">
        <v>1272</v>
      </c>
      <c r="D74" s="261"/>
      <c r="E74" s="261">
        <v>18</v>
      </c>
      <c r="F74" s="261"/>
      <c r="G74" s="261"/>
      <c r="H74" s="261"/>
      <c r="I74" s="261"/>
      <c r="J74" s="261"/>
      <c r="K74" s="261"/>
      <c r="L74" s="261"/>
      <c r="M74" s="261">
        <v>10</v>
      </c>
      <c r="N74" s="261"/>
      <c r="O74" s="261">
        <v>10</v>
      </c>
      <c r="P74" s="261"/>
      <c r="Q74" s="261">
        <v>153</v>
      </c>
      <c r="R74" s="261"/>
      <c r="S74" s="261">
        <v>311</v>
      </c>
      <c r="T74" s="261"/>
      <c r="U74" s="261"/>
      <c r="V74" s="261"/>
      <c r="W74" s="261"/>
      <c r="X74" s="261"/>
      <c r="Y74" s="261"/>
      <c r="Z74" s="261"/>
      <c r="AA74" s="261">
        <v>25</v>
      </c>
      <c r="AB74" s="261"/>
      <c r="AC74" s="261"/>
      <c r="AD74" s="261"/>
      <c r="AE74" s="261"/>
      <c r="AF74" s="261"/>
      <c r="AG74" s="261"/>
      <c r="AH74" s="261"/>
      <c r="AI74" s="261"/>
      <c r="AJ74" s="261">
        <v>3</v>
      </c>
      <c r="AK74" s="261"/>
      <c r="AL74" s="261"/>
      <c r="AM74" s="261"/>
      <c r="AN74" s="261"/>
      <c r="AO74" s="261"/>
      <c r="AP74" s="261"/>
      <c r="AQ74" s="261"/>
      <c r="AR74" s="261"/>
      <c r="AS74" s="261"/>
      <c r="AT74" s="261">
        <v>5</v>
      </c>
      <c r="AU74" s="261">
        <v>8</v>
      </c>
      <c r="AV74" s="276">
        <f>SUM(C74:AU74)</f>
        <v>1815</v>
      </c>
      <c r="AW74" s="261"/>
      <c r="AX74" s="261"/>
      <c r="AY74" s="261"/>
      <c r="AZ74" s="261"/>
      <c r="BA74" s="261"/>
      <c r="BB74" s="261"/>
      <c r="BC74" s="261"/>
      <c r="BD74" s="261"/>
      <c r="BE74" s="261"/>
      <c r="BF74" s="261"/>
      <c r="BG74" s="261"/>
      <c r="BH74" s="261">
        <v>2</v>
      </c>
      <c r="BI74" s="261">
        <f>SUM(AV74:BH74)</f>
        <v>1817</v>
      </c>
    </row>
    <row r="75" spans="1:61" s="270" customFormat="1" ht="16.149999999999999" customHeight="1" x14ac:dyDescent="0.2">
      <c r="A75" s="275" t="s">
        <v>226</v>
      </c>
      <c r="B75" s="260" t="s">
        <v>227</v>
      </c>
      <c r="C75" s="261">
        <v>4652</v>
      </c>
      <c r="D75" s="261"/>
      <c r="E75" s="261">
        <v>3</v>
      </c>
      <c r="F75" s="261"/>
      <c r="G75" s="261"/>
      <c r="H75" s="261"/>
      <c r="I75" s="261"/>
      <c r="J75" s="261"/>
      <c r="K75" s="261"/>
      <c r="L75" s="261"/>
      <c r="M75" s="261">
        <v>15</v>
      </c>
      <c r="N75" s="261"/>
      <c r="O75" s="261">
        <v>4</v>
      </c>
      <c r="P75" s="261"/>
      <c r="Q75" s="261">
        <v>1</v>
      </c>
      <c r="R75" s="261"/>
      <c r="S75" s="261">
        <v>2</v>
      </c>
      <c r="T75" s="261"/>
      <c r="U75" s="261"/>
      <c r="V75" s="261"/>
      <c r="W75" s="261"/>
      <c r="X75" s="261"/>
      <c r="Y75" s="261"/>
      <c r="Z75" s="261"/>
      <c r="AA75" s="261">
        <v>9</v>
      </c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>
        <v>8</v>
      </c>
      <c r="AU75" s="261">
        <v>20</v>
      </c>
      <c r="AV75" s="276">
        <f>SUM(C75:AU75)</f>
        <v>4714</v>
      </c>
      <c r="AW75" s="261"/>
      <c r="AX75" s="261"/>
      <c r="AY75" s="261"/>
      <c r="AZ75" s="261"/>
      <c r="BA75" s="261"/>
      <c r="BB75" s="261"/>
      <c r="BC75" s="261"/>
      <c r="BD75" s="261"/>
      <c r="BE75" s="261"/>
      <c r="BF75" s="261">
        <v>1</v>
      </c>
      <c r="BG75" s="261"/>
      <c r="BH75" s="261">
        <v>1</v>
      </c>
      <c r="BI75" s="261">
        <f>SUM(AV75:BH75)</f>
        <v>4716</v>
      </c>
    </row>
    <row r="76" spans="1:61" s="280" customFormat="1" ht="16.149999999999999" customHeight="1" thickBot="1" x14ac:dyDescent="0.25">
      <c r="A76" s="279"/>
      <c r="B76" s="266" t="s">
        <v>374</v>
      </c>
      <c r="C76" s="267">
        <f>SUM(C7:C75)</f>
        <v>658791</v>
      </c>
      <c r="D76" s="267">
        <f>SUM(D7:D75)</f>
        <v>3127</v>
      </c>
      <c r="E76" s="267">
        <f>SUM(E7:E75)</f>
        <v>552</v>
      </c>
      <c r="F76" s="267">
        <f>SUM(F7:F75)</f>
        <v>948</v>
      </c>
      <c r="G76" s="267">
        <f t="shared" ref="G76:AJ76" si="7">SUM(G7:G75)</f>
        <v>508</v>
      </c>
      <c r="H76" s="267">
        <f t="shared" si="7"/>
        <v>870</v>
      </c>
      <c r="I76" s="267">
        <f t="shared" si="7"/>
        <v>852</v>
      </c>
      <c r="J76" s="267">
        <f t="shared" si="7"/>
        <v>920</v>
      </c>
      <c r="K76" s="267">
        <f t="shared" si="7"/>
        <v>224</v>
      </c>
      <c r="L76" s="267">
        <f t="shared" si="7"/>
        <v>661</v>
      </c>
      <c r="M76" s="267">
        <f t="shared" si="7"/>
        <v>348</v>
      </c>
      <c r="N76" s="267">
        <f t="shared" si="7"/>
        <v>264</v>
      </c>
      <c r="O76" s="267">
        <f t="shared" si="7"/>
        <v>636</v>
      </c>
      <c r="P76" s="267">
        <f t="shared" si="7"/>
        <v>482</v>
      </c>
      <c r="Q76" s="267">
        <f t="shared" si="7"/>
        <v>337</v>
      </c>
      <c r="R76" s="267"/>
      <c r="S76" s="267">
        <f t="shared" si="7"/>
        <v>602</v>
      </c>
      <c r="T76" s="267">
        <f t="shared" si="7"/>
        <v>270</v>
      </c>
      <c r="U76" s="267">
        <f t="shared" si="7"/>
        <v>453</v>
      </c>
      <c r="V76" s="267">
        <f t="shared" si="7"/>
        <v>180</v>
      </c>
      <c r="W76" s="267">
        <f t="shared" si="7"/>
        <v>892</v>
      </c>
      <c r="X76" s="267">
        <f t="shared" si="7"/>
        <v>906</v>
      </c>
      <c r="Y76" s="267">
        <f t="shared" si="7"/>
        <v>599</v>
      </c>
      <c r="Z76" s="267"/>
      <c r="AA76" s="267">
        <f t="shared" si="7"/>
        <v>513</v>
      </c>
      <c r="AB76" s="267">
        <f t="shared" si="7"/>
        <v>456</v>
      </c>
      <c r="AC76" s="267">
        <f t="shared" si="7"/>
        <v>0</v>
      </c>
      <c r="AD76" s="267"/>
      <c r="AE76" s="267">
        <f t="shared" si="7"/>
        <v>0</v>
      </c>
      <c r="AF76" s="267">
        <f t="shared" si="7"/>
        <v>79</v>
      </c>
      <c r="AG76" s="267">
        <f t="shared" si="7"/>
        <v>67</v>
      </c>
      <c r="AH76" s="267">
        <f t="shared" si="7"/>
        <v>64</v>
      </c>
      <c r="AI76" s="267">
        <f t="shared" si="7"/>
        <v>251</v>
      </c>
      <c r="AJ76" s="267">
        <f t="shared" si="7"/>
        <v>306</v>
      </c>
      <c r="AK76" s="267">
        <f t="shared" ref="AK76:AS76" si="8">SUM(AK7:AK75)</f>
        <v>45</v>
      </c>
      <c r="AL76" s="267">
        <f t="shared" si="8"/>
        <v>974</v>
      </c>
      <c r="AM76" s="267">
        <f t="shared" si="8"/>
        <v>0</v>
      </c>
      <c r="AN76" s="267">
        <f t="shared" si="8"/>
        <v>0</v>
      </c>
      <c r="AO76" s="267">
        <f t="shared" si="8"/>
        <v>0</v>
      </c>
      <c r="AP76" s="267">
        <f t="shared" si="8"/>
        <v>0</v>
      </c>
      <c r="AQ76" s="267">
        <f t="shared" si="8"/>
        <v>0</v>
      </c>
      <c r="AR76" s="267">
        <f t="shared" si="8"/>
        <v>0</v>
      </c>
      <c r="AS76" s="267">
        <f t="shared" si="8"/>
        <v>0</v>
      </c>
      <c r="AT76" s="267">
        <f>SUM(AT7:AT75)</f>
        <v>1911</v>
      </c>
      <c r="AU76" s="267">
        <f>SUM(AU7:AU75)</f>
        <v>3000</v>
      </c>
      <c r="AV76" s="281">
        <f t="shared" ref="AV76:BI76" si="9">SUM(AV7:AV75)</f>
        <v>681088</v>
      </c>
      <c r="AW76" s="267">
        <f t="shared" si="9"/>
        <v>253</v>
      </c>
      <c r="AX76" s="267">
        <f t="shared" si="9"/>
        <v>329</v>
      </c>
      <c r="AY76" s="267">
        <f t="shared" si="9"/>
        <v>1387</v>
      </c>
      <c r="AZ76" s="267">
        <f t="shared" si="9"/>
        <v>718</v>
      </c>
      <c r="BA76" s="267">
        <f t="shared" si="9"/>
        <v>870</v>
      </c>
      <c r="BB76" s="267">
        <f t="shared" si="9"/>
        <v>960</v>
      </c>
      <c r="BC76" s="267">
        <f t="shared" si="9"/>
        <v>120</v>
      </c>
      <c r="BD76" s="267">
        <f t="shared" si="9"/>
        <v>1427</v>
      </c>
      <c r="BE76" s="267">
        <f t="shared" si="9"/>
        <v>557</v>
      </c>
      <c r="BF76" s="267">
        <f t="shared" si="9"/>
        <v>345</v>
      </c>
      <c r="BG76" s="267">
        <f t="shared" si="9"/>
        <v>236</v>
      </c>
      <c r="BH76" s="267">
        <f t="shared" si="9"/>
        <v>175</v>
      </c>
      <c r="BI76" s="267">
        <f t="shared" si="9"/>
        <v>688465</v>
      </c>
    </row>
    <row r="77" spans="1:61" ht="17.25" customHeight="1" thickTop="1" x14ac:dyDescent="0.2">
      <c r="C77" s="1259" t="s">
        <v>1393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A1:B3"/>
    <mergeCell ref="C1:C3"/>
    <mergeCell ref="D1:D3"/>
    <mergeCell ref="E1:I1"/>
    <mergeCell ref="J1:P1"/>
    <mergeCell ref="Q1:X1"/>
    <mergeCell ref="Y1:AI1"/>
    <mergeCell ref="AJ1:AU1"/>
    <mergeCell ref="BI1:BI3"/>
    <mergeCell ref="AV1:AV3"/>
    <mergeCell ref="AW1:BC1"/>
    <mergeCell ref="BD1:BH1"/>
  </mergeCells>
  <printOptions horizontalCentered="1"/>
  <pageMargins left="0.4" right="0.4" top="1" bottom="0.5" header="0.3" footer="0.3"/>
  <pageSetup paperSize="5" scale="72" fitToWidth="0" orientation="portrait" r:id="rId2"/>
  <headerFooter>
    <oddHeader>&amp;L&amp;"Arial,Bold"&amp;18&amp;K000000Table 8: FY2019-20 Budget Letter
February 1, 2019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6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4"/>
  <sheetViews>
    <sheetView zoomScaleNormal="100" zoomScaleSheetLayoutView="100" workbookViewId="0">
      <pane xSplit="3" ySplit="3" topLeftCell="D4" activePane="bottomRight" state="frozen"/>
      <selection activeCell="C7" sqref="C7"/>
      <selection pane="topRight" activeCell="C7" sqref="C7"/>
      <selection pane="bottomLeft" activeCell="C7" sqref="C7"/>
      <selection pane="bottomRight" activeCell="D4" sqref="D4"/>
    </sheetView>
  </sheetViews>
  <sheetFormatPr defaultColWidth="8.85546875" defaultRowHeight="15" x14ac:dyDescent="0.25"/>
  <cols>
    <col min="1" max="1" width="9" style="1117" bestFit="1" customWidth="1"/>
    <col min="2" max="2" width="8.42578125" style="1117" hidden="1" customWidth="1"/>
    <col min="3" max="3" width="46.7109375" style="1116" bestFit="1" customWidth="1"/>
    <col min="4" max="5" width="10.7109375" style="1116" customWidth="1"/>
    <col min="6" max="6" width="10.7109375" style="1118" customWidth="1"/>
    <col min="7" max="16384" width="8.85546875" style="1116"/>
  </cols>
  <sheetData>
    <row r="1" spans="1:6" s="1115" customFormat="1" ht="69.75" customHeight="1" x14ac:dyDescent="0.2">
      <c r="A1" s="1566" t="s">
        <v>1369</v>
      </c>
      <c r="B1" s="1567"/>
      <c r="C1" s="1568"/>
      <c r="D1" s="1120" t="s">
        <v>346</v>
      </c>
      <c r="E1" s="1120" t="s">
        <v>1372</v>
      </c>
      <c r="F1" s="1119" t="s">
        <v>451</v>
      </c>
    </row>
    <row r="2" spans="1:6" s="1115" customFormat="1" ht="19.149999999999999" customHeight="1" x14ac:dyDescent="0.2">
      <c r="A2" s="491"/>
      <c r="B2" s="491"/>
      <c r="C2" s="491"/>
      <c r="D2" s="491">
        <v>1</v>
      </c>
      <c r="E2" s="491">
        <f>D2+1</f>
        <v>2</v>
      </c>
      <c r="F2" s="491">
        <f>E2+1</f>
        <v>3</v>
      </c>
    </row>
    <row r="3" spans="1:6" s="1115" customFormat="1" ht="19.149999999999999" hidden="1" customHeight="1" x14ac:dyDescent="0.2">
      <c r="A3" s="614"/>
      <c r="B3" s="614"/>
      <c r="C3" s="614"/>
      <c r="D3" s="614"/>
      <c r="E3" s="614"/>
      <c r="F3" s="614"/>
    </row>
    <row r="4" spans="1:6" ht="19.5" customHeight="1" x14ac:dyDescent="0.2">
      <c r="A4" s="282">
        <v>396211</v>
      </c>
      <c r="B4" s="282" t="s">
        <v>469</v>
      </c>
      <c r="C4" s="260" t="s">
        <v>1178</v>
      </c>
      <c r="D4" s="883">
        <v>960</v>
      </c>
      <c r="E4" s="615"/>
      <c r="F4" s="268">
        <f t="shared" ref="F4:F11" si="0">SUM(D4:E4)</f>
        <v>960</v>
      </c>
    </row>
    <row r="5" spans="1:6" ht="19.5" customHeight="1" x14ac:dyDescent="0.2">
      <c r="A5" s="282" t="s">
        <v>475</v>
      </c>
      <c r="B5" s="282" t="s">
        <v>475</v>
      </c>
      <c r="C5" s="260" t="s">
        <v>351</v>
      </c>
      <c r="D5" s="615"/>
      <c r="E5" s="261">
        <v>382</v>
      </c>
      <c r="F5" s="268">
        <f t="shared" si="0"/>
        <v>382</v>
      </c>
    </row>
    <row r="6" spans="1:6" ht="19.5" customHeight="1" x14ac:dyDescent="0.2">
      <c r="A6" s="282" t="s">
        <v>472</v>
      </c>
      <c r="B6" s="282" t="s">
        <v>298</v>
      </c>
      <c r="C6" s="260" t="s">
        <v>349</v>
      </c>
      <c r="D6" s="615"/>
      <c r="E6" s="261">
        <v>102</v>
      </c>
      <c r="F6" s="268">
        <f t="shared" si="0"/>
        <v>102</v>
      </c>
    </row>
    <row r="7" spans="1:6" ht="19.5" customHeight="1" x14ac:dyDescent="0.2">
      <c r="A7" s="283" t="s">
        <v>473</v>
      </c>
      <c r="B7" s="283" t="s">
        <v>327</v>
      </c>
      <c r="C7" s="262" t="s">
        <v>350</v>
      </c>
      <c r="D7" s="616"/>
      <c r="E7" s="263">
        <v>305</v>
      </c>
      <c r="F7" s="269">
        <f t="shared" si="0"/>
        <v>305</v>
      </c>
    </row>
    <row r="8" spans="1:6" ht="19.5" customHeight="1" x14ac:dyDescent="0.2">
      <c r="A8" s="282" t="s">
        <v>471</v>
      </c>
      <c r="B8" s="282" t="s">
        <v>297</v>
      </c>
      <c r="C8" s="260" t="s">
        <v>348</v>
      </c>
      <c r="D8" s="615"/>
      <c r="E8" s="261">
        <v>260</v>
      </c>
      <c r="F8" s="268">
        <f t="shared" si="0"/>
        <v>260</v>
      </c>
    </row>
    <row r="9" spans="1:6" ht="19.5" customHeight="1" x14ac:dyDescent="0.2">
      <c r="A9" s="282" t="s">
        <v>369</v>
      </c>
      <c r="B9" s="282" t="s">
        <v>369</v>
      </c>
      <c r="C9" s="260" t="s">
        <v>576</v>
      </c>
      <c r="D9" s="615"/>
      <c r="E9" s="261">
        <v>522</v>
      </c>
      <c r="F9" s="268">
        <f t="shared" si="0"/>
        <v>522</v>
      </c>
    </row>
    <row r="10" spans="1:6" ht="19.5" customHeight="1" x14ac:dyDescent="0.2">
      <c r="A10" s="282" t="s">
        <v>370</v>
      </c>
      <c r="B10" s="282" t="s">
        <v>370</v>
      </c>
      <c r="C10" s="260" t="s">
        <v>356</v>
      </c>
      <c r="D10" s="615"/>
      <c r="E10" s="261">
        <v>215</v>
      </c>
      <c r="F10" s="268">
        <f t="shared" si="0"/>
        <v>215</v>
      </c>
    </row>
    <row r="11" spans="1:6" ht="19.5" customHeight="1" x14ac:dyDescent="0.2">
      <c r="A11" s="1107" t="s">
        <v>470</v>
      </c>
      <c r="B11" s="1107">
        <v>389002</v>
      </c>
      <c r="C11" s="1108" t="s">
        <v>347</v>
      </c>
      <c r="D11" s="1109"/>
      <c r="E11" s="1110">
        <v>381</v>
      </c>
      <c r="F11" s="1111">
        <f t="shared" si="0"/>
        <v>381</v>
      </c>
    </row>
    <row r="12" spans="1:6" ht="19.5" customHeight="1" thickBot="1" x14ac:dyDescent="0.25">
      <c r="A12" s="1112"/>
      <c r="B12" s="1112"/>
      <c r="C12" s="1113"/>
      <c r="D12" s="1114">
        <f>SUM(D4:D11)</f>
        <v>960</v>
      </c>
      <c r="E12" s="1114">
        <f>SUM(E4:E11)</f>
        <v>2167</v>
      </c>
      <c r="F12" s="1114">
        <f>SUM(F4:F11)</f>
        <v>3127</v>
      </c>
    </row>
    <row r="13" spans="1:6" ht="15.75" thickTop="1" x14ac:dyDescent="0.25"/>
    <row r="14" spans="1:6" ht="14.25" x14ac:dyDescent="0.2">
      <c r="A14" s="521"/>
      <c r="B14" s="521"/>
      <c r="C14" s="522"/>
      <c r="D14" s="523"/>
      <c r="E14" s="523"/>
      <c r="F14" s="523"/>
    </row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FY2019-20 Budget Letter&amp;K000000
February 1, 2019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6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RowHeight="12.75" x14ac:dyDescent="0.2"/>
  <cols>
    <col min="1" max="1" width="9.140625" style="910"/>
    <col min="2" max="2" width="8.5703125" style="910" hidden="1" customWidth="1"/>
    <col min="3" max="3" width="33.140625" style="910" customWidth="1"/>
    <col min="4" max="6" width="11.7109375" style="910" customWidth="1"/>
    <col min="7" max="7" width="11.7109375" style="911" customWidth="1"/>
    <col min="8" max="11" width="11.7109375" style="910" customWidth="1"/>
    <col min="12" max="14" width="12.7109375" style="910" customWidth="1"/>
    <col min="15" max="15" width="12.7109375" style="911" customWidth="1"/>
    <col min="16" max="16384" width="9.140625" style="910"/>
  </cols>
  <sheetData>
    <row r="1" spans="1:15" s="905" customFormat="1" ht="66.75" customHeight="1" x14ac:dyDescent="0.2">
      <c r="A1" s="1372" t="s">
        <v>79</v>
      </c>
      <c r="B1" s="1373"/>
      <c r="C1" s="1373"/>
      <c r="D1" s="1225" t="s">
        <v>1261</v>
      </c>
      <c r="E1" s="1226" t="s">
        <v>1262</v>
      </c>
      <c r="F1" s="1227" t="s">
        <v>1263</v>
      </c>
      <c r="G1" s="1374" t="s">
        <v>1264</v>
      </c>
      <c r="H1" s="1228" t="s">
        <v>1265</v>
      </c>
      <c r="I1" s="1228" t="s">
        <v>1262</v>
      </c>
      <c r="J1" s="1229" t="s">
        <v>1263</v>
      </c>
      <c r="K1" s="1375" t="s">
        <v>1264</v>
      </c>
      <c r="L1" s="1230" t="s">
        <v>1266</v>
      </c>
      <c r="M1" s="1365" t="s">
        <v>1267</v>
      </c>
      <c r="N1" s="1365" t="s">
        <v>1268</v>
      </c>
      <c r="O1" s="1365" t="s">
        <v>1269</v>
      </c>
    </row>
    <row r="2" spans="1:15" s="905" customFormat="1" ht="12.75" hidden="1" customHeight="1" x14ac:dyDescent="0.2">
      <c r="A2" s="1373"/>
      <c r="B2" s="1373"/>
      <c r="C2" s="1373"/>
      <c r="D2" s="1225"/>
      <c r="E2" s="1231"/>
      <c r="F2" s="1231"/>
      <c r="G2" s="1374"/>
      <c r="H2" s="1231"/>
      <c r="I2" s="1231"/>
      <c r="J2" s="1231"/>
      <c r="K2" s="1375"/>
      <c r="L2" s="1230"/>
      <c r="M2" s="1365"/>
      <c r="N2" s="1365"/>
      <c r="O2" s="1365"/>
    </row>
    <row r="3" spans="1:15" s="905" customFormat="1" ht="12.75" hidden="1" customHeight="1" x14ac:dyDescent="0.2">
      <c r="A3" s="1373"/>
      <c r="B3" s="1373"/>
      <c r="C3" s="1373"/>
      <c r="D3" s="1225"/>
      <c r="E3" s="1231"/>
      <c r="F3" s="1231"/>
      <c r="G3" s="1374"/>
      <c r="H3" s="1231"/>
      <c r="I3" s="1231"/>
      <c r="J3" s="1231"/>
      <c r="K3" s="1375"/>
      <c r="L3" s="1230"/>
      <c r="M3" s="1365"/>
      <c r="N3" s="1365"/>
      <c r="O3" s="1365"/>
    </row>
    <row r="4" spans="1:15" s="905" customFormat="1" ht="16.5" customHeight="1" x14ac:dyDescent="0.2">
      <c r="A4" s="1373"/>
      <c r="B4" s="1373"/>
      <c r="C4" s="1373"/>
      <c r="D4" s="1225" t="s">
        <v>1455</v>
      </c>
      <c r="E4" s="1226">
        <v>1000</v>
      </c>
      <c r="F4" s="1227">
        <v>0.26</v>
      </c>
      <c r="G4" s="1374"/>
      <c r="H4" s="1232" t="s">
        <v>1455</v>
      </c>
      <c r="I4" s="1228">
        <v>500</v>
      </c>
      <c r="J4" s="1229">
        <v>0.29399999999999998</v>
      </c>
      <c r="K4" s="1375"/>
      <c r="L4" s="1230" t="s">
        <v>1455</v>
      </c>
      <c r="M4" s="1365"/>
      <c r="N4" s="1365"/>
      <c r="O4" s="1365"/>
    </row>
    <row r="5" spans="1:15" s="905" customFormat="1" ht="15.75" customHeight="1" x14ac:dyDescent="0.2">
      <c r="A5" s="906"/>
      <c r="B5" s="907"/>
      <c r="C5" s="908"/>
      <c r="D5" s="909">
        <v>1</v>
      </c>
      <c r="E5" s="909">
        <v>2</v>
      </c>
      <c r="F5" s="909">
        <v>3</v>
      </c>
      <c r="G5" s="909">
        <f>F5+1</f>
        <v>4</v>
      </c>
      <c r="H5" s="909">
        <v>5</v>
      </c>
      <c r="I5" s="909">
        <v>6</v>
      </c>
      <c r="J5" s="909">
        <v>7</v>
      </c>
      <c r="K5" s="909">
        <f>J5+1</f>
        <v>8</v>
      </c>
      <c r="L5" s="909">
        <v>9</v>
      </c>
      <c r="M5" s="909">
        <v>10</v>
      </c>
      <c r="N5" s="909">
        <v>11</v>
      </c>
      <c r="O5" s="909">
        <f>N5+1</f>
        <v>12</v>
      </c>
    </row>
    <row r="6" spans="1:15" hidden="1" x14ac:dyDescent="0.2"/>
    <row r="7" spans="1:15" ht="15.75" customHeight="1" x14ac:dyDescent="0.2">
      <c r="A7" s="559">
        <v>1</v>
      </c>
      <c r="B7" s="912">
        <v>1</v>
      </c>
      <c r="C7" s="913" t="s">
        <v>5</v>
      </c>
      <c r="D7" s="914">
        <f>VLOOKUP($A7,'[9]MFP LEAs'!$A$7:$E$139,4,FALSE)</f>
        <v>720.61502287196004</v>
      </c>
      <c r="E7" s="893">
        <f t="shared" ref="E7:E70" si="0">ROUND(D7*$E$4,0)</f>
        <v>720615</v>
      </c>
      <c r="F7" s="893">
        <f t="shared" ref="F7:F70" si="1">ROUND(E7*$F$4,0)</f>
        <v>187360</v>
      </c>
      <c r="G7" s="915">
        <f>E7+F7</f>
        <v>907975</v>
      </c>
      <c r="H7" s="914">
        <f>VLOOKUP($A7,'[9]MFP LEAs'!$A$7:$E$139,5,FALSE)</f>
        <v>502.69251924698898</v>
      </c>
      <c r="I7" s="893">
        <f t="shared" ref="I7:I70" si="2">ROUND(H7*$I$4,0)</f>
        <v>251346</v>
      </c>
      <c r="J7" s="893">
        <f t="shared" ref="J7:J70" si="3">ROUND(I7*$J$4,0)</f>
        <v>73896</v>
      </c>
      <c r="K7" s="916">
        <f>I7+J7</f>
        <v>325242</v>
      </c>
      <c r="L7" s="914">
        <f t="shared" ref="L7:O38" si="4">D7+H7</f>
        <v>1223.307542118949</v>
      </c>
      <c r="M7" s="893">
        <f t="shared" si="4"/>
        <v>971961</v>
      </c>
      <c r="N7" s="893">
        <f t="shared" si="4"/>
        <v>261256</v>
      </c>
      <c r="O7" s="917">
        <f t="shared" si="4"/>
        <v>1233217</v>
      </c>
    </row>
    <row r="8" spans="1:15" ht="15.75" customHeight="1" x14ac:dyDescent="0.2">
      <c r="A8" s="42">
        <v>2</v>
      </c>
      <c r="B8" s="253">
        <v>2</v>
      </c>
      <c r="C8" s="563" t="s">
        <v>6</v>
      </c>
      <c r="D8" s="918">
        <f>VLOOKUP($A8,'[9]MFP LEAs'!$A$7:$E$139,4,FALSE)</f>
        <v>381.49999999999898</v>
      </c>
      <c r="E8" s="894">
        <f t="shared" si="0"/>
        <v>381500</v>
      </c>
      <c r="F8" s="894">
        <f t="shared" si="1"/>
        <v>99190</v>
      </c>
      <c r="G8" s="919">
        <f t="shared" ref="G8:G71" si="5">E8+F8</f>
        <v>480690</v>
      </c>
      <c r="H8" s="918">
        <f>VLOOKUP($A8,'[9]MFP LEAs'!$A$7:$E$139,5,FALSE)</f>
        <v>242.49999999999901</v>
      </c>
      <c r="I8" s="894">
        <f t="shared" si="2"/>
        <v>121250</v>
      </c>
      <c r="J8" s="894">
        <f t="shared" si="3"/>
        <v>35648</v>
      </c>
      <c r="K8" s="920">
        <f t="shared" ref="K8:K71" si="6">I8+J8</f>
        <v>156898</v>
      </c>
      <c r="L8" s="918">
        <f t="shared" si="4"/>
        <v>623.99999999999795</v>
      </c>
      <c r="M8" s="894">
        <f t="shared" si="4"/>
        <v>502750</v>
      </c>
      <c r="N8" s="894">
        <f t="shared" si="4"/>
        <v>134838</v>
      </c>
      <c r="O8" s="921">
        <f t="shared" si="4"/>
        <v>637588</v>
      </c>
    </row>
    <row r="9" spans="1:15" ht="15.75" customHeight="1" x14ac:dyDescent="0.2">
      <c r="A9" s="565">
        <v>3</v>
      </c>
      <c r="B9" s="253">
        <v>3</v>
      </c>
      <c r="C9" s="563" t="s">
        <v>7</v>
      </c>
      <c r="D9" s="918">
        <f>VLOOKUP($A9,'[9]MFP LEAs'!$A$7:$E$139,4,FALSE)</f>
        <v>1814.2455067089493</v>
      </c>
      <c r="E9" s="894">
        <f t="shared" si="0"/>
        <v>1814246</v>
      </c>
      <c r="F9" s="894">
        <f t="shared" si="1"/>
        <v>471704</v>
      </c>
      <c r="G9" s="919">
        <f t="shared" si="5"/>
        <v>2285950</v>
      </c>
      <c r="H9" s="918">
        <f>VLOOKUP($A9,'[9]MFP LEAs'!$A$7:$E$139,5,FALSE)</f>
        <v>1164.1570370240001</v>
      </c>
      <c r="I9" s="894">
        <f t="shared" si="2"/>
        <v>582079</v>
      </c>
      <c r="J9" s="894">
        <f t="shared" si="3"/>
        <v>171131</v>
      </c>
      <c r="K9" s="920">
        <f t="shared" si="6"/>
        <v>753210</v>
      </c>
      <c r="L9" s="918">
        <f t="shared" si="4"/>
        <v>2978.4025437329492</v>
      </c>
      <c r="M9" s="894">
        <f t="shared" si="4"/>
        <v>2396325</v>
      </c>
      <c r="N9" s="894">
        <f t="shared" si="4"/>
        <v>642835</v>
      </c>
      <c r="O9" s="921">
        <f t="shared" si="4"/>
        <v>3039160</v>
      </c>
    </row>
    <row r="10" spans="1:15" ht="15.75" customHeight="1" x14ac:dyDescent="0.2">
      <c r="A10" s="565">
        <v>4</v>
      </c>
      <c r="B10" s="253">
        <v>4</v>
      </c>
      <c r="C10" s="563" t="s">
        <v>8</v>
      </c>
      <c r="D10" s="918">
        <f>VLOOKUP($A10,'[9]MFP LEAs'!$A$7:$E$139,4,FALSE)</f>
        <v>257.71999999999599</v>
      </c>
      <c r="E10" s="894">
        <f t="shared" si="0"/>
        <v>257720</v>
      </c>
      <c r="F10" s="894">
        <f t="shared" si="1"/>
        <v>67007</v>
      </c>
      <c r="G10" s="919">
        <f t="shared" si="5"/>
        <v>324727</v>
      </c>
      <c r="H10" s="918">
        <f>VLOOKUP($A10,'[9]MFP LEAs'!$A$7:$E$139,5,FALSE)</f>
        <v>182.27999999999997</v>
      </c>
      <c r="I10" s="894">
        <f t="shared" si="2"/>
        <v>91140</v>
      </c>
      <c r="J10" s="894">
        <f t="shared" si="3"/>
        <v>26795</v>
      </c>
      <c r="K10" s="920">
        <f t="shared" si="6"/>
        <v>117935</v>
      </c>
      <c r="L10" s="918">
        <f t="shared" si="4"/>
        <v>439.99999999999596</v>
      </c>
      <c r="M10" s="894">
        <f t="shared" si="4"/>
        <v>348860</v>
      </c>
      <c r="N10" s="894">
        <f t="shared" si="4"/>
        <v>93802</v>
      </c>
      <c r="O10" s="921">
        <f t="shared" si="4"/>
        <v>442662</v>
      </c>
    </row>
    <row r="11" spans="1:15" ht="15.75" customHeight="1" x14ac:dyDescent="0.2">
      <c r="A11" s="922">
        <v>5</v>
      </c>
      <c r="B11" s="567">
        <v>5</v>
      </c>
      <c r="C11" s="923" t="s">
        <v>9</v>
      </c>
      <c r="D11" s="924">
        <f>VLOOKUP($A11,'[9]MFP LEAs'!$A$7:$E$139,4,FALSE)</f>
        <v>340</v>
      </c>
      <c r="E11" s="925">
        <f t="shared" si="0"/>
        <v>340000</v>
      </c>
      <c r="F11" s="925">
        <f t="shared" si="1"/>
        <v>88400</v>
      </c>
      <c r="G11" s="926">
        <f t="shared" si="5"/>
        <v>428400</v>
      </c>
      <c r="H11" s="924">
        <f>VLOOKUP($A11,'[9]MFP LEAs'!$A$7:$E$139,5,FALSE)</f>
        <v>276</v>
      </c>
      <c r="I11" s="925">
        <f t="shared" si="2"/>
        <v>138000</v>
      </c>
      <c r="J11" s="925">
        <f t="shared" si="3"/>
        <v>40572</v>
      </c>
      <c r="K11" s="927">
        <f t="shared" si="6"/>
        <v>178572</v>
      </c>
      <c r="L11" s="924">
        <f t="shared" si="4"/>
        <v>616</v>
      </c>
      <c r="M11" s="925">
        <f t="shared" si="4"/>
        <v>478000</v>
      </c>
      <c r="N11" s="925">
        <f t="shared" si="4"/>
        <v>128972</v>
      </c>
      <c r="O11" s="928">
        <f t="shared" si="4"/>
        <v>606972</v>
      </c>
    </row>
    <row r="12" spans="1:15" ht="15.75" customHeight="1" x14ac:dyDescent="0.2">
      <c r="A12" s="559">
        <v>6</v>
      </c>
      <c r="B12" s="912">
        <v>6</v>
      </c>
      <c r="C12" s="913" t="s">
        <v>10</v>
      </c>
      <c r="D12" s="914">
        <f>VLOOKUP($A12,'[9]MFP LEAs'!$A$7:$E$139,4,FALSE)</f>
        <v>497.99570600546997</v>
      </c>
      <c r="E12" s="893">
        <f t="shared" si="0"/>
        <v>497996</v>
      </c>
      <c r="F12" s="893">
        <f t="shared" si="1"/>
        <v>129479</v>
      </c>
      <c r="G12" s="915">
        <f t="shared" si="5"/>
        <v>627475</v>
      </c>
      <c r="H12" s="914">
        <f>VLOOKUP($A12,'[9]MFP LEAs'!$A$7:$E$139,5,FALSE)</f>
        <v>350.08271606190692</v>
      </c>
      <c r="I12" s="893">
        <f t="shared" si="2"/>
        <v>175041</v>
      </c>
      <c r="J12" s="893">
        <f t="shared" si="3"/>
        <v>51462</v>
      </c>
      <c r="K12" s="916">
        <f t="shared" si="6"/>
        <v>226503</v>
      </c>
      <c r="L12" s="914">
        <f t="shared" si="4"/>
        <v>848.07842206737689</v>
      </c>
      <c r="M12" s="893">
        <f t="shared" si="4"/>
        <v>673037</v>
      </c>
      <c r="N12" s="893">
        <f t="shared" si="4"/>
        <v>180941</v>
      </c>
      <c r="O12" s="917">
        <f t="shared" si="4"/>
        <v>853978</v>
      </c>
    </row>
    <row r="13" spans="1:15" ht="15.75" customHeight="1" x14ac:dyDescent="0.2">
      <c r="A13" s="42">
        <v>7</v>
      </c>
      <c r="B13" s="253">
        <v>7</v>
      </c>
      <c r="C13" s="563" t="s">
        <v>11</v>
      </c>
      <c r="D13" s="918">
        <f>VLOOKUP($A13,'[9]MFP LEAs'!$A$7:$E$139,4,FALSE)</f>
        <v>222.03841571045501</v>
      </c>
      <c r="E13" s="894">
        <f t="shared" si="0"/>
        <v>222038</v>
      </c>
      <c r="F13" s="894">
        <f t="shared" si="1"/>
        <v>57730</v>
      </c>
      <c r="G13" s="919">
        <f t="shared" si="5"/>
        <v>279768</v>
      </c>
      <c r="H13" s="918">
        <f>VLOOKUP($A13,'[9]MFP LEAs'!$A$7:$E$139,5,FALSE)</f>
        <v>177.97648327938401</v>
      </c>
      <c r="I13" s="894">
        <f t="shared" si="2"/>
        <v>88988</v>
      </c>
      <c r="J13" s="894">
        <f t="shared" si="3"/>
        <v>26162</v>
      </c>
      <c r="K13" s="920">
        <f t="shared" si="6"/>
        <v>115150</v>
      </c>
      <c r="L13" s="918">
        <f t="shared" si="4"/>
        <v>400.01489898983903</v>
      </c>
      <c r="M13" s="894">
        <f t="shared" si="4"/>
        <v>311026</v>
      </c>
      <c r="N13" s="894">
        <f t="shared" si="4"/>
        <v>83892</v>
      </c>
      <c r="O13" s="921">
        <f t="shared" si="4"/>
        <v>394918</v>
      </c>
    </row>
    <row r="14" spans="1:15" ht="15.75" customHeight="1" x14ac:dyDescent="0.2">
      <c r="A14" s="565">
        <v>8</v>
      </c>
      <c r="B14" s="253">
        <v>8</v>
      </c>
      <c r="C14" s="563" t="s">
        <v>12</v>
      </c>
      <c r="D14" s="918">
        <f>VLOOKUP($A14,'[9]MFP LEAs'!$A$7:$E$139,4,FALSE)</f>
        <v>1903</v>
      </c>
      <c r="E14" s="894">
        <f t="shared" si="0"/>
        <v>1903000</v>
      </c>
      <c r="F14" s="894">
        <f t="shared" si="1"/>
        <v>494780</v>
      </c>
      <c r="G14" s="919">
        <f t="shared" si="5"/>
        <v>2397780</v>
      </c>
      <c r="H14" s="918">
        <f>VLOOKUP($A14,'[9]MFP LEAs'!$A$7:$E$139,5,FALSE)</f>
        <v>1200</v>
      </c>
      <c r="I14" s="894">
        <f t="shared" si="2"/>
        <v>600000</v>
      </c>
      <c r="J14" s="894">
        <f t="shared" si="3"/>
        <v>176400</v>
      </c>
      <c r="K14" s="920">
        <f t="shared" si="6"/>
        <v>776400</v>
      </c>
      <c r="L14" s="918">
        <f t="shared" si="4"/>
        <v>3103</v>
      </c>
      <c r="M14" s="894">
        <f t="shared" si="4"/>
        <v>2503000</v>
      </c>
      <c r="N14" s="894">
        <f t="shared" si="4"/>
        <v>671180</v>
      </c>
      <c r="O14" s="921">
        <f t="shared" si="4"/>
        <v>3174180</v>
      </c>
    </row>
    <row r="15" spans="1:15" ht="15.75" customHeight="1" x14ac:dyDescent="0.2">
      <c r="A15" s="565">
        <v>9</v>
      </c>
      <c r="B15" s="253">
        <v>9</v>
      </c>
      <c r="C15" s="563" t="s">
        <v>13</v>
      </c>
      <c r="D15" s="918">
        <f>VLOOKUP($A15,'[9]MFP LEAs'!$A$7:$E$139,4,FALSE)</f>
        <v>2960.4168911440329</v>
      </c>
      <c r="E15" s="894">
        <f t="shared" si="0"/>
        <v>2960417</v>
      </c>
      <c r="F15" s="894">
        <f t="shared" si="1"/>
        <v>769708</v>
      </c>
      <c r="G15" s="919">
        <f t="shared" si="5"/>
        <v>3730125</v>
      </c>
      <c r="H15" s="918">
        <f>VLOOKUP($A15,'[9]MFP LEAs'!$A$7:$E$139,5,FALSE)</f>
        <v>2152.3739337340012</v>
      </c>
      <c r="I15" s="894">
        <f t="shared" si="2"/>
        <v>1076187</v>
      </c>
      <c r="J15" s="894">
        <f t="shared" si="3"/>
        <v>316399</v>
      </c>
      <c r="K15" s="920">
        <f t="shared" si="6"/>
        <v>1392586</v>
      </c>
      <c r="L15" s="918">
        <f t="shared" si="4"/>
        <v>5112.7908248780341</v>
      </c>
      <c r="M15" s="894">
        <f t="shared" si="4"/>
        <v>4036604</v>
      </c>
      <c r="N15" s="894">
        <f t="shared" si="4"/>
        <v>1086107</v>
      </c>
      <c r="O15" s="921">
        <f t="shared" si="4"/>
        <v>5122711</v>
      </c>
    </row>
    <row r="16" spans="1:15" ht="15.75" customHeight="1" x14ac:dyDescent="0.2">
      <c r="A16" s="922">
        <v>10</v>
      </c>
      <c r="B16" s="567">
        <v>10</v>
      </c>
      <c r="C16" s="923" t="s">
        <v>14</v>
      </c>
      <c r="D16" s="924">
        <f>VLOOKUP($A16,'[9]MFP LEAs'!$A$7:$E$139,4,FALSE)</f>
        <v>3096.5500780859293</v>
      </c>
      <c r="E16" s="925">
        <f t="shared" si="0"/>
        <v>3096550</v>
      </c>
      <c r="F16" s="925">
        <f t="shared" si="1"/>
        <v>805103</v>
      </c>
      <c r="G16" s="926">
        <f t="shared" si="5"/>
        <v>3901653</v>
      </c>
      <c r="H16" s="924">
        <f>VLOOKUP($A16,'[9]MFP LEAs'!$A$7:$E$139,5,FALSE)</f>
        <v>1766.9170444752483</v>
      </c>
      <c r="I16" s="925">
        <f t="shared" si="2"/>
        <v>883459</v>
      </c>
      <c r="J16" s="925">
        <f t="shared" si="3"/>
        <v>259737</v>
      </c>
      <c r="K16" s="927">
        <f t="shared" si="6"/>
        <v>1143196</v>
      </c>
      <c r="L16" s="924">
        <f t="shared" si="4"/>
        <v>4863.4671225611773</v>
      </c>
      <c r="M16" s="925">
        <f t="shared" si="4"/>
        <v>3980009</v>
      </c>
      <c r="N16" s="925">
        <f t="shared" si="4"/>
        <v>1064840</v>
      </c>
      <c r="O16" s="928">
        <f t="shared" si="4"/>
        <v>5044849</v>
      </c>
    </row>
    <row r="17" spans="1:15" ht="15.75" customHeight="1" x14ac:dyDescent="0.2">
      <c r="A17" s="559">
        <v>11</v>
      </c>
      <c r="B17" s="912">
        <v>11</v>
      </c>
      <c r="C17" s="913" t="s">
        <v>15</v>
      </c>
      <c r="D17" s="914">
        <f>VLOOKUP($A17,'[9]MFP LEAs'!$A$7:$E$139,4,FALSE)</f>
        <v>152.575441575707</v>
      </c>
      <c r="E17" s="893">
        <f t="shared" si="0"/>
        <v>152575</v>
      </c>
      <c r="F17" s="893">
        <f t="shared" si="1"/>
        <v>39670</v>
      </c>
      <c r="G17" s="915">
        <f t="shared" si="5"/>
        <v>192245</v>
      </c>
      <c r="H17" s="914">
        <f>VLOOKUP($A17,'[9]MFP LEAs'!$A$7:$E$139,5,FALSE)</f>
        <v>116.26466603923301</v>
      </c>
      <c r="I17" s="893">
        <f t="shared" si="2"/>
        <v>58132</v>
      </c>
      <c r="J17" s="893">
        <f t="shared" si="3"/>
        <v>17091</v>
      </c>
      <c r="K17" s="916">
        <f t="shared" si="6"/>
        <v>75223</v>
      </c>
      <c r="L17" s="914">
        <f t="shared" si="4"/>
        <v>268.84010761494</v>
      </c>
      <c r="M17" s="893">
        <f t="shared" si="4"/>
        <v>210707</v>
      </c>
      <c r="N17" s="893">
        <f t="shared" si="4"/>
        <v>56761</v>
      </c>
      <c r="O17" s="917">
        <f t="shared" si="4"/>
        <v>267468</v>
      </c>
    </row>
    <row r="18" spans="1:15" ht="15.75" customHeight="1" x14ac:dyDescent="0.2">
      <c r="A18" s="42">
        <v>12</v>
      </c>
      <c r="B18" s="253">
        <v>12</v>
      </c>
      <c r="C18" s="563" t="s">
        <v>16</v>
      </c>
      <c r="D18" s="918">
        <f>VLOOKUP($A18,'[9]MFP LEAs'!$A$7:$E$139,4,FALSE)</f>
        <v>166.617689818923</v>
      </c>
      <c r="E18" s="894">
        <f t="shared" si="0"/>
        <v>166618</v>
      </c>
      <c r="F18" s="894">
        <f t="shared" si="1"/>
        <v>43321</v>
      </c>
      <c r="G18" s="919">
        <f t="shared" si="5"/>
        <v>209939</v>
      </c>
      <c r="H18" s="918">
        <f>VLOOKUP($A18,'[9]MFP LEAs'!$A$7:$E$139,5,FALSE)</f>
        <v>94.810224689972003</v>
      </c>
      <c r="I18" s="894">
        <f t="shared" si="2"/>
        <v>47405</v>
      </c>
      <c r="J18" s="894">
        <f t="shared" si="3"/>
        <v>13937</v>
      </c>
      <c r="K18" s="920">
        <f t="shared" si="6"/>
        <v>61342</v>
      </c>
      <c r="L18" s="918">
        <f t="shared" si="4"/>
        <v>261.42791450889501</v>
      </c>
      <c r="M18" s="894">
        <f t="shared" si="4"/>
        <v>214023</v>
      </c>
      <c r="N18" s="894">
        <f t="shared" si="4"/>
        <v>57258</v>
      </c>
      <c r="O18" s="921">
        <f t="shared" si="4"/>
        <v>271281</v>
      </c>
    </row>
    <row r="19" spans="1:15" ht="15.75" customHeight="1" x14ac:dyDescent="0.2">
      <c r="A19" s="565">
        <v>13</v>
      </c>
      <c r="B19" s="253">
        <v>13</v>
      </c>
      <c r="C19" s="563" t="s">
        <v>17</v>
      </c>
      <c r="D19" s="918">
        <f>VLOOKUP($A19,'[9]MFP LEAs'!$A$7:$E$139,4,FALSE)</f>
        <v>98.46480204108201</v>
      </c>
      <c r="E19" s="894">
        <f t="shared" si="0"/>
        <v>98465</v>
      </c>
      <c r="F19" s="894">
        <f t="shared" si="1"/>
        <v>25601</v>
      </c>
      <c r="G19" s="919">
        <f t="shared" si="5"/>
        <v>124066</v>
      </c>
      <c r="H19" s="918">
        <f>VLOOKUP($A19,'[9]MFP LEAs'!$A$7:$E$139,5,FALSE)</f>
        <v>113.63105162286901</v>
      </c>
      <c r="I19" s="894">
        <f t="shared" si="2"/>
        <v>56816</v>
      </c>
      <c r="J19" s="894">
        <f t="shared" si="3"/>
        <v>16704</v>
      </c>
      <c r="K19" s="920">
        <f t="shared" si="6"/>
        <v>73520</v>
      </c>
      <c r="L19" s="918">
        <f t="shared" si="4"/>
        <v>212.095853663951</v>
      </c>
      <c r="M19" s="894">
        <f t="shared" si="4"/>
        <v>155281</v>
      </c>
      <c r="N19" s="894">
        <f t="shared" si="4"/>
        <v>42305</v>
      </c>
      <c r="O19" s="921">
        <f t="shared" si="4"/>
        <v>197586</v>
      </c>
    </row>
    <row r="20" spans="1:15" ht="15.75" customHeight="1" x14ac:dyDescent="0.2">
      <c r="A20" s="565">
        <v>14</v>
      </c>
      <c r="B20" s="253">
        <v>14</v>
      </c>
      <c r="C20" s="563" t="s">
        <v>18</v>
      </c>
      <c r="D20" s="918">
        <f>VLOOKUP($A20,'[9]MFP LEAs'!$A$7:$E$139,4,FALSE)</f>
        <v>141.31078646684702</v>
      </c>
      <c r="E20" s="894">
        <f t="shared" si="0"/>
        <v>141311</v>
      </c>
      <c r="F20" s="894">
        <f t="shared" si="1"/>
        <v>36741</v>
      </c>
      <c r="G20" s="919">
        <f t="shared" si="5"/>
        <v>178052</v>
      </c>
      <c r="H20" s="918">
        <f>VLOOKUP($A20,'[9]MFP LEAs'!$A$7:$E$139,5,FALSE)</f>
        <v>137.689213533106</v>
      </c>
      <c r="I20" s="894">
        <f t="shared" si="2"/>
        <v>68845</v>
      </c>
      <c r="J20" s="894">
        <f t="shared" si="3"/>
        <v>20240</v>
      </c>
      <c r="K20" s="920">
        <f t="shared" si="6"/>
        <v>89085</v>
      </c>
      <c r="L20" s="918">
        <f t="shared" si="4"/>
        <v>278.99999999995305</v>
      </c>
      <c r="M20" s="894">
        <f t="shared" si="4"/>
        <v>210156</v>
      </c>
      <c r="N20" s="894">
        <f t="shared" si="4"/>
        <v>56981</v>
      </c>
      <c r="O20" s="921">
        <f t="shared" si="4"/>
        <v>267137</v>
      </c>
    </row>
    <row r="21" spans="1:15" ht="15.75" customHeight="1" x14ac:dyDescent="0.2">
      <c r="A21" s="853">
        <v>15</v>
      </c>
      <c r="B21" s="567">
        <v>15</v>
      </c>
      <c r="C21" s="923" t="s">
        <v>19</v>
      </c>
      <c r="D21" s="924">
        <f>VLOOKUP($A21,'[9]MFP LEAs'!$A$7:$E$139,4,FALSE)</f>
        <v>306.26568582171797</v>
      </c>
      <c r="E21" s="925">
        <f t="shared" si="0"/>
        <v>306266</v>
      </c>
      <c r="F21" s="925">
        <f t="shared" si="1"/>
        <v>79629</v>
      </c>
      <c r="G21" s="926">
        <f t="shared" si="5"/>
        <v>385895</v>
      </c>
      <c r="H21" s="924">
        <f>VLOOKUP($A21,'[9]MFP LEAs'!$A$7:$E$139,5,FALSE)</f>
        <v>210.38066377285799</v>
      </c>
      <c r="I21" s="925">
        <f t="shared" si="2"/>
        <v>105190</v>
      </c>
      <c r="J21" s="925">
        <f t="shared" si="3"/>
        <v>30926</v>
      </c>
      <c r="K21" s="927">
        <f t="shared" si="6"/>
        <v>136116</v>
      </c>
      <c r="L21" s="924">
        <f t="shared" si="4"/>
        <v>516.6463495945759</v>
      </c>
      <c r="M21" s="925">
        <f t="shared" si="4"/>
        <v>411456</v>
      </c>
      <c r="N21" s="925">
        <f t="shared" si="4"/>
        <v>110555</v>
      </c>
      <c r="O21" s="928">
        <f t="shared" si="4"/>
        <v>522011</v>
      </c>
    </row>
    <row r="22" spans="1:15" ht="15.75" customHeight="1" x14ac:dyDescent="0.2">
      <c r="A22" s="559">
        <v>16</v>
      </c>
      <c r="B22" s="912">
        <v>16</v>
      </c>
      <c r="C22" s="913" t="s">
        <v>20</v>
      </c>
      <c r="D22" s="914">
        <f>VLOOKUP($A22,'[9]MFP LEAs'!$A$7:$E$139,4,FALSE)</f>
        <v>415</v>
      </c>
      <c r="E22" s="893">
        <f t="shared" si="0"/>
        <v>415000</v>
      </c>
      <c r="F22" s="893">
        <f t="shared" si="1"/>
        <v>107900</v>
      </c>
      <c r="G22" s="915">
        <f t="shared" si="5"/>
        <v>522900</v>
      </c>
      <c r="H22" s="914">
        <f>VLOOKUP($A22,'[9]MFP LEAs'!$A$7:$E$139,5,FALSE)</f>
        <v>331</v>
      </c>
      <c r="I22" s="893">
        <f t="shared" si="2"/>
        <v>165500</v>
      </c>
      <c r="J22" s="893">
        <f t="shared" si="3"/>
        <v>48657</v>
      </c>
      <c r="K22" s="916">
        <f t="shared" si="6"/>
        <v>214157</v>
      </c>
      <c r="L22" s="914">
        <f t="shared" si="4"/>
        <v>746</v>
      </c>
      <c r="M22" s="893">
        <f t="shared" si="4"/>
        <v>580500</v>
      </c>
      <c r="N22" s="893">
        <f t="shared" si="4"/>
        <v>156557</v>
      </c>
      <c r="O22" s="917">
        <f t="shared" si="4"/>
        <v>737057</v>
      </c>
    </row>
    <row r="23" spans="1:15" ht="15.75" customHeight="1" x14ac:dyDescent="0.2">
      <c r="A23" s="42">
        <v>17</v>
      </c>
      <c r="B23" s="253">
        <v>17</v>
      </c>
      <c r="C23" s="563" t="s">
        <v>21</v>
      </c>
      <c r="D23" s="929">
        <f>VLOOKUP($A23,'[9]MFP LEAs'!$A$7:$E$139,4,FALSE)</f>
        <v>3747.6173646599354</v>
      </c>
      <c r="E23" s="930">
        <f t="shared" si="0"/>
        <v>3747617</v>
      </c>
      <c r="F23" s="930">
        <f t="shared" si="1"/>
        <v>974380</v>
      </c>
      <c r="G23" s="919">
        <f t="shared" si="5"/>
        <v>4721997</v>
      </c>
      <c r="H23" s="929">
        <f>VLOOKUP($A23,'[9]MFP LEAs'!$A$7:$E$139,5,FALSE)</f>
        <v>2292.0833333279984</v>
      </c>
      <c r="I23" s="930">
        <f t="shared" si="2"/>
        <v>1146042</v>
      </c>
      <c r="J23" s="930">
        <f t="shared" si="3"/>
        <v>336936</v>
      </c>
      <c r="K23" s="920">
        <f t="shared" si="6"/>
        <v>1482978</v>
      </c>
      <c r="L23" s="929">
        <f t="shared" si="4"/>
        <v>6039.7006979879334</v>
      </c>
      <c r="M23" s="930">
        <f t="shared" si="4"/>
        <v>4893659</v>
      </c>
      <c r="N23" s="930">
        <f t="shared" si="4"/>
        <v>1311316</v>
      </c>
      <c r="O23" s="921">
        <f t="shared" si="4"/>
        <v>6204975</v>
      </c>
    </row>
    <row r="24" spans="1:15" ht="15.75" customHeight="1" x14ac:dyDescent="0.2">
      <c r="A24" s="565">
        <v>18</v>
      </c>
      <c r="B24" s="253">
        <v>18</v>
      </c>
      <c r="C24" s="563" t="s">
        <v>22</v>
      </c>
      <c r="D24" s="929">
        <f>VLOOKUP($A24,'[9]MFP LEAs'!$A$7:$E$139,4,FALSE)</f>
        <v>76.924487015249994</v>
      </c>
      <c r="E24" s="930">
        <f t="shared" si="0"/>
        <v>76924</v>
      </c>
      <c r="F24" s="930">
        <f t="shared" si="1"/>
        <v>20000</v>
      </c>
      <c r="G24" s="919">
        <f t="shared" si="5"/>
        <v>96924</v>
      </c>
      <c r="H24" s="929">
        <f>VLOOKUP($A24,'[9]MFP LEAs'!$A$7:$E$139,5,FALSE)</f>
        <v>68.877508012807994</v>
      </c>
      <c r="I24" s="930">
        <f t="shared" si="2"/>
        <v>34439</v>
      </c>
      <c r="J24" s="930">
        <f t="shared" si="3"/>
        <v>10125</v>
      </c>
      <c r="K24" s="920">
        <f t="shared" si="6"/>
        <v>44564</v>
      </c>
      <c r="L24" s="929">
        <f t="shared" si="4"/>
        <v>145.801995028058</v>
      </c>
      <c r="M24" s="930">
        <f t="shared" si="4"/>
        <v>111363</v>
      </c>
      <c r="N24" s="930">
        <f t="shared" si="4"/>
        <v>30125</v>
      </c>
      <c r="O24" s="921">
        <f t="shared" si="4"/>
        <v>141488</v>
      </c>
    </row>
    <row r="25" spans="1:15" ht="15.75" customHeight="1" x14ac:dyDescent="0.2">
      <c r="A25" s="565">
        <v>19</v>
      </c>
      <c r="B25" s="253">
        <v>19</v>
      </c>
      <c r="C25" s="563" t="s">
        <v>23</v>
      </c>
      <c r="D25" s="929">
        <f>VLOOKUP($A25,'[9]MFP LEAs'!$A$7:$E$139,4,FALSE)</f>
        <v>175</v>
      </c>
      <c r="E25" s="930">
        <f t="shared" si="0"/>
        <v>175000</v>
      </c>
      <c r="F25" s="930">
        <f t="shared" si="1"/>
        <v>45500</v>
      </c>
      <c r="G25" s="919">
        <f t="shared" si="5"/>
        <v>220500</v>
      </c>
      <c r="H25" s="929">
        <f>VLOOKUP($A25,'[9]MFP LEAs'!$A$7:$E$139,5,FALSE)</f>
        <v>114.25</v>
      </c>
      <c r="I25" s="930">
        <f t="shared" si="2"/>
        <v>57125</v>
      </c>
      <c r="J25" s="930">
        <f t="shared" si="3"/>
        <v>16795</v>
      </c>
      <c r="K25" s="920">
        <f t="shared" si="6"/>
        <v>73920</v>
      </c>
      <c r="L25" s="929">
        <f t="shared" si="4"/>
        <v>289.25</v>
      </c>
      <c r="M25" s="930">
        <f t="shared" si="4"/>
        <v>232125</v>
      </c>
      <c r="N25" s="930">
        <f t="shared" si="4"/>
        <v>62295</v>
      </c>
      <c r="O25" s="921">
        <f t="shared" si="4"/>
        <v>294420</v>
      </c>
    </row>
    <row r="26" spans="1:15" ht="15.75" customHeight="1" x14ac:dyDescent="0.2">
      <c r="A26" s="853">
        <v>20</v>
      </c>
      <c r="B26" s="567">
        <v>20</v>
      </c>
      <c r="C26" s="923" t="s">
        <v>24</v>
      </c>
      <c r="D26" s="931">
        <f>VLOOKUP($A26,'[9]MFP LEAs'!$A$7:$E$139,4,FALSE)</f>
        <v>465.96998691698303</v>
      </c>
      <c r="E26" s="932">
        <f t="shared" si="0"/>
        <v>465970</v>
      </c>
      <c r="F26" s="932">
        <f t="shared" si="1"/>
        <v>121152</v>
      </c>
      <c r="G26" s="926">
        <f t="shared" si="5"/>
        <v>587122</v>
      </c>
      <c r="H26" s="931">
        <f>VLOOKUP($A26,'[9]MFP LEAs'!$A$7:$E$139,5,FALSE)</f>
        <v>261.60000000000002</v>
      </c>
      <c r="I26" s="932">
        <f t="shared" si="2"/>
        <v>130800</v>
      </c>
      <c r="J26" s="932">
        <f t="shared" si="3"/>
        <v>38455</v>
      </c>
      <c r="K26" s="927">
        <f t="shared" si="6"/>
        <v>169255</v>
      </c>
      <c r="L26" s="931">
        <f t="shared" si="4"/>
        <v>727.569986916983</v>
      </c>
      <c r="M26" s="932">
        <f t="shared" si="4"/>
        <v>596770</v>
      </c>
      <c r="N26" s="932">
        <f t="shared" si="4"/>
        <v>159607</v>
      </c>
      <c r="O26" s="928">
        <f t="shared" si="4"/>
        <v>756377</v>
      </c>
    </row>
    <row r="27" spans="1:15" ht="15.75" customHeight="1" x14ac:dyDescent="0.2">
      <c r="A27" s="559">
        <v>21</v>
      </c>
      <c r="B27" s="912">
        <v>21</v>
      </c>
      <c r="C27" s="913" t="s">
        <v>25</v>
      </c>
      <c r="D27" s="933">
        <f>VLOOKUP($A27,'[9]MFP LEAs'!$A$7:$E$139,4,FALSE)</f>
        <v>250.59211904758899</v>
      </c>
      <c r="E27" s="934">
        <f t="shared" si="0"/>
        <v>250592</v>
      </c>
      <c r="F27" s="934">
        <f t="shared" si="1"/>
        <v>65154</v>
      </c>
      <c r="G27" s="915">
        <f t="shared" si="5"/>
        <v>315746</v>
      </c>
      <c r="H27" s="933">
        <f>VLOOKUP($A27,'[9]MFP LEAs'!$A$7:$E$139,5,FALSE)</f>
        <v>213.59549726326301</v>
      </c>
      <c r="I27" s="934">
        <f t="shared" si="2"/>
        <v>106798</v>
      </c>
      <c r="J27" s="934">
        <f t="shared" si="3"/>
        <v>31399</v>
      </c>
      <c r="K27" s="916">
        <f t="shared" si="6"/>
        <v>138197</v>
      </c>
      <c r="L27" s="933">
        <f t="shared" si="4"/>
        <v>464.18761631085204</v>
      </c>
      <c r="M27" s="934">
        <f t="shared" si="4"/>
        <v>357390</v>
      </c>
      <c r="N27" s="934">
        <f t="shared" si="4"/>
        <v>96553</v>
      </c>
      <c r="O27" s="917">
        <f t="shared" si="4"/>
        <v>453943</v>
      </c>
    </row>
    <row r="28" spans="1:15" ht="15.75" customHeight="1" x14ac:dyDescent="0.2">
      <c r="A28" s="42">
        <v>22</v>
      </c>
      <c r="B28" s="253">
        <v>22</v>
      </c>
      <c r="C28" s="563" t="s">
        <v>26</v>
      </c>
      <c r="D28" s="929">
        <f>VLOOKUP($A28,'[9]MFP LEAs'!$A$7:$E$139,4,FALSE)</f>
        <v>253.52069855294903</v>
      </c>
      <c r="E28" s="930">
        <f t="shared" si="0"/>
        <v>253521</v>
      </c>
      <c r="F28" s="930">
        <f t="shared" si="1"/>
        <v>65915</v>
      </c>
      <c r="G28" s="919">
        <f t="shared" si="5"/>
        <v>319436</v>
      </c>
      <c r="H28" s="929">
        <f>VLOOKUP($A28,'[9]MFP LEAs'!$A$7:$E$139,5,FALSE)</f>
        <v>161.30324207197702</v>
      </c>
      <c r="I28" s="930">
        <f t="shared" si="2"/>
        <v>80652</v>
      </c>
      <c r="J28" s="930">
        <f t="shared" si="3"/>
        <v>23712</v>
      </c>
      <c r="K28" s="920">
        <f t="shared" si="6"/>
        <v>104364</v>
      </c>
      <c r="L28" s="929">
        <f t="shared" si="4"/>
        <v>414.82394062492608</v>
      </c>
      <c r="M28" s="930">
        <f t="shared" si="4"/>
        <v>334173</v>
      </c>
      <c r="N28" s="930">
        <f t="shared" si="4"/>
        <v>89627</v>
      </c>
      <c r="O28" s="921">
        <f t="shared" si="4"/>
        <v>423800</v>
      </c>
    </row>
    <row r="29" spans="1:15" ht="15.75" customHeight="1" x14ac:dyDescent="0.2">
      <c r="A29" s="565">
        <v>23</v>
      </c>
      <c r="B29" s="253">
        <v>23</v>
      </c>
      <c r="C29" s="563" t="s">
        <v>27</v>
      </c>
      <c r="D29" s="929">
        <f>VLOOKUP($A29,'[9]MFP LEAs'!$A$7:$E$139,4,FALSE)</f>
        <v>1042.280308941936</v>
      </c>
      <c r="E29" s="930">
        <f t="shared" si="0"/>
        <v>1042280</v>
      </c>
      <c r="F29" s="930">
        <f t="shared" si="1"/>
        <v>270993</v>
      </c>
      <c r="G29" s="919">
        <f t="shared" si="5"/>
        <v>1313273</v>
      </c>
      <c r="H29" s="929">
        <f>VLOOKUP($A29,'[9]MFP LEAs'!$A$7:$E$139,5,FALSE)</f>
        <v>609.24158917600005</v>
      </c>
      <c r="I29" s="930">
        <f t="shared" si="2"/>
        <v>304621</v>
      </c>
      <c r="J29" s="930">
        <f t="shared" si="3"/>
        <v>89559</v>
      </c>
      <c r="K29" s="920">
        <f t="shared" si="6"/>
        <v>394180</v>
      </c>
      <c r="L29" s="929">
        <f t="shared" si="4"/>
        <v>1651.521898117936</v>
      </c>
      <c r="M29" s="930">
        <f t="shared" si="4"/>
        <v>1346901</v>
      </c>
      <c r="N29" s="930">
        <f t="shared" si="4"/>
        <v>360552</v>
      </c>
      <c r="O29" s="921">
        <f t="shared" si="4"/>
        <v>1707453</v>
      </c>
    </row>
    <row r="30" spans="1:15" ht="15.75" customHeight="1" x14ac:dyDescent="0.2">
      <c r="A30" s="565">
        <v>24</v>
      </c>
      <c r="B30" s="253">
        <v>24</v>
      </c>
      <c r="C30" s="563" t="s">
        <v>28</v>
      </c>
      <c r="D30" s="929">
        <f>VLOOKUP($A30,'[9]MFP LEAs'!$A$7:$E$139,4,FALSE)</f>
        <v>441</v>
      </c>
      <c r="E30" s="930">
        <f t="shared" si="0"/>
        <v>441000</v>
      </c>
      <c r="F30" s="930">
        <f t="shared" si="1"/>
        <v>114660</v>
      </c>
      <c r="G30" s="919">
        <f t="shared" si="5"/>
        <v>555660</v>
      </c>
      <c r="H30" s="929">
        <f>VLOOKUP($A30,'[9]MFP LEAs'!$A$7:$E$139,5,FALSE)</f>
        <v>330</v>
      </c>
      <c r="I30" s="930">
        <f t="shared" si="2"/>
        <v>165000</v>
      </c>
      <c r="J30" s="930">
        <f t="shared" si="3"/>
        <v>48510</v>
      </c>
      <c r="K30" s="920">
        <f t="shared" si="6"/>
        <v>213510</v>
      </c>
      <c r="L30" s="929">
        <f t="shared" si="4"/>
        <v>771</v>
      </c>
      <c r="M30" s="930">
        <f t="shared" si="4"/>
        <v>606000</v>
      </c>
      <c r="N30" s="930">
        <f t="shared" si="4"/>
        <v>163170</v>
      </c>
      <c r="O30" s="921">
        <f t="shared" si="4"/>
        <v>769170</v>
      </c>
    </row>
    <row r="31" spans="1:15" ht="15.75" customHeight="1" x14ac:dyDescent="0.2">
      <c r="A31" s="853">
        <v>25</v>
      </c>
      <c r="B31" s="567">
        <v>25</v>
      </c>
      <c r="C31" s="923" t="s">
        <v>29</v>
      </c>
      <c r="D31" s="931">
        <f>VLOOKUP($A31,'[9]MFP LEAs'!$A$7:$E$139,4,FALSE)</f>
        <v>191.61484266151501</v>
      </c>
      <c r="E31" s="932">
        <f t="shared" si="0"/>
        <v>191615</v>
      </c>
      <c r="F31" s="932">
        <f t="shared" si="1"/>
        <v>49820</v>
      </c>
      <c r="G31" s="926">
        <f t="shared" si="5"/>
        <v>241435</v>
      </c>
      <c r="H31" s="931">
        <f>VLOOKUP($A31,'[9]MFP LEAs'!$A$7:$E$139,5,FALSE)</f>
        <v>140.99999999999901</v>
      </c>
      <c r="I31" s="932">
        <f t="shared" si="2"/>
        <v>70500</v>
      </c>
      <c r="J31" s="932">
        <f t="shared" si="3"/>
        <v>20727</v>
      </c>
      <c r="K31" s="927">
        <f t="shared" si="6"/>
        <v>91227</v>
      </c>
      <c r="L31" s="931">
        <f t="shared" si="4"/>
        <v>332.61484266151399</v>
      </c>
      <c r="M31" s="932">
        <f t="shared" si="4"/>
        <v>262115</v>
      </c>
      <c r="N31" s="932">
        <f t="shared" si="4"/>
        <v>70547</v>
      </c>
      <c r="O31" s="928">
        <f t="shared" si="4"/>
        <v>332662</v>
      </c>
    </row>
    <row r="32" spans="1:15" ht="15.75" customHeight="1" x14ac:dyDescent="0.2">
      <c r="A32" s="559">
        <v>26</v>
      </c>
      <c r="B32" s="912">
        <v>26</v>
      </c>
      <c r="C32" s="913" t="s">
        <v>30</v>
      </c>
      <c r="D32" s="933">
        <f>VLOOKUP($A32,'[9]MFP LEAs'!$A$7:$E$139,4,FALSE)</f>
        <v>4227.7513743139489</v>
      </c>
      <c r="E32" s="934">
        <f t="shared" si="0"/>
        <v>4227751</v>
      </c>
      <c r="F32" s="934">
        <f t="shared" si="1"/>
        <v>1099215</v>
      </c>
      <c r="G32" s="915">
        <f t="shared" si="5"/>
        <v>5326966</v>
      </c>
      <c r="H32" s="933">
        <f>VLOOKUP($A32,'[9]MFP LEAs'!$A$7:$E$139,5,FALSE)</f>
        <v>2570.2750065555929</v>
      </c>
      <c r="I32" s="934">
        <f t="shared" si="2"/>
        <v>1285138</v>
      </c>
      <c r="J32" s="934">
        <f t="shared" si="3"/>
        <v>377831</v>
      </c>
      <c r="K32" s="916">
        <f t="shared" si="6"/>
        <v>1662969</v>
      </c>
      <c r="L32" s="933">
        <f t="shared" si="4"/>
        <v>6798.0263808695418</v>
      </c>
      <c r="M32" s="934">
        <f t="shared" si="4"/>
        <v>5512889</v>
      </c>
      <c r="N32" s="934">
        <f t="shared" si="4"/>
        <v>1477046</v>
      </c>
      <c r="O32" s="917">
        <f t="shared" si="4"/>
        <v>6989935</v>
      </c>
    </row>
    <row r="33" spans="1:15" ht="15.75" customHeight="1" x14ac:dyDescent="0.2">
      <c r="A33" s="565">
        <v>27</v>
      </c>
      <c r="B33" s="253">
        <v>27</v>
      </c>
      <c r="C33" s="563" t="s">
        <v>31</v>
      </c>
      <c r="D33" s="929">
        <f>VLOOKUP($A33,'[9]MFP LEAs'!$A$7:$E$139,4,FALSE)</f>
        <v>435.53942006647202</v>
      </c>
      <c r="E33" s="930">
        <f t="shared" si="0"/>
        <v>435539</v>
      </c>
      <c r="F33" s="930">
        <f t="shared" si="1"/>
        <v>113240</v>
      </c>
      <c r="G33" s="919">
        <f t="shared" si="5"/>
        <v>548779</v>
      </c>
      <c r="H33" s="929">
        <f>VLOOKUP($A33,'[9]MFP LEAs'!$A$7:$E$139,5,FALSE)</f>
        <v>328.84061058149905</v>
      </c>
      <c r="I33" s="930">
        <f t="shared" si="2"/>
        <v>164420</v>
      </c>
      <c r="J33" s="930">
        <f t="shared" si="3"/>
        <v>48339</v>
      </c>
      <c r="K33" s="920">
        <f t="shared" si="6"/>
        <v>212759</v>
      </c>
      <c r="L33" s="929">
        <f t="shared" si="4"/>
        <v>764.38003064797113</v>
      </c>
      <c r="M33" s="930">
        <f t="shared" si="4"/>
        <v>599959</v>
      </c>
      <c r="N33" s="930">
        <f t="shared" si="4"/>
        <v>161579</v>
      </c>
      <c r="O33" s="921">
        <f t="shared" si="4"/>
        <v>761538</v>
      </c>
    </row>
    <row r="34" spans="1:15" ht="15.75" customHeight="1" x14ac:dyDescent="0.2">
      <c r="A34" s="565">
        <v>28</v>
      </c>
      <c r="B34" s="253">
        <v>28</v>
      </c>
      <c r="C34" s="563" t="s">
        <v>32</v>
      </c>
      <c r="D34" s="929">
        <f>VLOOKUP($A34,'[9]MFP LEAs'!$A$7:$E$139,4,FALSE)</f>
        <v>2456</v>
      </c>
      <c r="E34" s="930">
        <f t="shared" si="0"/>
        <v>2456000</v>
      </c>
      <c r="F34" s="930">
        <f t="shared" si="1"/>
        <v>638560</v>
      </c>
      <c r="G34" s="919">
        <f t="shared" si="5"/>
        <v>3094560</v>
      </c>
      <c r="H34" s="929">
        <f>VLOOKUP($A34,'[9]MFP LEAs'!$A$7:$E$139,5,FALSE)</f>
        <v>1778</v>
      </c>
      <c r="I34" s="930">
        <f t="shared" si="2"/>
        <v>889000</v>
      </c>
      <c r="J34" s="930">
        <f t="shared" si="3"/>
        <v>261366</v>
      </c>
      <c r="K34" s="920">
        <f t="shared" si="6"/>
        <v>1150366</v>
      </c>
      <c r="L34" s="929">
        <f t="shared" si="4"/>
        <v>4234</v>
      </c>
      <c r="M34" s="930">
        <f t="shared" si="4"/>
        <v>3345000</v>
      </c>
      <c r="N34" s="930">
        <f t="shared" si="4"/>
        <v>899926</v>
      </c>
      <c r="O34" s="921">
        <f t="shared" si="4"/>
        <v>4244926</v>
      </c>
    </row>
    <row r="35" spans="1:15" ht="15.75" customHeight="1" x14ac:dyDescent="0.2">
      <c r="A35" s="565">
        <v>29</v>
      </c>
      <c r="B35" s="253">
        <v>29</v>
      </c>
      <c r="C35" s="563" t="s">
        <v>33</v>
      </c>
      <c r="D35" s="929">
        <f>VLOOKUP($A35,'[9]MFP LEAs'!$A$7:$E$139,4,FALSE)</f>
        <v>1076.2583043410812</v>
      </c>
      <c r="E35" s="930">
        <f t="shared" si="0"/>
        <v>1076258</v>
      </c>
      <c r="F35" s="930">
        <f t="shared" si="1"/>
        <v>279827</v>
      </c>
      <c r="G35" s="919">
        <f t="shared" si="5"/>
        <v>1356085</v>
      </c>
      <c r="H35" s="929">
        <f>VLOOKUP($A35,'[9]MFP LEAs'!$A$7:$E$139,5,FALSE)</f>
        <v>769.65479391001804</v>
      </c>
      <c r="I35" s="930">
        <f t="shared" si="2"/>
        <v>384827</v>
      </c>
      <c r="J35" s="930">
        <f t="shared" si="3"/>
        <v>113139</v>
      </c>
      <c r="K35" s="920">
        <f t="shared" si="6"/>
        <v>497966</v>
      </c>
      <c r="L35" s="929">
        <f t="shared" si="4"/>
        <v>1845.9130982510992</v>
      </c>
      <c r="M35" s="930">
        <f t="shared" si="4"/>
        <v>1461085</v>
      </c>
      <c r="N35" s="930">
        <f t="shared" si="4"/>
        <v>392966</v>
      </c>
      <c r="O35" s="921">
        <f t="shared" si="4"/>
        <v>1854051</v>
      </c>
    </row>
    <row r="36" spans="1:15" ht="15.75" customHeight="1" x14ac:dyDescent="0.2">
      <c r="A36" s="853">
        <v>30</v>
      </c>
      <c r="B36" s="567">
        <v>30</v>
      </c>
      <c r="C36" s="923" t="s">
        <v>34</v>
      </c>
      <c r="D36" s="931">
        <f>VLOOKUP($A36,'[9]MFP LEAs'!$A$7:$E$139,4,FALSE)</f>
        <v>212.19687561901097</v>
      </c>
      <c r="E36" s="932">
        <f t="shared" si="0"/>
        <v>212197</v>
      </c>
      <c r="F36" s="932">
        <f t="shared" si="1"/>
        <v>55171</v>
      </c>
      <c r="G36" s="926">
        <f t="shared" si="5"/>
        <v>267368</v>
      </c>
      <c r="H36" s="931">
        <f>VLOOKUP($A36,'[9]MFP LEAs'!$A$7:$E$139,5,FALSE)</f>
        <v>164.80661275301202</v>
      </c>
      <c r="I36" s="932">
        <f t="shared" si="2"/>
        <v>82403</v>
      </c>
      <c r="J36" s="932">
        <f t="shared" si="3"/>
        <v>24226</v>
      </c>
      <c r="K36" s="927">
        <f t="shared" si="6"/>
        <v>106629</v>
      </c>
      <c r="L36" s="931">
        <f t="shared" si="4"/>
        <v>377.00348837202296</v>
      </c>
      <c r="M36" s="932">
        <f t="shared" si="4"/>
        <v>294600</v>
      </c>
      <c r="N36" s="932">
        <f t="shared" si="4"/>
        <v>79397</v>
      </c>
      <c r="O36" s="928">
        <f t="shared" si="4"/>
        <v>373997</v>
      </c>
    </row>
    <row r="37" spans="1:15" ht="15.75" customHeight="1" x14ac:dyDescent="0.2">
      <c r="A37" s="559">
        <v>31</v>
      </c>
      <c r="B37" s="912">
        <v>31</v>
      </c>
      <c r="C37" s="913" t="s">
        <v>35</v>
      </c>
      <c r="D37" s="933">
        <f>VLOOKUP($A37,'[9]MFP LEAs'!$A$7:$E$139,4,FALSE)</f>
        <v>540.49999999997794</v>
      </c>
      <c r="E37" s="934">
        <f t="shared" si="0"/>
        <v>540500</v>
      </c>
      <c r="F37" s="934">
        <f t="shared" si="1"/>
        <v>140530</v>
      </c>
      <c r="G37" s="915">
        <f t="shared" si="5"/>
        <v>681030</v>
      </c>
      <c r="H37" s="933">
        <f>VLOOKUP($A37,'[9]MFP LEAs'!$A$7:$E$139,5,FALSE)</f>
        <v>272.49999999999903</v>
      </c>
      <c r="I37" s="934">
        <f t="shared" si="2"/>
        <v>136250</v>
      </c>
      <c r="J37" s="934">
        <f t="shared" si="3"/>
        <v>40058</v>
      </c>
      <c r="K37" s="916">
        <f t="shared" si="6"/>
        <v>176308</v>
      </c>
      <c r="L37" s="933">
        <f t="shared" si="4"/>
        <v>812.99999999997704</v>
      </c>
      <c r="M37" s="934">
        <f t="shared" si="4"/>
        <v>676750</v>
      </c>
      <c r="N37" s="934">
        <f t="shared" si="4"/>
        <v>180588</v>
      </c>
      <c r="O37" s="917">
        <f t="shared" si="4"/>
        <v>857338</v>
      </c>
    </row>
    <row r="38" spans="1:15" ht="15.75" customHeight="1" x14ac:dyDescent="0.2">
      <c r="A38" s="565">
        <v>32</v>
      </c>
      <c r="B38" s="253">
        <v>32</v>
      </c>
      <c r="C38" s="563" t="s">
        <v>36</v>
      </c>
      <c r="D38" s="929">
        <f>VLOOKUP($A38,'[9]MFP LEAs'!$A$7:$E$139,4,FALSE)</f>
        <v>2007.7907717417722</v>
      </c>
      <c r="E38" s="930">
        <f t="shared" si="0"/>
        <v>2007791</v>
      </c>
      <c r="F38" s="930">
        <f t="shared" si="1"/>
        <v>522026</v>
      </c>
      <c r="G38" s="919">
        <f t="shared" si="5"/>
        <v>2529817</v>
      </c>
      <c r="H38" s="929">
        <f>VLOOKUP($A38,'[9]MFP LEAs'!$A$7:$E$139,5,FALSE)</f>
        <v>1515.946591194931</v>
      </c>
      <c r="I38" s="930">
        <f t="shared" si="2"/>
        <v>757973</v>
      </c>
      <c r="J38" s="930">
        <f t="shared" si="3"/>
        <v>222844</v>
      </c>
      <c r="K38" s="920">
        <f t="shared" si="6"/>
        <v>980817</v>
      </c>
      <c r="L38" s="929">
        <f t="shared" si="4"/>
        <v>3523.737362936703</v>
      </c>
      <c r="M38" s="930">
        <f t="shared" si="4"/>
        <v>2765764</v>
      </c>
      <c r="N38" s="930">
        <f t="shared" si="4"/>
        <v>744870</v>
      </c>
      <c r="O38" s="921">
        <f t="shared" si="4"/>
        <v>3510634</v>
      </c>
    </row>
    <row r="39" spans="1:15" ht="15.75" customHeight="1" x14ac:dyDescent="0.2">
      <c r="A39" s="565">
        <v>33</v>
      </c>
      <c r="B39" s="253">
        <v>33</v>
      </c>
      <c r="C39" s="563" t="s">
        <v>37</v>
      </c>
      <c r="D39" s="929">
        <f>VLOOKUP($A39,'[9]MFP LEAs'!$A$7:$E$139,4,FALSE)</f>
        <v>97.773237804271005</v>
      </c>
      <c r="E39" s="930">
        <f t="shared" si="0"/>
        <v>97773</v>
      </c>
      <c r="F39" s="930">
        <f t="shared" si="1"/>
        <v>25421</v>
      </c>
      <c r="G39" s="919">
        <f t="shared" si="5"/>
        <v>123194</v>
      </c>
      <c r="H39" s="929">
        <f>VLOOKUP($A39,'[9]MFP LEAs'!$A$7:$E$139,5,FALSE)</f>
        <v>93.000914878983991</v>
      </c>
      <c r="I39" s="930">
        <f t="shared" si="2"/>
        <v>46500</v>
      </c>
      <c r="J39" s="930">
        <f t="shared" si="3"/>
        <v>13671</v>
      </c>
      <c r="K39" s="920">
        <f t="shared" si="6"/>
        <v>60171</v>
      </c>
      <c r="L39" s="929">
        <f t="shared" ref="L39:O75" si="7">D39+H39</f>
        <v>190.77415268325501</v>
      </c>
      <c r="M39" s="930">
        <f t="shared" si="7"/>
        <v>144273</v>
      </c>
      <c r="N39" s="930">
        <f t="shared" si="7"/>
        <v>39092</v>
      </c>
      <c r="O39" s="921">
        <f t="shared" si="7"/>
        <v>183365</v>
      </c>
    </row>
    <row r="40" spans="1:15" ht="15.75" customHeight="1" x14ac:dyDescent="0.2">
      <c r="A40" s="565">
        <v>34</v>
      </c>
      <c r="B40" s="253">
        <v>34</v>
      </c>
      <c r="C40" s="563" t="s">
        <v>38</v>
      </c>
      <c r="D40" s="929">
        <f>VLOOKUP($A40,'[9]MFP LEAs'!$A$7:$E$139,4,FALSE)</f>
        <v>283.827343857578</v>
      </c>
      <c r="E40" s="930">
        <f t="shared" si="0"/>
        <v>283827</v>
      </c>
      <c r="F40" s="930">
        <f t="shared" si="1"/>
        <v>73795</v>
      </c>
      <c r="G40" s="919">
        <f t="shared" si="5"/>
        <v>357622</v>
      </c>
      <c r="H40" s="929">
        <f>VLOOKUP($A40,'[9]MFP LEAs'!$A$7:$E$139,5,FALSE)</f>
        <v>216.978525303346</v>
      </c>
      <c r="I40" s="930">
        <f t="shared" si="2"/>
        <v>108489</v>
      </c>
      <c r="J40" s="930">
        <f t="shared" si="3"/>
        <v>31896</v>
      </c>
      <c r="K40" s="920">
        <f t="shared" si="6"/>
        <v>140385</v>
      </c>
      <c r="L40" s="929">
        <f t="shared" si="7"/>
        <v>500.80586916092398</v>
      </c>
      <c r="M40" s="930">
        <f t="shared" si="7"/>
        <v>392316</v>
      </c>
      <c r="N40" s="930">
        <f t="shared" si="7"/>
        <v>105691</v>
      </c>
      <c r="O40" s="921">
        <f t="shared" si="7"/>
        <v>498007</v>
      </c>
    </row>
    <row r="41" spans="1:15" ht="15.75" customHeight="1" x14ac:dyDescent="0.2">
      <c r="A41" s="853">
        <v>35</v>
      </c>
      <c r="B41" s="567">
        <v>35</v>
      </c>
      <c r="C41" s="923" t="s">
        <v>39</v>
      </c>
      <c r="D41" s="931">
        <f>VLOOKUP($A41,'[9]MFP LEAs'!$A$7:$E$139,4,FALSE)</f>
        <v>545.924035599013</v>
      </c>
      <c r="E41" s="932">
        <f t="shared" si="0"/>
        <v>545924</v>
      </c>
      <c r="F41" s="932">
        <f t="shared" si="1"/>
        <v>141940</v>
      </c>
      <c r="G41" s="926">
        <f t="shared" si="5"/>
        <v>687864</v>
      </c>
      <c r="H41" s="931">
        <f>VLOOKUP($A41,'[9]MFP LEAs'!$A$7:$E$139,5,FALSE)</f>
        <v>221.958401066937</v>
      </c>
      <c r="I41" s="932">
        <f t="shared" si="2"/>
        <v>110979</v>
      </c>
      <c r="J41" s="932">
        <f t="shared" si="3"/>
        <v>32628</v>
      </c>
      <c r="K41" s="927">
        <f t="shared" si="6"/>
        <v>143607</v>
      </c>
      <c r="L41" s="931">
        <f t="shared" si="7"/>
        <v>767.88243666594997</v>
      </c>
      <c r="M41" s="932">
        <f t="shared" si="7"/>
        <v>656903</v>
      </c>
      <c r="N41" s="932">
        <f t="shared" si="7"/>
        <v>174568</v>
      </c>
      <c r="O41" s="928">
        <f t="shared" si="7"/>
        <v>831471</v>
      </c>
    </row>
    <row r="42" spans="1:15" ht="15.75" customHeight="1" x14ac:dyDescent="0.2">
      <c r="A42" s="559">
        <v>36</v>
      </c>
      <c r="B42" s="912">
        <v>36</v>
      </c>
      <c r="C42" s="913" t="s">
        <v>40</v>
      </c>
      <c r="D42" s="933">
        <f>VLOOKUP($A42,'[9]MFP LEAs'!$A$7:$E$139,4,FALSE)</f>
        <v>4022.661845997834</v>
      </c>
      <c r="E42" s="934">
        <f t="shared" si="0"/>
        <v>4022662</v>
      </c>
      <c r="F42" s="934">
        <f t="shared" si="1"/>
        <v>1045892</v>
      </c>
      <c r="G42" s="915">
        <f t="shared" si="5"/>
        <v>5068554</v>
      </c>
      <c r="H42" s="933">
        <f>VLOOKUP($A42,'[9]MFP LEAs'!$A$7:$E$139,5,FALSE)</f>
        <v>2104.6466203950695</v>
      </c>
      <c r="I42" s="934">
        <f t="shared" si="2"/>
        <v>1052323</v>
      </c>
      <c r="J42" s="934">
        <f t="shared" si="3"/>
        <v>309383</v>
      </c>
      <c r="K42" s="916">
        <f t="shared" si="6"/>
        <v>1361706</v>
      </c>
      <c r="L42" s="933">
        <f t="shared" si="7"/>
        <v>6127.3084663929039</v>
      </c>
      <c r="M42" s="934">
        <f t="shared" si="7"/>
        <v>5074985</v>
      </c>
      <c r="N42" s="934">
        <f t="shared" si="7"/>
        <v>1355275</v>
      </c>
      <c r="O42" s="917">
        <f t="shared" si="7"/>
        <v>6430260</v>
      </c>
    </row>
    <row r="43" spans="1:15" ht="15.75" customHeight="1" x14ac:dyDescent="0.2">
      <c r="A43" s="565">
        <v>37</v>
      </c>
      <c r="B43" s="253">
        <v>37</v>
      </c>
      <c r="C43" s="563" t="s">
        <v>41</v>
      </c>
      <c r="D43" s="929">
        <f>VLOOKUP($A43,'[9]MFP LEAs'!$A$7:$E$139,4,FALSE)</f>
        <v>1583.4056776539289</v>
      </c>
      <c r="E43" s="930">
        <f t="shared" si="0"/>
        <v>1583406</v>
      </c>
      <c r="F43" s="930">
        <f t="shared" si="1"/>
        <v>411686</v>
      </c>
      <c r="G43" s="919">
        <f t="shared" si="5"/>
        <v>1995092</v>
      </c>
      <c r="H43" s="929">
        <f>VLOOKUP($A43,'[9]MFP LEAs'!$A$7:$E$139,5,FALSE)</f>
        <v>1321.9031646869801</v>
      </c>
      <c r="I43" s="930">
        <f t="shared" si="2"/>
        <v>660952</v>
      </c>
      <c r="J43" s="930">
        <f t="shared" si="3"/>
        <v>194320</v>
      </c>
      <c r="K43" s="920">
        <f t="shared" si="6"/>
        <v>855272</v>
      </c>
      <c r="L43" s="929">
        <f t="shared" si="7"/>
        <v>2905.308842340909</v>
      </c>
      <c r="M43" s="930">
        <f t="shared" si="7"/>
        <v>2244358</v>
      </c>
      <c r="N43" s="930">
        <f t="shared" si="7"/>
        <v>606006</v>
      </c>
      <c r="O43" s="921">
        <f t="shared" si="7"/>
        <v>2850364</v>
      </c>
    </row>
    <row r="44" spans="1:15" ht="15.75" customHeight="1" x14ac:dyDescent="0.2">
      <c r="A44" s="565">
        <v>38</v>
      </c>
      <c r="B44" s="253">
        <v>38</v>
      </c>
      <c r="C44" s="563" t="s">
        <v>42</v>
      </c>
      <c r="D44" s="929">
        <f>VLOOKUP($A44,'[9]MFP LEAs'!$A$7:$E$139,4,FALSE)</f>
        <v>338.98501234800005</v>
      </c>
      <c r="E44" s="930">
        <f t="shared" si="0"/>
        <v>338985</v>
      </c>
      <c r="F44" s="930">
        <f t="shared" si="1"/>
        <v>88136</v>
      </c>
      <c r="G44" s="919">
        <f t="shared" si="5"/>
        <v>427121</v>
      </c>
      <c r="H44" s="929">
        <f>VLOOKUP($A44,'[9]MFP LEAs'!$A$7:$E$139,5,FALSE)</f>
        <v>275.34759441100005</v>
      </c>
      <c r="I44" s="930">
        <f t="shared" si="2"/>
        <v>137674</v>
      </c>
      <c r="J44" s="930">
        <f t="shared" si="3"/>
        <v>40476</v>
      </c>
      <c r="K44" s="920">
        <f t="shared" si="6"/>
        <v>178150</v>
      </c>
      <c r="L44" s="929">
        <f t="shared" si="7"/>
        <v>614.3326067590001</v>
      </c>
      <c r="M44" s="930">
        <f t="shared" si="7"/>
        <v>476659</v>
      </c>
      <c r="N44" s="930">
        <f t="shared" si="7"/>
        <v>128612</v>
      </c>
      <c r="O44" s="921">
        <f t="shared" si="7"/>
        <v>605271</v>
      </c>
    </row>
    <row r="45" spans="1:15" ht="15.75" customHeight="1" x14ac:dyDescent="0.2">
      <c r="A45" s="565">
        <v>39</v>
      </c>
      <c r="B45" s="253">
        <v>39</v>
      </c>
      <c r="C45" s="563" t="s">
        <v>43</v>
      </c>
      <c r="D45" s="929">
        <f>VLOOKUP($A45,'[9]MFP LEAs'!$A$7:$E$139,4,FALSE)</f>
        <v>203.999450548997</v>
      </c>
      <c r="E45" s="930">
        <f t="shared" si="0"/>
        <v>203999</v>
      </c>
      <c r="F45" s="930">
        <f t="shared" si="1"/>
        <v>53040</v>
      </c>
      <c r="G45" s="919">
        <f t="shared" si="5"/>
        <v>257039</v>
      </c>
      <c r="H45" s="929">
        <f>VLOOKUP($A45,'[9]MFP LEAs'!$A$7:$E$139,5,FALSE)</f>
        <v>93.993635076999993</v>
      </c>
      <c r="I45" s="930">
        <f t="shared" si="2"/>
        <v>46997</v>
      </c>
      <c r="J45" s="930">
        <f t="shared" si="3"/>
        <v>13817</v>
      </c>
      <c r="K45" s="920">
        <f t="shared" si="6"/>
        <v>60814</v>
      </c>
      <c r="L45" s="929">
        <f t="shared" si="7"/>
        <v>297.99308562599697</v>
      </c>
      <c r="M45" s="930">
        <f t="shared" si="7"/>
        <v>250996</v>
      </c>
      <c r="N45" s="930">
        <f t="shared" si="7"/>
        <v>66857</v>
      </c>
      <c r="O45" s="921">
        <f t="shared" si="7"/>
        <v>317853</v>
      </c>
    </row>
    <row r="46" spans="1:15" ht="15.75" customHeight="1" x14ac:dyDescent="0.2">
      <c r="A46" s="853">
        <v>40</v>
      </c>
      <c r="B46" s="567">
        <v>40</v>
      </c>
      <c r="C46" s="923" t="s">
        <v>44</v>
      </c>
      <c r="D46" s="931">
        <f>VLOOKUP($A46,'[9]MFP LEAs'!$A$7:$E$139,4,FALSE)</f>
        <v>1906.3142857129628</v>
      </c>
      <c r="E46" s="932">
        <f t="shared" si="0"/>
        <v>1906314</v>
      </c>
      <c r="F46" s="932">
        <f t="shared" si="1"/>
        <v>495642</v>
      </c>
      <c r="G46" s="926">
        <f t="shared" si="5"/>
        <v>2401956</v>
      </c>
      <c r="H46" s="931">
        <f>VLOOKUP($A46,'[9]MFP LEAs'!$A$7:$E$139,5,FALSE)</f>
        <v>1189</v>
      </c>
      <c r="I46" s="932">
        <f t="shared" si="2"/>
        <v>594500</v>
      </c>
      <c r="J46" s="932">
        <f t="shared" si="3"/>
        <v>174783</v>
      </c>
      <c r="K46" s="927">
        <f t="shared" si="6"/>
        <v>769283</v>
      </c>
      <c r="L46" s="931">
        <f t="shared" si="7"/>
        <v>3095.3142857129628</v>
      </c>
      <c r="M46" s="932">
        <f t="shared" si="7"/>
        <v>2500814</v>
      </c>
      <c r="N46" s="932">
        <f t="shared" si="7"/>
        <v>670425</v>
      </c>
      <c r="O46" s="928">
        <f t="shared" si="7"/>
        <v>3171239</v>
      </c>
    </row>
    <row r="47" spans="1:15" ht="15.75" customHeight="1" x14ac:dyDescent="0.2">
      <c r="A47" s="559">
        <v>41</v>
      </c>
      <c r="B47" s="912">
        <v>41</v>
      </c>
      <c r="C47" s="913" t="s">
        <v>45</v>
      </c>
      <c r="D47" s="933">
        <f>VLOOKUP($A47,'[9]MFP LEAs'!$A$7:$E$139,4,FALSE)</f>
        <v>128.018336182312</v>
      </c>
      <c r="E47" s="934">
        <f t="shared" si="0"/>
        <v>128018</v>
      </c>
      <c r="F47" s="934">
        <f t="shared" si="1"/>
        <v>33285</v>
      </c>
      <c r="G47" s="915">
        <f t="shared" si="5"/>
        <v>161303</v>
      </c>
      <c r="H47" s="933">
        <f>VLOOKUP($A47,'[9]MFP LEAs'!$A$7:$E$139,5,FALSE)</f>
        <v>110.148330219768</v>
      </c>
      <c r="I47" s="934">
        <f t="shared" si="2"/>
        <v>55074</v>
      </c>
      <c r="J47" s="934">
        <f t="shared" si="3"/>
        <v>16192</v>
      </c>
      <c r="K47" s="916">
        <f t="shared" si="6"/>
        <v>71266</v>
      </c>
      <c r="L47" s="933">
        <f t="shared" si="7"/>
        <v>238.16666640208001</v>
      </c>
      <c r="M47" s="934">
        <f t="shared" si="7"/>
        <v>183092</v>
      </c>
      <c r="N47" s="934">
        <f t="shared" si="7"/>
        <v>49477</v>
      </c>
      <c r="O47" s="917">
        <f t="shared" si="7"/>
        <v>232569</v>
      </c>
    </row>
    <row r="48" spans="1:15" ht="15.75" customHeight="1" x14ac:dyDescent="0.2">
      <c r="A48" s="565">
        <v>42</v>
      </c>
      <c r="B48" s="253">
        <v>42</v>
      </c>
      <c r="C48" s="563" t="s">
        <v>46</v>
      </c>
      <c r="D48" s="929">
        <f>VLOOKUP($A48,'[9]MFP LEAs'!$A$7:$E$139,4,FALSE)</f>
        <v>221.03674424648602</v>
      </c>
      <c r="E48" s="930">
        <f t="shared" si="0"/>
        <v>221037</v>
      </c>
      <c r="F48" s="930">
        <f t="shared" si="1"/>
        <v>57470</v>
      </c>
      <c r="G48" s="919">
        <f t="shared" si="5"/>
        <v>278507</v>
      </c>
      <c r="H48" s="929">
        <f>VLOOKUP($A48,'[9]MFP LEAs'!$A$7:$E$139,5,FALSE)</f>
        <v>181.32174655750001</v>
      </c>
      <c r="I48" s="930">
        <f t="shared" si="2"/>
        <v>90661</v>
      </c>
      <c r="J48" s="930">
        <f t="shared" si="3"/>
        <v>26654</v>
      </c>
      <c r="K48" s="920">
        <f t="shared" si="6"/>
        <v>117315</v>
      </c>
      <c r="L48" s="929">
        <f t="shared" si="7"/>
        <v>402.358490803986</v>
      </c>
      <c r="M48" s="930">
        <f t="shared" si="7"/>
        <v>311698</v>
      </c>
      <c r="N48" s="930">
        <f t="shared" si="7"/>
        <v>84124</v>
      </c>
      <c r="O48" s="921">
        <f t="shared" si="7"/>
        <v>395822</v>
      </c>
    </row>
    <row r="49" spans="1:15" ht="15.75" customHeight="1" x14ac:dyDescent="0.2">
      <c r="A49" s="565">
        <v>43</v>
      </c>
      <c r="B49" s="253">
        <v>43</v>
      </c>
      <c r="C49" s="563" t="s">
        <v>47</v>
      </c>
      <c r="D49" s="929">
        <f>VLOOKUP($A49,'[9]MFP LEAs'!$A$7:$E$139,4,FALSE)</f>
        <v>364.98888888800002</v>
      </c>
      <c r="E49" s="930">
        <f t="shared" si="0"/>
        <v>364989</v>
      </c>
      <c r="F49" s="930">
        <f t="shared" si="1"/>
        <v>94897</v>
      </c>
      <c r="G49" s="919">
        <f t="shared" si="5"/>
        <v>459886</v>
      </c>
      <c r="H49" s="929">
        <f>VLOOKUP($A49,'[9]MFP LEAs'!$A$7:$E$139,5,FALSE)</f>
        <v>271</v>
      </c>
      <c r="I49" s="930">
        <f t="shared" si="2"/>
        <v>135500</v>
      </c>
      <c r="J49" s="930">
        <f t="shared" si="3"/>
        <v>39837</v>
      </c>
      <c r="K49" s="920">
        <f t="shared" si="6"/>
        <v>175337</v>
      </c>
      <c r="L49" s="929">
        <f t="shared" si="7"/>
        <v>635.98888888800002</v>
      </c>
      <c r="M49" s="930">
        <f t="shared" si="7"/>
        <v>500489</v>
      </c>
      <c r="N49" s="930">
        <f t="shared" si="7"/>
        <v>134734</v>
      </c>
      <c r="O49" s="921">
        <f t="shared" si="7"/>
        <v>635223</v>
      </c>
    </row>
    <row r="50" spans="1:15" ht="15.75" customHeight="1" x14ac:dyDescent="0.2">
      <c r="A50" s="565">
        <v>44</v>
      </c>
      <c r="B50" s="253">
        <v>44</v>
      </c>
      <c r="C50" s="563" t="s">
        <v>48</v>
      </c>
      <c r="D50" s="929">
        <f>VLOOKUP($A50,'[9]MFP LEAs'!$A$7:$E$139,4,FALSE)</f>
        <v>591.19777887799387</v>
      </c>
      <c r="E50" s="930">
        <f t="shared" si="0"/>
        <v>591198</v>
      </c>
      <c r="F50" s="930">
        <f t="shared" si="1"/>
        <v>153711</v>
      </c>
      <c r="G50" s="919">
        <f t="shared" si="5"/>
        <v>744909</v>
      </c>
      <c r="H50" s="929">
        <f>VLOOKUP($A50,'[9]MFP LEAs'!$A$7:$E$139,5,FALSE)</f>
        <v>298.99953462399799</v>
      </c>
      <c r="I50" s="930">
        <f t="shared" si="2"/>
        <v>149500</v>
      </c>
      <c r="J50" s="930">
        <f t="shared" si="3"/>
        <v>43953</v>
      </c>
      <c r="K50" s="920">
        <f t="shared" si="6"/>
        <v>193453</v>
      </c>
      <c r="L50" s="929">
        <f t="shared" si="7"/>
        <v>890.19731350199186</v>
      </c>
      <c r="M50" s="930">
        <f t="shared" si="7"/>
        <v>740698</v>
      </c>
      <c r="N50" s="930">
        <f t="shared" si="7"/>
        <v>197664</v>
      </c>
      <c r="O50" s="921">
        <f t="shared" si="7"/>
        <v>938362</v>
      </c>
    </row>
    <row r="51" spans="1:15" ht="15.75" customHeight="1" x14ac:dyDescent="0.2">
      <c r="A51" s="853">
        <v>45</v>
      </c>
      <c r="B51" s="567">
        <v>45</v>
      </c>
      <c r="C51" s="923" t="s">
        <v>49</v>
      </c>
      <c r="D51" s="931">
        <f>VLOOKUP($A51,'[9]MFP LEAs'!$A$7:$E$139,4,FALSE)</f>
        <v>967.99999999999591</v>
      </c>
      <c r="E51" s="932">
        <f t="shared" si="0"/>
        <v>968000</v>
      </c>
      <c r="F51" s="932">
        <f t="shared" si="1"/>
        <v>251680</v>
      </c>
      <c r="G51" s="926">
        <f t="shared" si="5"/>
        <v>1219680</v>
      </c>
      <c r="H51" s="931">
        <f>VLOOKUP($A51,'[9]MFP LEAs'!$A$7:$E$139,5,FALSE)</f>
        <v>688</v>
      </c>
      <c r="I51" s="932">
        <f t="shared" si="2"/>
        <v>344000</v>
      </c>
      <c r="J51" s="932">
        <f t="shared" si="3"/>
        <v>101136</v>
      </c>
      <c r="K51" s="927">
        <f t="shared" si="6"/>
        <v>445136</v>
      </c>
      <c r="L51" s="931">
        <f t="shared" si="7"/>
        <v>1655.9999999999959</v>
      </c>
      <c r="M51" s="932">
        <f t="shared" si="7"/>
        <v>1312000</v>
      </c>
      <c r="N51" s="932">
        <f t="shared" si="7"/>
        <v>352816</v>
      </c>
      <c r="O51" s="928">
        <f t="shared" si="7"/>
        <v>1664816</v>
      </c>
    </row>
    <row r="52" spans="1:15" ht="15.75" customHeight="1" x14ac:dyDescent="0.2">
      <c r="A52" s="559">
        <v>46</v>
      </c>
      <c r="B52" s="912">
        <v>46</v>
      </c>
      <c r="C52" s="913" t="s">
        <v>50</v>
      </c>
      <c r="D52" s="933">
        <f>VLOOKUP($A52,'[9]MFP LEAs'!$A$7:$E$139,4,FALSE)</f>
        <v>85.121412734000003</v>
      </c>
      <c r="E52" s="934">
        <f t="shared" si="0"/>
        <v>85121</v>
      </c>
      <c r="F52" s="934">
        <f t="shared" si="1"/>
        <v>22131</v>
      </c>
      <c r="G52" s="915">
        <f t="shared" si="5"/>
        <v>107252</v>
      </c>
      <c r="H52" s="933">
        <f>VLOOKUP($A52,'[9]MFP LEAs'!$A$7:$E$139,5,FALSE)</f>
        <v>72.715494910000004</v>
      </c>
      <c r="I52" s="934">
        <f t="shared" si="2"/>
        <v>36358</v>
      </c>
      <c r="J52" s="934">
        <f t="shared" si="3"/>
        <v>10689</v>
      </c>
      <c r="K52" s="916">
        <f t="shared" si="6"/>
        <v>47047</v>
      </c>
      <c r="L52" s="933">
        <f t="shared" si="7"/>
        <v>157.83690764400001</v>
      </c>
      <c r="M52" s="934">
        <f t="shared" si="7"/>
        <v>121479</v>
      </c>
      <c r="N52" s="934">
        <f t="shared" si="7"/>
        <v>32820</v>
      </c>
      <c r="O52" s="917">
        <f t="shared" si="7"/>
        <v>154299</v>
      </c>
    </row>
    <row r="53" spans="1:15" ht="15.75" customHeight="1" x14ac:dyDescent="0.2">
      <c r="A53" s="565">
        <v>47</v>
      </c>
      <c r="B53" s="253">
        <v>47</v>
      </c>
      <c r="C53" s="563" t="s">
        <v>51</v>
      </c>
      <c r="D53" s="929">
        <f>VLOOKUP($A53,'[9]MFP LEAs'!$A$7:$E$139,4,FALSE)</f>
        <v>379</v>
      </c>
      <c r="E53" s="930">
        <f t="shared" si="0"/>
        <v>379000</v>
      </c>
      <c r="F53" s="930">
        <f t="shared" si="1"/>
        <v>98540</v>
      </c>
      <c r="G53" s="919">
        <f t="shared" si="5"/>
        <v>477540</v>
      </c>
      <c r="H53" s="929">
        <f>VLOOKUP($A53,'[9]MFP LEAs'!$A$7:$E$139,5,FALSE)</f>
        <v>153</v>
      </c>
      <c r="I53" s="930">
        <f t="shared" si="2"/>
        <v>76500</v>
      </c>
      <c r="J53" s="930">
        <f t="shared" si="3"/>
        <v>22491</v>
      </c>
      <c r="K53" s="920">
        <f t="shared" si="6"/>
        <v>98991</v>
      </c>
      <c r="L53" s="929">
        <f t="shared" si="7"/>
        <v>532</v>
      </c>
      <c r="M53" s="930">
        <f t="shared" si="7"/>
        <v>455500</v>
      </c>
      <c r="N53" s="930">
        <f t="shared" si="7"/>
        <v>121031</v>
      </c>
      <c r="O53" s="921">
        <f t="shared" si="7"/>
        <v>576531</v>
      </c>
    </row>
    <row r="54" spans="1:15" ht="15.75" customHeight="1" x14ac:dyDescent="0.2">
      <c r="A54" s="565">
        <v>48</v>
      </c>
      <c r="B54" s="253">
        <v>48</v>
      </c>
      <c r="C54" s="563" t="s">
        <v>73</v>
      </c>
      <c r="D54" s="929">
        <f>VLOOKUP($A54,'[9]MFP LEAs'!$A$7:$E$139,4,FALSE)</f>
        <v>576.64038204696408</v>
      </c>
      <c r="E54" s="930">
        <f t="shared" si="0"/>
        <v>576640</v>
      </c>
      <c r="F54" s="930">
        <f t="shared" si="1"/>
        <v>149926</v>
      </c>
      <c r="G54" s="919">
        <f t="shared" si="5"/>
        <v>726566</v>
      </c>
      <c r="H54" s="929">
        <f>VLOOKUP($A54,'[9]MFP LEAs'!$A$7:$E$139,5,FALSE)</f>
        <v>339.94732917199997</v>
      </c>
      <c r="I54" s="930">
        <f t="shared" si="2"/>
        <v>169974</v>
      </c>
      <c r="J54" s="930">
        <f t="shared" si="3"/>
        <v>49972</v>
      </c>
      <c r="K54" s="920">
        <f t="shared" si="6"/>
        <v>219946</v>
      </c>
      <c r="L54" s="929">
        <f t="shared" si="7"/>
        <v>916.58771121896405</v>
      </c>
      <c r="M54" s="930">
        <f t="shared" si="7"/>
        <v>746614</v>
      </c>
      <c r="N54" s="930">
        <f t="shared" si="7"/>
        <v>199898</v>
      </c>
      <c r="O54" s="921">
        <f t="shared" si="7"/>
        <v>946512</v>
      </c>
    </row>
    <row r="55" spans="1:15" ht="15.75" customHeight="1" x14ac:dyDescent="0.2">
      <c r="A55" s="565">
        <v>49</v>
      </c>
      <c r="B55" s="253">
        <v>49</v>
      </c>
      <c r="C55" s="563" t="s">
        <v>52</v>
      </c>
      <c r="D55" s="929">
        <f>VLOOKUP($A55,'[9]MFP LEAs'!$A$7:$E$139,4,FALSE)</f>
        <v>1136.3027735999999</v>
      </c>
      <c r="E55" s="930">
        <f t="shared" si="0"/>
        <v>1136303</v>
      </c>
      <c r="F55" s="930">
        <f t="shared" si="1"/>
        <v>295439</v>
      </c>
      <c r="G55" s="919">
        <f t="shared" si="5"/>
        <v>1431742</v>
      </c>
      <c r="H55" s="929">
        <f>VLOOKUP($A55,'[9]MFP LEAs'!$A$7:$E$139,5,FALSE)</f>
        <v>673.38081481400002</v>
      </c>
      <c r="I55" s="930">
        <f t="shared" si="2"/>
        <v>336690</v>
      </c>
      <c r="J55" s="930">
        <f t="shared" si="3"/>
        <v>98987</v>
      </c>
      <c r="K55" s="920">
        <f t="shared" si="6"/>
        <v>435677</v>
      </c>
      <c r="L55" s="929">
        <f t="shared" si="7"/>
        <v>1809.683588414</v>
      </c>
      <c r="M55" s="930">
        <f t="shared" si="7"/>
        <v>1472993</v>
      </c>
      <c r="N55" s="930">
        <f t="shared" si="7"/>
        <v>394426</v>
      </c>
      <c r="O55" s="921">
        <f t="shared" si="7"/>
        <v>1867419</v>
      </c>
    </row>
    <row r="56" spans="1:15" ht="15.75" customHeight="1" x14ac:dyDescent="0.2">
      <c r="A56" s="853">
        <v>50</v>
      </c>
      <c r="B56" s="567">
        <v>50</v>
      </c>
      <c r="C56" s="923" t="s">
        <v>53</v>
      </c>
      <c r="D56" s="931">
        <f>VLOOKUP($A56,'[9]MFP LEAs'!$A$7:$E$139,4,FALSE)</f>
        <v>577.20574105297192</v>
      </c>
      <c r="E56" s="932">
        <f t="shared" si="0"/>
        <v>577206</v>
      </c>
      <c r="F56" s="932">
        <f t="shared" si="1"/>
        <v>150074</v>
      </c>
      <c r="G56" s="926">
        <f t="shared" si="5"/>
        <v>727280</v>
      </c>
      <c r="H56" s="931">
        <f>VLOOKUP($A56,'[9]MFP LEAs'!$A$7:$E$139,5,FALSE)</f>
        <v>394.77069709900002</v>
      </c>
      <c r="I56" s="932">
        <f t="shared" si="2"/>
        <v>197385</v>
      </c>
      <c r="J56" s="932">
        <f t="shared" si="3"/>
        <v>58031</v>
      </c>
      <c r="K56" s="927">
        <f t="shared" si="6"/>
        <v>255416</v>
      </c>
      <c r="L56" s="931">
        <f t="shared" si="7"/>
        <v>971.97643815197193</v>
      </c>
      <c r="M56" s="932">
        <f t="shared" si="7"/>
        <v>774591</v>
      </c>
      <c r="N56" s="932">
        <f t="shared" si="7"/>
        <v>208105</v>
      </c>
      <c r="O56" s="928">
        <f t="shared" si="7"/>
        <v>982696</v>
      </c>
    </row>
    <row r="57" spans="1:15" ht="15.75" customHeight="1" x14ac:dyDescent="0.2">
      <c r="A57" s="559">
        <v>51</v>
      </c>
      <c r="B57" s="912">
        <v>51</v>
      </c>
      <c r="C57" s="913" t="s">
        <v>54</v>
      </c>
      <c r="D57" s="933">
        <f>VLOOKUP($A57,'[9]MFP LEAs'!$A$7:$E$139,4,FALSE)</f>
        <v>723.01940992983407</v>
      </c>
      <c r="E57" s="934">
        <f t="shared" si="0"/>
        <v>723019</v>
      </c>
      <c r="F57" s="934">
        <f t="shared" si="1"/>
        <v>187985</v>
      </c>
      <c r="G57" s="915">
        <f t="shared" si="5"/>
        <v>911004</v>
      </c>
      <c r="H57" s="933">
        <f>VLOOKUP($A57,'[9]MFP LEAs'!$A$7:$E$139,5,FALSE)</f>
        <v>517.00000628111593</v>
      </c>
      <c r="I57" s="934">
        <f t="shared" si="2"/>
        <v>258500</v>
      </c>
      <c r="J57" s="934">
        <f t="shared" si="3"/>
        <v>75999</v>
      </c>
      <c r="K57" s="916">
        <f t="shared" si="6"/>
        <v>334499</v>
      </c>
      <c r="L57" s="933">
        <f t="shared" si="7"/>
        <v>1240.0194162109501</v>
      </c>
      <c r="M57" s="934">
        <f t="shared" si="7"/>
        <v>981519</v>
      </c>
      <c r="N57" s="934">
        <f t="shared" si="7"/>
        <v>263984</v>
      </c>
      <c r="O57" s="917">
        <f t="shared" si="7"/>
        <v>1245503</v>
      </c>
    </row>
    <row r="58" spans="1:15" ht="15.75" customHeight="1" x14ac:dyDescent="0.2">
      <c r="A58" s="565">
        <v>52</v>
      </c>
      <c r="B58" s="253">
        <v>52</v>
      </c>
      <c r="C58" s="563" t="s">
        <v>55</v>
      </c>
      <c r="D58" s="929">
        <f>VLOOKUP($A58,'[9]MFP LEAs'!$A$7:$E$139,4,FALSE)</f>
        <v>3330.9384594286771</v>
      </c>
      <c r="E58" s="930">
        <f t="shared" si="0"/>
        <v>3330938</v>
      </c>
      <c r="F58" s="930">
        <f t="shared" si="1"/>
        <v>866044</v>
      </c>
      <c r="G58" s="919">
        <f t="shared" si="5"/>
        <v>4196982</v>
      </c>
      <c r="H58" s="929">
        <f>VLOOKUP($A58,'[9]MFP LEAs'!$A$7:$E$139,5,FALSE)</f>
        <v>2399.6996833189678</v>
      </c>
      <c r="I58" s="930">
        <f t="shared" si="2"/>
        <v>1199850</v>
      </c>
      <c r="J58" s="930">
        <f t="shared" si="3"/>
        <v>352756</v>
      </c>
      <c r="K58" s="920">
        <f t="shared" si="6"/>
        <v>1552606</v>
      </c>
      <c r="L58" s="929">
        <f t="shared" si="7"/>
        <v>5730.6381427476445</v>
      </c>
      <c r="M58" s="930">
        <f t="shared" si="7"/>
        <v>4530788</v>
      </c>
      <c r="N58" s="930">
        <f t="shared" si="7"/>
        <v>1218800</v>
      </c>
      <c r="O58" s="921">
        <f t="shared" si="7"/>
        <v>5749588</v>
      </c>
    </row>
    <row r="59" spans="1:15" ht="15.75" customHeight="1" x14ac:dyDescent="0.2">
      <c r="A59" s="565">
        <v>53</v>
      </c>
      <c r="B59" s="253">
        <v>53</v>
      </c>
      <c r="C59" s="563" t="s">
        <v>56</v>
      </c>
      <c r="D59" s="918">
        <f>VLOOKUP($A59,'[9]MFP LEAs'!$A$7:$E$139,4,FALSE)</f>
        <v>1599.6760929346947</v>
      </c>
      <c r="E59" s="894">
        <f t="shared" si="0"/>
        <v>1599676</v>
      </c>
      <c r="F59" s="894">
        <f t="shared" si="1"/>
        <v>415916</v>
      </c>
      <c r="G59" s="919">
        <f t="shared" si="5"/>
        <v>2015592</v>
      </c>
      <c r="H59" s="918">
        <f>VLOOKUP($A59,'[9]MFP LEAs'!$A$7:$E$139,5,FALSE)</f>
        <v>1016.0231321011501</v>
      </c>
      <c r="I59" s="894">
        <f t="shared" si="2"/>
        <v>508012</v>
      </c>
      <c r="J59" s="894">
        <f t="shared" si="3"/>
        <v>149356</v>
      </c>
      <c r="K59" s="920">
        <f t="shared" si="6"/>
        <v>657368</v>
      </c>
      <c r="L59" s="918">
        <f t="shared" si="7"/>
        <v>2615.6992250358448</v>
      </c>
      <c r="M59" s="894">
        <f t="shared" si="7"/>
        <v>2107688</v>
      </c>
      <c r="N59" s="894">
        <f t="shared" si="7"/>
        <v>565272</v>
      </c>
      <c r="O59" s="921">
        <f t="shared" si="7"/>
        <v>2672960</v>
      </c>
    </row>
    <row r="60" spans="1:15" ht="15.75" customHeight="1" x14ac:dyDescent="0.2">
      <c r="A60" s="565">
        <v>54</v>
      </c>
      <c r="B60" s="253">
        <v>54</v>
      </c>
      <c r="C60" s="563" t="s">
        <v>57</v>
      </c>
      <c r="D60" s="918">
        <f>VLOOKUP($A60,'[9]MFP LEAs'!$A$7:$E$139,4,FALSE)</f>
        <v>41.474576270991989</v>
      </c>
      <c r="E60" s="894">
        <f t="shared" si="0"/>
        <v>41475</v>
      </c>
      <c r="F60" s="894">
        <f t="shared" si="1"/>
        <v>10784</v>
      </c>
      <c r="G60" s="919">
        <f t="shared" si="5"/>
        <v>52259</v>
      </c>
      <c r="H60" s="918">
        <f>VLOOKUP($A60,'[9]MFP LEAs'!$A$7:$E$139,5,FALSE)</f>
        <v>48.163368606091005</v>
      </c>
      <c r="I60" s="894">
        <f t="shared" si="2"/>
        <v>24082</v>
      </c>
      <c r="J60" s="894">
        <f t="shared" si="3"/>
        <v>7080</v>
      </c>
      <c r="K60" s="920">
        <f t="shared" si="6"/>
        <v>31162</v>
      </c>
      <c r="L60" s="918">
        <f t="shared" si="7"/>
        <v>89.637944877082987</v>
      </c>
      <c r="M60" s="894">
        <f t="shared" si="7"/>
        <v>65557</v>
      </c>
      <c r="N60" s="894">
        <f t="shared" si="7"/>
        <v>17864</v>
      </c>
      <c r="O60" s="921">
        <f t="shared" si="7"/>
        <v>83421</v>
      </c>
    </row>
    <row r="61" spans="1:15" ht="15.75" customHeight="1" x14ac:dyDescent="0.2">
      <c r="A61" s="853">
        <v>55</v>
      </c>
      <c r="B61" s="567">
        <v>55</v>
      </c>
      <c r="C61" s="923" t="s">
        <v>58</v>
      </c>
      <c r="D61" s="924">
        <f>VLOOKUP($A61,'[9]MFP LEAs'!$A$7:$E$139,4,FALSE)</f>
        <v>1335.6403077434031</v>
      </c>
      <c r="E61" s="925">
        <f t="shared" si="0"/>
        <v>1335640</v>
      </c>
      <c r="F61" s="925">
        <f t="shared" si="1"/>
        <v>347266</v>
      </c>
      <c r="G61" s="926">
        <f t="shared" si="5"/>
        <v>1682906</v>
      </c>
      <c r="H61" s="924">
        <f>VLOOKUP($A61,'[9]MFP LEAs'!$A$7:$E$139,5,FALSE)</f>
        <v>793.02807662299801</v>
      </c>
      <c r="I61" s="925">
        <f t="shared" si="2"/>
        <v>396514</v>
      </c>
      <c r="J61" s="925">
        <f t="shared" si="3"/>
        <v>116575</v>
      </c>
      <c r="K61" s="927">
        <f t="shared" si="6"/>
        <v>513089</v>
      </c>
      <c r="L61" s="924">
        <f t="shared" si="7"/>
        <v>2128.6683843664014</v>
      </c>
      <c r="M61" s="925">
        <f t="shared" si="7"/>
        <v>1732154</v>
      </c>
      <c r="N61" s="925">
        <f t="shared" si="7"/>
        <v>463841</v>
      </c>
      <c r="O61" s="928">
        <f t="shared" si="7"/>
        <v>2195995</v>
      </c>
    </row>
    <row r="62" spans="1:15" ht="15.75" customHeight="1" x14ac:dyDescent="0.2">
      <c r="A62" s="559">
        <v>56</v>
      </c>
      <c r="B62" s="912">
        <v>56</v>
      </c>
      <c r="C62" s="913" t="s">
        <v>59</v>
      </c>
      <c r="D62" s="914">
        <f>VLOOKUP($A62,'[9]MFP LEAs'!$A$7:$E$139,4,FALSE)</f>
        <v>152.22502050771698</v>
      </c>
      <c r="E62" s="893">
        <f t="shared" si="0"/>
        <v>152225</v>
      </c>
      <c r="F62" s="893">
        <f t="shared" si="1"/>
        <v>39579</v>
      </c>
      <c r="G62" s="915">
        <f t="shared" si="5"/>
        <v>191804</v>
      </c>
      <c r="H62" s="914">
        <f>VLOOKUP($A62,'[9]MFP LEAs'!$A$7:$E$139,5,FALSE)</f>
        <v>129.96266227700499</v>
      </c>
      <c r="I62" s="893">
        <f t="shared" si="2"/>
        <v>64981</v>
      </c>
      <c r="J62" s="893">
        <f t="shared" si="3"/>
        <v>19104</v>
      </c>
      <c r="K62" s="916">
        <f t="shared" si="6"/>
        <v>84085</v>
      </c>
      <c r="L62" s="914">
        <f t="shared" si="7"/>
        <v>282.18768278472197</v>
      </c>
      <c r="M62" s="893">
        <f t="shared" si="7"/>
        <v>217206</v>
      </c>
      <c r="N62" s="893">
        <f t="shared" si="7"/>
        <v>58683</v>
      </c>
      <c r="O62" s="917">
        <f t="shared" si="7"/>
        <v>275889</v>
      </c>
    </row>
    <row r="63" spans="1:15" ht="15.75" customHeight="1" x14ac:dyDescent="0.2">
      <c r="A63" s="565">
        <v>57</v>
      </c>
      <c r="B63" s="253">
        <v>57</v>
      </c>
      <c r="C63" s="563" t="s">
        <v>60</v>
      </c>
      <c r="D63" s="918">
        <f>VLOOKUP($A63,'[9]MFP LEAs'!$A$7:$E$139,4,FALSE)</f>
        <v>782.10601397699304</v>
      </c>
      <c r="E63" s="894">
        <f t="shared" si="0"/>
        <v>782106</v>
      </c>
      <c r="F63" s="894">
        <f t="shared" si="1"/>
        <v>203348</v>
      </c>
      <c r="G63" s="919">
        <f t="shared" si="5"/>
        <v>985454</v>
      </c>
      <c r="H63" s="918">
        <f>VLOOKUP($A63,'[9]MFP LEAs'!$A$7:$E$139,5,FALSE)</f>
        <v>440.28342013699898</v>
      </c>
      <c r="I63" s="894">
        <f t="shared" si="2"/>
        <v>220142</v>
      </c>
      <c r="J63" s="894">
        <f t="shared" si="3"/>
        <v>64722</v>
      </c>
      <c r="K63" s="920">
        <f t="shared" si="6"/>
        <v>284864</v>
      </c>
      <c r="L63" s="918">
        <f t="shared" si="7"/>
        <v>1222.3894341139921</v>
      </c>
      <c r="M63" s="894">
        <f t="shared" si="7"/>
        <v>1002248</v>
      </c>
      <c r="N63" s="894">
        <f t="shared" si="7"/>
        <v>268070</v>
      </c>
      <c r="O63" s="921">
        <f t="shared" si="7"/>
        <v>1270318</v>
      </c>
    </row>
    <row r="64" spans="1:15" ht="15.75" customHeight="1" x14ac:dyDescent="0.2">
      <c r="A64" s="565">
        <v>58</v>
      </c>
      <c r="B64" s="253">
        <v>58</v>
      </c>
      <c r="C64" s="563" t="s">
        <v>61</v>
      </c>
      <c r="D64" s="918">
        <f>VLOOKUP($A64,'[9]MFP LEAs'!$A$7:$E$139,4,FALSE)</f>
        <v>661.87853881188198</v>
      </c>
      <c r="E64" s="894">
        <f t="shared" si="0"/>
        <v>661879</v>
      </c>
      <c r="F64" s="894">
        <f t="shared" si="1"/>
        <v>172089</v>
      </c>
      <c r="G64" s="919">
        <f t="shared" si="5"/>
        <v>833968</v>
      </c>
      <c r="H64" s="918">
        <f>VLOOKUP($A64,'[9]MFP LEAs'!$A$7:$E$139,5,FALSE)</f>
        <v>489.44753923912299</v>
      </c>
      <c r="I64" s="894">
        <f t="shared" si="2"/>
        <v>244724</v>
      </c>
      <c r="J64" s="894">
        <f t="shared" si="3"/>
        <v>71949</v>
      </c>
      <c r="K64" s="920">
        <f t="shared" si="6"/>
        <v>316673</v>
      </c>
      <c r="L64" s="918">
        <f t="shared" si="7"/>
        <v>1151.326078051005</v>
      </c>
      <c r="M64" s="894">
        <f t="shared" si="7"/>
        <v>906603</v>
      </c>
      <c r="N64" s="894">
        <f t="shared" si="7"/>
        <v>244038</v>
      </c>
      <c r="O64" s="921">
        <f t="shared" si="7"/>
        <v>1150641</v>
      </c>
    </row>
    <row r="65" spans="1:15" ht="15.75" customHeight="1" x14ac:dyDescent="0.2">
      <c r="A65" s="565">
        <v>59</v>
      </c>
      <c r="B65" s="253">
        <v>59</v>
      </c>
      <c r="C65" s="563" t="s">
        <v>62</v>
      </c>
      <c r="D65" s="918">
        <f>VLOOKUP($A65,'[9]MFP LEAs'!$A$7:$E$139,4,FALSE)</f>
        <v>428.55400197611391</v>
      </c>
      <c r="E65" s="894">
        <f t="shared" si="0"/>
        <v>428554</v>
      </c>
      <c r="F65" s="894">
        <f t="shared" si="1"/>
        <v>111424</v>
      </c>
      <c r="G65" s="919">
        <f t="shared" si="5"/>
        <v>539978</v>
      </c>
      <c r="H65" s="918">
        <f>VLOOKUP($A65,'[9]MFP LEAs'!$A$7:$E$139,5,FALSE)</f>
        <v>310.79665995034901</v>
      </c>
      <c r="I65" s="894">
        <f t="shared" si="2"/>
        <v>155398</v>
      </c>
      <c r="J65" s="894">
        <f t="shared" si="3"/>
        <v>45687</v>
      </c>
      <c r="K65" s="920">
        <f t="shared" si="6"/>
        <v>201085</v>
      </c>
      <c r="L65" s="918">
        <f t="shared" si="7"/>
        <v>739.35066192646286</v>
      </c>
      <c r="M65" s="894">
        <f t="shared" si="7"/>
        <v>583952</v>
      </c>
      <c r="N65" s="894">
        <f t="shared" si="7"/>
        <v>157111</v>
      </c>
      <c r="O65" s="921">
        <f t="shared" si="7"/>
        <v>741063</v>
      </c>
    </row>
    <row r="66" spans="1:15" ht="15.75" customHeight="1" x14ac:dyDescent="0.2">
      <c r="A66" s="853">
        <v>60</v>
      </c>
      <c r="B66" s="567">
        <v>60</v>
      </c>
      <c r="C66" s="923" t="s">
        <v>63</v>
      </c>
      <c r="D66" s="924">
        <f>VLOOKUP($A66,'[9]MFP LEAs'!$A$7:$E$139,4,FALSE)</f>
        <v>447</v>
      </c>
      <c r="E66" s="925">
        <f t="shared" si="0"/>
        <v>447000</v>
      </c>
      <c r="F66" s="925">
        <f t="shared" si="1"/>
        <v>116220</v>
      </c>
      <c r="G66" s="926">
        <f t="shared" si="5"/>
        <v>563220</v>
      </c>
      <c r="H66" s="924">
        <f>VLOOKUP($A66,'[9]MFP LEAs'!$A$7:$E$139,5,FALSE)</f>
        <v>329</v>
      </c>
      <c r="I66" s="925">
        <f t="shared" si="2"/>
        <v>164500</v>
      </c>
      <c r="J66" s="925">
        <f t="shared" si="3"/>
        <v>48363</v>
      </c>
      <c r="K66" s="927">
        <f t="shared" si="6"/>
        <v>212863</v>
      </c>
      <c r="L66" s="924">
        <f t="shared" si="7"/>
        <v>776</v>
      </c>
      <c r="M66" s="925">
        <f t="shared" si="7"/>
        <v>611500</v>
      </c>
      <c r="N66" s="925">
        <f t="shared" si="7"/>
        <v>164583</v>
      </c>
      <c r="O66" s="928">
        <f t="shared" si="7"/>
        <v>776083</v>
      </c>
    </row>
    <row r="67" spans="1:15" ht="15.75" customHeight="1" x14ac:dyDescent="0.2">
      <c r="A67" s="559">
        <v>61</v>
      </c>
      <c r="B67" s="912">
        <v>61</v>
      </c>
      <c r="C67" s="913" t="s">
        <v>64</v>
      </c>
      <c r="D67" s="914">
        <f>VLOOKUP($A67,'[9]MFP LEAs'!$A$7:$E$139,4,FALSE)</f>
        <v>396</v>
      </c>
      <c r="E67" s="893">
        <f t="shared" si="0"/>
        <v>396000</v>
      </c>
      <c r="F67" s="893">
        <f t="shared" si="1"/>
        <v>102960</v>
      </c>
      <c r="G67" s="915">
        <f t="shared" si="5"/>
        <v>498960</v>
      </c>
      <c r="H67" s="914">
        <f>VLOOKUP($A67,'[9]MFP LEAs'!$A$7:$E$139,5,FALSE)</f>
        <v>192</v>
      </c>
      <c r="I67" s="893">
        <f t="shared" si="2"/>
        <v>96000</v>
      </c>
      <c r="J67" s="893">
        <f t="shared" si="3"/>
        <v>28224</v>
      </c>
      <c r="K67" s="916">
        <f t="shared" si="6"/>
        <v>124224</v>
      </c>
      <c r="L67" s="914">
        <f t="shared" si="7"/>
        <v>588</v>
      </c>
      <c r="M67" s="893">
        <f t="shared" si="7"/>
        <v>492000</v>
      </c>
      <c r="N67" s="893">
        <f t="shared" si="7"/>
        <v>131184</v>
      </c>
      <c r="O67" s="917">
        <f t="shared" si="7"/>
        <v>623184</v>
      </c>
    </row>
    <row r="68" spans="1:15" ht="15.75" customHeight="1" x14ac:dyDescent="0.2">
      <c r="A68" s="565">
        <v>62</v>
      </c>
      <c r="B68" s="253">
        <v>62</v>
      </c>
      <c r="C68" s="563" t="s">
        <v>65</v>
      </c>
      <c r="D68" s="918">
        <f>VLOOKUP($A68,'[9]MFP LEAs'!$A$7:$E$139,4,FALSE)</f>
        <v>161.145472582949</v>
      </c>
      <c r="E68" s="894">
        <f t="shared" si="0"/>
        <v>161145</v>
      </c>
      <c r="F68" s="894">
        <f t="shared" si="1"/>
        <v>41898</v>
      </c>
      <c r="G68" s="919">
        <f t="shared" si="5"/>
        <v>203043</v>
      </c>
      <c r="H68" s="918">
        <f>VLOOKUP($A68,'[9]MFP LEAs'!$A$7:$E$139,5,FALSE)</f>
        <v>103.854527417024</v>
      </c>
      <c r="I68" s="894">
        <f t="shared" si="2"/>
        <v>51927</v>
      </c>
      <c r="J68" s="894">
        <f t="shared" si="3"/>
        <v>15267</v>
      </c>
      <c r="K68" s="920">
        <f t="shared" si="6"/>
        <v>67194</v>
      </c>
      <c r="L68" s="918">
        <f t="shared" si="7"/>
        <v>264.999999999973</v>
      </c>
      <c r="M68" s="894">
        <f t="shared" si="7"/>
        <v>213072</v>
      </c>
      <c r="N68" s="894">
        <f t="shared" si="7"/>
        <v>57165</v>
      </c>
      <c r="O68" s="921">
        <f t="shared" si="7"/>
        <v>270237</v>
      </c>
    </row>
    <row r="69" spans="1:15" ht="15.75" customHeight="1" x14ac:dyDescent="0.2">
      <c r="A69" s="565">
        <v>63</v>
      </c>
      <c r="B69" s="253">
        <v>63</v>
      </c>
      <c r="C69" s="563" t="s">
        <v>66</v>
      </c>
      <c r="D69" s="918">
        <f>VLOOKUP($A69,'[9]MFP LEAs'!$A$7:$E$139,4,FALSE)</f>
        <v>209.14298890439497</v>
      </c>
      <c r="E69" s="894">
        <f t="shared" si="0"/>
        <v>209143</v>
      </c>
      <c r="F69" s="894">
        <f t="shared" si="1"/>
        <v>54377</v>
      </c>
      <c r="G69" s="919">
        <f t="shared" si="5"/>
        <v>263520</v>
      </c>
      <c r="H69" s="918">
        <f>VLOOKUP($A69,'[9]MFP LEAs'!$A$7:$E$139,5,FALSE)</f>
        <v>139.900008610811</v>
      </c>
      <c r="I69" s="894">
        <f t="shared" si="2"/>
        <v>69950</v>
      </c>
      <c r="J69" s="894">
        <f t="shared" si="3"/>
        <v>20565</v>
      </c>
      <c r="K69" s="920">
        <f t="shared" si="6"/>
        <v>90515</v>
      </c>
      <c r="L69" s="918">
        <f t="shared" si="7"/>
        <v>349.04299751520597</v>
      </c>
      <c r="M69" s="894">
        <f t="shared" si="7"/>
        <v>279093</v>
      </c>
      <c r="N69" s="894">
        <f t="shared" si="7"/>
        <v>74942</v>
      </c>
      <c r="O69" s="921">
        <f t="shared" si="7"/>
        <v>354035</v>
      </c>
    </row>
    <row r="70" spans="1:15" ht="15.75" customHeight="1" x14ac:dyDescent="0.2">
      <c r="A70" s="565">
        <v>64</v>
      </c>
      <c r="B70" s="253">
        <v>64</v>
      </c>
      <c r="C70" s="563" t="s">
        <v>67</v>
      </c>
      <c r="D70" s="918">
        <f>VLOOKUP($A70,'[9]MFP LEAs'!$A$7:$E$139,4,FALSE)</f>
        <v>175.79999999999799</v>
      </c>
      <c r="E70" s="894">
        <f t="shared" si="0"/>
        <v>175800</v>
      </c>
      <c r="F70" s="894">
        <f t="shared" si="1"/>
        <v>45708</v>
      </c>
      <c r="G70" s="919">
        <f t="shared" si="5"/>
        <v>221508</v>
      </c>
      <c r="H70" s="918">
        <f>VLOOKUP($A70,'[9]MFP LEAs'!$A$7:$E$139,5,FALSE)</f>
        <v>158.72714285599901</v>
      </c>
      <c r="I70" s="894">
        <f t="shared" si="2"/>
        <v>79364</v>
      </c>
      <c r="J70" s="894">
        <f t="shared" si="3"/>
        <v>23333</v>
      </c>
      <c r="K70" s="920">
        <f t="shared" si="6"/>
        <v>102697</v>
      </c>
      <c r="L70" s="918">
        <f t="shared" si="7"/>
        <v>334.527142855997</v>
      </c>
      <c r="M70" s="894">
        <f t="shared" si="7"/>
        <v>255164</v>
      </c>
      <c r="N70" s="894">
        <f t="shared" si="7"/>
        <v>69041</v>
      </c>
      <c r="O70" s="921">
        <f t="shared" si="7"/>
        <v>324205</v>
      </c>
    </row>
    <row r="71" spans="1:15" ht="15.75" customHeight="1" x14ac:dyDescent="0.2">
      <c r="A71" s="853">
        <v>65</v>
      </c>
      <c r="B71" s="567">
        <v>65</v>
      </c>
      <c r="C71" s="923" t="s">
        <v>68</v>
      </c>
      <c r="D71" s="924">
        <f>VLOOKUP($A71,'[9]MFP LEAs'!$A$7:$E$139,4,FALSE)</f>
        <v>736.35070389873988</v>
      </c>
      <c r="E71" s="925">
        <f>ROUND(D71*$E$4,0)</f>
        <v>736351</v>
      </c>
      <c r="F71" s="925">
        <f>ROUND(E71*$F$4,0)</f>
        <v>191451</v>
      </c>
      <c r="G71" s="926">
        <f t="shared" si="5"/>
        <v>927802</v>
      </c>
      <c r="H71" s="924">
        <f>VLOOKUP($A71,'[9]MFP LEAs'!$A$7:$E$139,5,FALSE)</f>
        <v>535.66940587369606</v>
      </c>
      <c r="I71" s="925">
        <f>ROUND(H71*$I$4,0)</f>
        <v>267835</v>
      </c>
      <c r="J71" s="925">
        <f>ROUND(I71*$J$4,0)</f>
        <v>78743</v>
      </c>
      <c r="K71" s="927">
        <f t="shared" si="6"/>
        <v>346578</v>
      </c>
      <c r="L71" s="924">
        <f t="shared" si="7"/>
        <v>1272.0201097724359</v>
      </c>
      <c r="M71" s="925">
        <f t="shared" si="7"/>
        <v>1004186</v>
      </c>
      <c r="N71" s="925">
        <f t="shared" si="7"/>
        <v>270194</v>
      </c>
      <c r="O71" s="928">
        <f t="shared" si="7"/>
        <v>1274380</v>
      </c>
    </row>
    <row r="72" spans="1:15" ht="15.75" customHeight="1" x14ac:dyDescent="0.2">
      <c r="A72" s="559">
        <v>66</v>
      </c>
      <c r="B72" s="912">
        <v>66</v>
      </c>
      <c r="C72" s="913" t="s">
        <v>69</v>
      </c>
      <c r="D72" s="914">
        <f>VLOOKUP($A72,'[9]MFP LEAs'!$A$7:$E$139,4,FALSE)</f>
        <v>167.582356456121</v>
      </c>
      <c r="E72" s="893">
        <f>ROUND(D72*$E$4,0)</f>
        <v>167582</v>
      </c>
      <c r="F72" s="893">
        <f>ROUND(E72*$F$4,0)</f>
        <v>43571</v>
      </c>
      <c r="G72" s="915">
        <f>E72+F72</f>
        <v>211153</v>
      </c>
      <c r="H72" s="914">
        <f>VLOOKUP($A72,'[9]MFP LEAs'!$A$7:$E$139,5,FALSE)</f>
        <v>127.41764354385801</v>
      </c>
      <c r="I72" s="893">
        <f>ROUND(H72*$I$4,0)</f>
        <v>63709</v>
      </c>
      <c r="J72" s="893">
        <f>ROUND(I72*$J$4,0)</f>
        <v>18730</v>
      </c>
      <c r="K72" s="916">
        <f>I72+J72</f>
        <v>82439</v>
      </c>
      <c r="L72" s="914">
        <f t="shared" si="7"/>
        <v>294.99999999997902</v>
      </c>
      <c r="M72" s="893">
        <f t="shared" si="7"/>
        <v>231291</v>
      </c>
      <c r="N72" s="893">
        <f t="shared" si="7"/>
        <v>62301</v>
      </c>
      <c r="O72" s="917">
        <f t="shared" si="7"/>
        <v>293592</v>
      </c>
    </row>
    <row r="73" spans="1:15" ht="15.75" customHeight="1" x14ac:dyDescent="0.2">
      <c r="A73" s="43">
        <v>67</v>
      </c>
      <c r="B73" s="43">
        <v>67</v>
      </c>
      <c r="C73" s="106" t="s">
        <v>2</v>
      </c>
      <c r="D73" s="935">
        <f>VLOOKUP($A73,'[9]MFP LEAs'!$A$7:$E$139,4,FALSE)</f>
        <v>416.97851241099499</v>
      </c>
      <c r="E73" s="936">
        <f>ROUND(D73*$E$4,0)</f>
        <v>416979</v>
      </c>
      <c r="F73" s="936">
        <f>ROUND(E73*$F$4,0)</f>
        <v>108415</v>
      </c>
      <c r="G73" s="937">
        <f>E73+F73</f>
        <v>525394</v>
      </c>
      <c r="H73" s="935">
        <f>VLOOKUP($A73,'[9]MFP LEAs'!$A$7:$E$139,5,FALSE)</f>
        <v>179.49451756399998</v>
      </c>
      <c r="I73" s="936">
        <f>ROUND(H73*$I$4,0)</f>
        <v>89747</v>
      </c>
      <c r="J73" s="936">
        <f>ROUND(I73*$J$4,0)</f>
        <v>26386</v>
      </c>
      <c r="K73" s="938">
        <f>I73+J73</f>
        <v>116133</v>
      </c>
      <c r="L73" s="935">
        <f t="shared" si="7"/>
        <v>596.47302997499492</v>
      </c>
      <c r="M73" s="936">
        <f t="shared" si="7"/>
        <v>506726</v>
      </c>
      <c r="N73" s="936">
        <f t="shared" si="7"/>
        <v>134801</v>
      </c>
      <c r="O73" s="939">
        <f t="shared" si="7"/>
        <v>641527</v>
      </c>
    </row>
    <row r="74" spans="1:15" ht="15.75" customHeight="1" x14ac:dyDescent="0.2">
      <c r="A74" s="574">
        <v>68</v>
      </c>
      <c r="B74" s="254">
        <v>68</v>
      </c>
      <c r="C74" s="563" t="s">
        <v>1</v>
      </c>
      <c r="D74" s="918">
        <f>VLOOKUP($A74,'[9]MFP LEAs'!$A$7:$E$139,4,FALSE)</f>
        <v>119.28032029099602</v>
      </c>
      <c r="E74" s="894">
        <f>ROUND(D74*$E$4,0)</f>
        <v>119280</v>
      </c>
      <c r="F74" s="894">
        <f>ROUND(E74*$F$4,0)</f>
        <v>31013</v>
      </c>
      <c r="G74" s="919">
        <f>E74+F74</f>
        <v>150293</v>
      </c>
      <c r="H74" s="918">
        <f>VLOOKUP($A74,'[9]MFP LEAs'!$A$7:$E$139,5,FALSE)</f>
        <v>61.880952379999997</v>
      </c>
      <c r="I74" s="894">
        <f>ROUND(H74*$I$4,0)</f>
        <v>30940</v>
      </c>
      <c r="J74" s="894">
        <f>ROUND(I74*$J$4,0)</f>
        <v>9096</v>
      </c>
      <c r="K74" s="920">
        <f>I74+J74</f>
        <v>40036</v>
      </c>
      <c r="L74" s="918">
        <f t="shared" si="7"/>
        <v>181.16127267099603</v>
      </c>
      <c r="M74" s="894">
        <f t="shared" si="7"/>
        <v>150220</v>
      </c>
      <c r="N74" s="894">
        <f t="shared" si="7"/>
        <v>40109</v>
      </c>
      <c r="O74" s="921">
        <f t="shared" si="7"/>
        <v>190329</v>
      </c>
    </row>
    <row r="75" spans="1:15" ht="15.75" customHeight="1" x14ac:dyDescent="0.2">
      <c r="A75" s="940">
        <v>69</v>
      </c>
      <c r="B75" s="577">
        <v>69</v>
      </c>
      <c r="C75" s="923" t="s">
        <v>74</v>
      </c>
      <c r="D75" s="924">
        <f>VLOOKUP($A75,'[9]MFP LEAs'!$A$7:$E$139,4,FALSE)</f>
        <v>343.68751133299901</v>
      </c>
      <c r="E75" s="925">
        <f>ROUND(D75*$E$4,0)</f>
        <v>343688</v>
      </c>
      <c r="F75" s="925">
        <f>ROUND(E75*$F$4,0)</f>
        <v>89359</v>
      </c>
      <c r="G75" s="926">
        <f>E75+F75</f>
        <v>433047</v>
      </c>
      <c r="H75" s="924">
        <f>VLOOKUP($A75,'[9]MFP LEAs'!$A$7:$E$139,5,FALSE)</f>
        <v>116.313186813</v>
      </c>
      <c r="I75" s="925">
        <f>ROUND(H75*$I$4,0)</f>
        <v>58157</v>
      </c>
      <c r="J75" s="925">
        <f>ROUND(I75*$J$4,0)</f>
        <v>17098</v>
      </c>
      <c r="K75" s="927">
        <f>I75+J75</f>
        <v>75255</v>
      </c>
      <c r="L75" s="924">
        <f t="shared" si="7"/>
        <v>460.00069814599902</v>
      </c>
      <c r="M75" s="925">
        <f t="shared" si="7"/>
        <v>401845</v>
      </c>
      <c r="N75" s="925">
        <f t="shared" si="7"/>
        <v>106457</v>
      </c>
      <c r="O75" s="928">
        <f t="shared" si="7"/>
        <v>508302</v>
      </c>
    </row>
    <row r="76" spans="1:15" ht="15.75" customHeight="1" thickBot="1" x14ac:dyDescent="0.25">
      <c r="A76" s="1369" t="s">
        <v>250</v>
      </c>
      <c r="B76" s="1370"/>
      <c r="C76" s="1371"/>
      <c r="D76" s="941">
        <f t="shared" ref="D76:M76" si="8">SUM(D7:D75)</f>
        <v>57313.755814738281</v>
      </c>
      <c r="E76" s="942">
        <f t="shared" si="8"/>
        <v>57313754</v>
      </c>
      <c r="F76" s="942">
        <f t="shared" si="8"/>
        <v>14901578</v>
      </c>
      <c r="G76" s="943">
        <f t="shared" si="8"/>
        <v>72215332</v>
      </c>
      <c r="H76" s="941">
        <f>SUM(H7:H75)</f>
        <v>37399.505075134439</v>
      </c>
      <c r="I76" s="942">
        <f t="shared" si="8"/>
        <v>18699754</v>
      </c>
      <c r="J76" s="942">
        <f t="shared" si="8"/>
        <v>5497727</v>
      </c>
      <c r="K76" s="944">
        <f t="shared" si="8"/>
        <v>24197481</v>
      </c>
      <c r="L76" s="941">
        <f t="shared" si="8"/>
        <v>94713.260889872749</v>
      </c>
      <c r="M76" s="942">
        <f t="shared" si="8"/>
        <v>76013508</v>
      </c>
      <c r="N76" s="942">
        <f>SUM(N7:N75)</f>
        <v>20399305</v>
      </c>
      <c r="O76" s="945">
        <f>SUM(O7:O75)</f>
        <v>96412813</v>
      </c>
    </row>
    <row r="77" spans="1:15" ht="9" customHeight="1" thickTop="1" x14ac:dyDescent="0.2">
      <c r="A77" s="719"/>
      <c r="B77" s="720"/>
      <c r="C77" s="721"/>
      <c r="D77" s="948"/>
      <c r="E77" s="948"/>
      <c r="F77" s="948"/>
      <c r="G77" s="948"/>
      <c r="H77" s="948"/>
      <c r="I77" s="948"/>
      <c r="J77" s="948"/>
      <c r="K77" s="948"/>
      <c r="L77" s="948"/>
      <c r="M77" s="948"/>
      <c r="N77" s="948"/>
      <c r="O77" s="948"/>
    </row>
    <row r="78" spans="1:15" ht="15.75" customHeight="1" x14ac:dyDescent="0.2">
      <c r="A78" s="947">
        <v>341001</v>
      </c>
      <c r="B78" s="912">
        <v>341001</v>
      </c>
      <c r="C78" s="913" t="s">
        <v>255</v>
      </c>
      <c r="D78" s="914">
        <f>VLOOKUP($A78,'[9]MFP LEAs'!$A$7:$E$139,4,FALSE)</f>
        <v>64.536018495348983</v>
      </c>
      <c r="E78" s="893">
        <f t="shared" ref="E78:E89" si="9">ROUND(D78*$E$4,0)</f>
        <v>64536</v>
      </c>
      <c r="F78" s="893">
        <f t="shared" ref="F78:F89" si="10">ROUND(E78*$F$4,0)</f>
        <v>16779</v>
      </c>
      <c r="G78" s="915">
        <f t="shared" ref="G78:G89" si="11">E78+F78</f>
        <v>81315</v>
      </c>
      <c r="H78" s="914">
        <f>VLOOKUP($A78,'[9]MFP LEAs'!$A$7:$E$139,5,FALSE)</f>
        <v>36.055266955257991</v>
      </c>
      <c r="I78" s="893">
        <f t="shared" ref="I78:I89" si="12">ROUND(H78*$I$4,0)</f>
        <v>18028</v>
      </c>
      <c r="J78" s="893">
        <f t="shared" ref="J78:J89" si="13">ROUND(I78*$J$4,0)</f>
        <v>5300</v>
      </c>
      <c r="K78" s="916">
        <f t="shared" ref="K78:K89" si="14">I78+J78</f>
        <v>23328</v>
      </c>
      <c r="L78" s="914">
        <f t="shared" ref="L78:O89" si="15">D78+H78</f>
        <v>100.59128545060697</v>
      </c>
      <c r="M78" s="893">
        <f t="shared" si="15"/>
        <v>82564</v>
      </c>
      <c r="N78" s="893">
        <f t="shared" si="15"/>
        <v>22079</v>
      </c>
      <c r="O78" s="917">
        <f t="shared" si="15"/>
        <v>104643</v>
      </c>
    </row>
    <row r="79" spans="1:15" ht="15.75" customHeight="1" x14ac:dyDescent="0.2">
      <c r="A79" s="565">
        <v>343001</v>
      </c>
      <c r="B79" s="253">
        <v>343001</v>
      </c>
      <c r="C79" s="563" t="s">
        <v>352</v>
      </c>
      <c r="D79" s="918">
        <f>VLOOKUP($A79,'[9]MFP LEAs'!$A$7:$E$139,4,FALSE)</f>
        <v>39.711644907</v>
      </c>
      <c r="E79" s="894">
        <f t="shared" si="9"/>
        <v>39712</v>
      </c>
      <c r="F79" s="894">
        <f t="shared" si="10"/>
        <v>10325</v>
      </c>
      <c r="G79" s="919">
        <f t="shared" si="11"/>
        <v>50037</v>
      </c>
      <c r="H79" s="918">
        <f>VLOOKUP($A79,'[9]MFP LEAs'!$A$7:$E$139,5,FALSE)</f>
        <v>11.866666666</v>
      </c>
      <c r="I79" s="894">
        <f t="shared" si="12"/>
        <v>5933</v>
      </c>
      <c r="J79" s="894">
        <f t="shared" si="13"/>
        <v>1744</v>
      </c>
      <c r="K79" s="920">
        <f t="shared" si="14"/>
        <v>7677</v>
      </c>
      <c r="L79" s="918">
        <f t="shared" si="15"/>
        <v>51.578311573000001</v>
      </c>
      <c r="M79" s="894">
        <f t="shared" si="15"/>
        <v>45645</v>
      </c>
      <c r="N79" s="894">
        <f t="shared" si="15"/>
        <v>12069</v>
      </c>
      <c r="O79" s="921">
        <f t="shared" si="15"/>
        <v>57714</v>
      </c>
    </row>
    <row r="80" spans="1:15" ht="15.75" customHeight="1" x14ac:dyDescent="0.2">
      <c r="A80" s="565">
        <v>344001</v>
      </c>
      <c r="B80" s="253">
        <v>344001</v>
      </c>
      <c r="C80" s="563" t="s">
        <v>256</v>
      </c>
      <c r="D80" s="918">
        <f>VLOOKUP($A80,'[9]MFP LEAs'!$A$7:$E$139,4,FALSE)</f>
        <v>47.687830687000002</v>
      </c>
      <c r="E80" s="894">
        <f t="shared" si="9"/>
        <v>47688</v>
      </c>
      <c r="F80" s="894">
        <f t="shared" si="10"/>
        <v>12399</v>
      </c>
      <c r="G80" s="919">
        <f t="shared" si="11"/>
        <v>60087</v>
      </c>
      <c r="H80" s="918">
        <f>VLOOKUP($A80,'[9]MFP LEAs'!$A$7:$E$139,5,FALSE)</f>
        <v>16.751322751</v>
      </c>
      <c r="I80" s="894">
        <f t="shared" si="12"/>
        <v>8376</v>
      </c>
      <c r="J80" s="894">
        <f t="shared" si="13"/>
        <v>2463</v>
      </c>
      <c r="K80" s="920">
        <f t="shared" si="14"/>
        <v>10839</v>
      </c>
      <c r="L80" s="918">
        <f t="shared" si="15"/>
        <v>64.439153438000005</v>
      </c>
      <c r="M80" s="894">
        <f t="shared" si="15"/>
        <v>56064</v>
      </c>
      <c r="N80" s="894">
        <f t="shared" si="15"/>
        <v>14862</v>
      </c>
      <c r="O80" s="921">
        <f t="shared" si="15"/>
        <v>70926</v>
      </c>
    </row>
    <row r="81" spans="1:15" ht="15.75" customHeight="1" x14ac:dyDescent="0.2">
      <c r="A81" s="565">
        <v>345001</v>
      </c>
      <c r="B81" s="253">
        <v>345001</v>
      </c>
      <c r="C81" s="563" t="s">
        <v>557</v>
      </c>
      <c r="D81" s="918">
        <f>VLOOKUP($A81,'[9]MFP LEAs'!$A$7:$E$139,4,FALSE)</f>
        <v>215</v>
      </c>
      <c r="E81" s="894">
        <f t="shared" si="9"/>
        <v>215000</v>
      </c>
      <c r="F81" s="894">
        <f t="shared" si="10"/>
        <v>55900</v>
      </c>
      <c r="G81" s="919">
        <f t="shared" si="11"/>
        <v>270900</v>
      </c>
      <c r="H81" s="918">
        <f>VLOOKUP($A81,'[9]MFP LEAs'!$A$7:$E$139,5,FALSE)</f>
        <v>66</v>
      </c>
      <c r="I81" s="894">
        <f t="shared" si="12"/>
        <v>33000</v>
      </c>
      <c r="J81" s="894">
        <f t="shared" si="13"/>
        <v>9702</v>
      </c>
      <c r="K81" s="920">
        <f t="shared" si="14"/>
        <v>42702</v>
      </c>
      <c r="L81" s="918">
        <f t="shared" si="15"/>
        <v>281</v>
      </c>
      <c r="M81" s="894">
        <f t="shared" si="15"/>
        <v>248000</v>
      </c>
      <c r="N81" s="894">
        <f t="shared" si="15"/>
        <v>65602</v>
      </c>
      <c r="O81" s="921">
        <f t="shared" si="15"/>
        <v>313602</v>
      </c>
    </row>
    <row r="82" spans="1:15" ht="15.75" customHeight="1" x14ac:dyDescent="0.2">
      <c r="A82" s="853">
        <v>346001</v>
      </c>
      <c r="B82" s="567">
        <v>346001</v>
      </c>
      <c r="C82" s="923" t="s">
        <v>257</v>
      </c>
      <c r="D82" s="924">
        <f>VLOOKUP($A82,'[9]MFP LEAs'!$A$7:$E$139,4,FALSE)</f>
        <v>66</v>
      </c>
      <c r="E82" s="925">
        <f t="shared" si="9"/>
        <v>66000</v>
      </c>
      <c r="F82" s="925">
        <f t="shared" si="10"/>
        <v>17160</v>
      </c>
      <c r="G82" s="926">
        <f t="shared" si="11"/>
        <v>83160</v>
      </c>
      <c r="H82" s="924">
        <f>VLOOKUP($A82,'[9]MFP LEAs'!$A$7:$E$139,5,FALSE)</f>
        <v>24.73076923</v>
      </c>
      <c r="I82" s="925">
        <f t="shared" si="12"/>
        <v>12365</v>
      </c>
      <c r="J82" s="925">
        <f t="shared" si="13"/>
        <v>3635</v>
      </c>
      <c r="K82" s="927">
        <f t="shared" si="14"/>
        <v>16000</v>
      </c>
      <c r="L82" s="924">
        <f t="shared" si="15"/>
        <v>90.730769229999993</v>
      </c>
      <c r="M82" s="925">
        <f t="shared" si="15"/>
        <v>78365</v>
      </c>
      <c r="N82" s="925">
        <f t="shared" si="15"/>
        <v>20795</v>
      </c>
      <c r="O82" s="928">
        <f t="shared" si="15"/>
        <v>99160</v>
      </c>
    </row>
    <row r="83" spans="1:15" ht="15.75" customHeight="1" x14ac:dyDescent="0.2">
      <c r="A83" s="559">
        <v>347001</v>
      </c>
      <c r="B83" s="912">
        <v>347001</v>
      </c>
      <c r="C83" s="913" t="s">
        <v>258</v>
      </c>
      <c r="D83" s="914">
        <f>VLOOKUP($A83,'[9]MFP LEAs'!$A$7:$E$139,4,FALSE)</f>
        <v>104</v>
      </c>
      <c r="E83" s="893">
        <f t="shared" si="9"/>
        <v>104000</v>
      </c>
      <c r="F83" s="893">
        <f t="shared" si="10"/>
        <v>27040</v>
      </c>
      <c r="G83" s="915">
        <f t="shared" si="11"/>
        <v>131040</v>
      </c>
      <c r="H83" s="914">
        <f>VLOOKUP($A83,'[9]MFP LEAs'!$A$7:$E$139,5,FALSE)</f>
        <v>33</v>
      </c>
      <c r="I83" s="893">
        <f t="shared" si="12"/>
        <v>16500</v>
      </c>
      <c r="J83" s="893">
        <f t="shared" si="13"/>
        <v>4851</v>
      </c>
      <c r="K83" s="916">
        <f t="shared" si="14"/>
        <v>21351</v>
      </c>
      <c r="L83" s="914">
        <f t="shared" si="15"/>
        <v>137</v>
      </c>
      <c r="M83" s="893">
        <f t="shared" si="15"/>
        <v>120500</v>
      </c>
      <c r="N83" s="893">
        <f t="shared" si="15"/>
        <v>31891</v>
      </c>
      <c r="O83" s="917">
        <f t="shared" si="15"/>
        <v>152391</v>
      </c>
    </row>
    <row r="84" spans="1:15" ht="15.75" customHeight="1" x14ac:dyDescent="0.2">
      <c r="A84" s="565">
        <v>348001</v>
      </c>
      <c r="B84" s="253">
        <v>348001</v>
      </c>
      <c r="C84" s="563" t="s">
        <v>437</v>
      </c>
      <c r="D84" s="918">
        <f>VLOOKUP($A84,'[9]MFP LEAs'!$A$7:$E$139,4,FALSE)</f>
        <v>77.973397434999995</v>
      </c>
      <c r="E84" s="894">
        <f t="shared" si="9"/>
        <v>77973</v>
      </c>
      <c r="F84" s="894">
        <f t="shared" si="10"/>
        <v>20273</v>
      </c>
      <c r="G84" s="919">
        <f t="shared" si="11"/>
        <v>98246</v>
      </c>
      <c r="H84" s="918">
        <f>VLOOKUP($A84,'[9]MFP LEAs'!$A$7:$E$139,5,FALSE)</f>
        <v>20.100000000000001</v>
      </c>
      <c r="I84" s="894">
        <f t="shared" si="12"/>
        <v>10050</v>
      </c>
      <c r="J84" s="894">
        <f t="shared" si="13"/>
        <v>2955</v>
      </c>
      <c r="K84" s="920">
        <f t="shared" si="14"/>
        <v>13005</v>
      </c>
      <c r="L84" s="918">
        <f t="shared" si="15"/>
        <v>98.073397435000004</v>
      </c>
      <c r="M84" s="894">
        <f t="shared" si="15"/>
        <v>88023</v>
      </c>
      <c r="N84" s="894">
        <f t="shared" si="15"/>
        <v>23228</v>
      </c>
      <c r="O84" s="921">
        <f t="shared" si="15"/>
        <v>111251</v>
      </c>
    </row>
    <row r="85" spans="1:15" ht="15.75" customHeight="1" x14ac:dyDescent="0.2">
      <c r="A85" s="565" t="s">
        <v>695</v>
      </c>
      <c r="B85" s="253" t="s">
        <v>695</v>
      </c>
      <c r="C85" s="563" t="s">
        <v>573</v>
      </c>
      <c r="D85" s="918">
        <f>VLOOKUP($A85,'[9]MFP LEAs'!$A$7:$E$139,4,FALSE)</f>
        <v>7.6896551720000001</v>
      </c>
      <c r="E85" s="894">
        <f t="shared" si="9"/>
        <v>7690</v>
      </c>
      <c r="F85" s="894">
        <f t="shared" si="10"/>
        <v>1999</v>
      </c>
      <c r="G85" s="919">
        <f t="shared" si="11"/>
        <v>9689</v>
      </c>
      <c r="H85" s="918">
        <f>VLOOKUP($A85,'[9]MFP LEAs'!$A$7:$E$139,5,FALSE)</f>
        <v>2.247191011</v>
      </c>
      <c r="I85" s="894">
        <f t="shared" si="12"/>
        <v>1124</v>
      </c>
      <c r="J85" s="894">
        <f t="shared" si="13"/>
        <v>330</v>
      </c>
      <c r="K85" s="920">
        <f t="shared" si="14"/>
        <v>1454</v>
      </c>
      <c r="L85" s="918">
        <f t="shared" si="15"/>
        <v>9.9368461830000001</v>
      </c>
      <c r="M85" s="894">
        <f t="shared" si="15"/>
        <v>8814</v>
      </c>
      <c r="N85" s="894">
        <f t="shared" si="15"/>
        <v>2329</v>
      </c>
      <c r="O85" s="921">
        <f t="shared" si="15"/>
        <v>11143</v>
      </c>
    </row>
    <row r="86" spans="1:15" ht="15.75" customHeight="1" x14ac:dyDescent="0.2">
      <c r="A86" s="565" t="s">
        <v>452</v>
      </c>
      <c r="B86" s="253" t="s">
        <v>283</v>
      </c>
      <c r="C86" s="563" t="s">
        <v>906</v>
      </c>
      <c r="D86" s="918">
        <f>VLOOKUP($A86,'[9]MFP LEAs'!$A$7:$E$139,4,FALSE)</f>
        <v>21.513170900000002</v>
      </c>
      <c r="E86" s="894">
        <f t="shared" si="9"/>
        <v>21513</v>
      </c>
      <c r="F86" s="894">
        <f t="shared" si="10"/>
        <v>5593</v>
      </c>
      <c r="G86" s="919">
        <f t="shared" si="11"/>
        <v>27106</v>
      </c>
      <c r="H86" s="918">
        <f>VLOOKUP($A86,'[9]MFP LEAs'!$A$7:$E$139,5,FALSE)</f>
        <v>11.706594278000001</v>
      </c>
      <c r="I86" s="894">
        <f t="shared" si="12"/>
        <v>5853</v>
      </c>
      <c r="J86" s="894">
        <f t="shared" si="13"/>
        <v>1721</v>
      </c>
      <c r="K86" s="920">
        <f t="shared" si="14"/>
        <v>7574</v>
      </c>
      <c r="L86" s="918">
        <f t="shared" si="15"/>
        <v>33.219765178000003</v>
      </c>
      <c r="M86" s="894">
        <f t="shared" si="15"/>
        <v>27366</v>
      </c>
      <c r="N86" s="894">
        <f t="shared" si="15"/>
        <v>7314</v>
      </c>
      <c r="O86" s="921">
        <f t="shared" si="15"/>
        <v>34680</v>
      </c>
    </row>
    <row r="87" spans="1:15" ht="15.75" customHeight="1" x14ac:dyDescent="0.2">
      <c r="A87" s="853" t="s">
        <v>453</v>
      </c>
      <c r="B87" s="567" t="s">
        <v>292</v>
      </c>
      <c r="C87" s="923" t="s">
        <v>261</v>
      </c>
      <c r="D87" s="924">
        <f>VLOOKUP($A87,'[9]MFP LEAs'!$A$7:$E$139,4,FALSE)</f>
        <v>45.99020075</v>
      </c>
      <c r="E87" s="925">
        <f t="shared" si="9"/>
        <v>45990</v>
      </c>
      <c r="F87" s="925">
        <f t="shared" si="10"/>
        <v>11957</v>
      </c>
      <c r="G87" s="926">
        <f t="shared" si="11"/>
        <v>57947</v>
      </c>
      <c r="H87" s="924">
        <f>VLOOKUP($A87,'[9]MFP LEAs'!$A$7:$E$139,5,FALSE)</f>
        <v>14.998195550998</v>
      </c>
      <c r="I87" s="925">
        <f t="shared" si="12"/>
        <v>7499</v>
      </c>
      <c r="J87" s="925">
        <f t="shared" si="13"/>
        <v>2205</v>
      </c>
      <c r="K87" s="927">
        <f t="shared" si="14"/>
        <v>9704</v>
      </c>
      <c r="L87" s="924">
        <f t="shared" si="15"/>
        <v>60.988396300997998</v>
      </c>
      <c r="M87" s="925">
        <f t="shared" si="15"/>
        <v>53489</v>
      </c>
      <c r="N87" s="925">
        <f t="shared" si="15"/>
        <v>14162</v>
      </c>
      <c r="O87" s="928">
        <f t="shared" si="15"/>
        <v>67651</v>
      </c>
    </row>
    <row r="88" spans="1:15" ht="15.75" customHeight="1" x14ac:dyDescent="0.2">
      <c r="A88" s="559" t="s">
        <v>697</v>
      </c>
      <c r="B88" s="912" t="s">
        <v>697</v>
      </c>
      <c r="C88" s="913" t="s">
        <v>891</v>
      </c>
      <c r="D88" s="914">
        <f>VLOOKUP($A88,'[9]MFP LEAs'!$A$7:$E$139,4,FALSE)</f>
        <v>6.7978107320000003</v>
      </c>
      <c r="E88" s="893">
        <f t="shared" si="9"/>
        <v>6798</v>
      </c>
      <c r="F88" s="893">
        <f t="shared" si="10"/>
        <v>1767</v>
      </c>
      <c r="G88" s="915">
        <f t="shared" si="11"/>
        <v>8565</v>
      </c>
      <c r="H88" s="914">
        <f>VLOOKUP($A88,'[9]MFP LEAs'!$A$7:$E$139,5,FALSE)</f>
        <v>6.2989053659999996</v>
      </c>
      <c r="I88" s="893">
        <f t="shared" si="12"/>
        <v>3149</v>
      </c>
      <c r="J88" s="893">
        <f t="shared" si="13"/>
        <v>926</v>
      </c>
      <c r="K88" s="916">
        <f t="shared" si="14"/>
        <v>4075</v>
      </c>
      <c r="L88" s="914">
        <f t="shared" si="15"/>
        <v>13.096716098</v>
      </c>
      <c r="M88" s="893">
        <f t="shared" si="15"/>
        <v>9947</v>
      </c>
      <c r="N88" s="893">
        <f t="shared" si="15"/>
        <v>2693</v>
      </c>
      <c r="O88" s="917">
        <f t="shared" si="15"/>
        <v>12640</v>
      </c>
    </row>
    <row r="89" spans="1:15" ht="15.75" customHeight="1" x14ac:dyDescent="0.2">
      <c r="A89" s="565" t="s">
        <v>454</v>
      </c>
      <c r="B89" s="253" t="s">
        <v>301</v>
      </c>
      <c r="C89" s="563" t="s">
        <v>345</v>
      </c>
      <c r="D89" s="918">
        <f>VLOOKUP($A89,'[9]MFP LEAs'!$A$7:$E$139,4,FALSE)</f>
        <v>43.997290742999994</v>
      </c>
      <c r="E89" s="894">
        <f t="shared" si="9"/>
        <v>43997</v>
      </c>
      <c r="F89" s="894">
        <f t="shared" si="10"/>
        <v>11439</v>
      </c>
      <c r="G89" s="919">
        <f t="shared" si="11"/>
        <v>55436</v>
      </c>
      <c r="H89" s="918">
        <f>VLOOKUP($A89,'[9]MFP LEAs'!$A$7:$E$139,5,FALSE)</f>
        <v>19.996997890994002</v>
      </c>
      <c r="I89" s="894">
        <f t="shared" si="12"/>
        <v>9998</v>
      </c>
      <c r="J89" s="894">
        <f t="shared" si="13"/>
        <v>2939</v>
      </c>
      <c r="K89" s="920">
        <f t="shared" si="14"/>
        <v>12937</v>
      </c>
      <c r="L89" s="918">
        <f t="shared" si="15"/>
        <v>63.994288633993996</v>
      </c>
      <c r="M89" s="894">
        <f t="shared" si="15"/>
        <v>53995</v>
      </c>
      <c r="N89" s="894">
        <f t="shared" si="15"/>
        <v>14378</v>
      </c>
      <c r="O89" s="921">
        <f t="shared" si="15"/>
        <v>68373</v>
      </c>
    </row>
    <row r="90" spans="1:15" ht="15.75" customHeight="1" x14ac:dyDescent="0.2">
      <c r="A90" s="565" t="s">
        <v>505</v>
      </c>
      <c r="B90" s="253" t="s">
        <v>505</v>
      </c>
      <c r="C90" s="563" t="s">
        <v>506</v>
      </c>
      <c r="D90" s="918">
        <f>VLOOKUP($A90,'[9]MFP LEAs'!$A$7:$E$139,4,FALSE)</f>
        <v>47</v>
      </c>
      <c r="E90" s="894">
        <f t="shared" ref="E90:E110" si="16">ROUND(D90*$E$4,0)</f>
        <v>47000</v>
      </c>
      <c r="F90" s="894">
        <f t="shared" ref="F90:F110" si="17">ROUND(E90*$F$4,0)</f>
        <v>12220</v>
      </c>
      <c r="G90" s="919">
        <f t="shared" ref="G90:G110" si="18">E90+F90</f>
        <v>59220</v>
      </c>
      <c r="H90" s="918">
        <f>VLOOKUP($A90,'[9]MFP LEAs'!$A$7:$E$139,5,FALSE)</f>
        <v>26</v>
      </c>
      <c r="I90" s="894">
        <f t="shared" ref="I90:I110" si="19">ROUND(H90*$I$4,0)</f>
        <v>13000</v>
      </c>
      <c r="J90" s="894">
        <f t="shared" ref="J90:J110" si="20">ROUND(I90*$J$4,0)</f>
        <v>3822</v>
      </c>
      <c r="K90" s="920">
        <f t="shared" ref="K90:K110" si="21">I90+J90</f>
        <v>16822</v>
      </c>
      <c r="L90" s="918">
        <f t="shared" ref="L90:L110" si="22">D90+H90</f>
        <v>73</v>
      </c>
      <c r="M90" s="894">
        <f t="shared" ref="M90:M110" si="23">E90+I90</f>
        <v>60000</v>
      </c>
      <c r="N90" s="894">
        <f t="shared" ref="N90:N110" si="24">F90+J90</f>
        <v>16042</v>
      </c>
      <c r="O90" s="921">
        <f t="shared" ref="O90:O110" si="25">G90+K90</f>
        <v>76042</v>
      </c>
    </row>
    <row r="91" spans="1:15" ht="15.75" customHeight="1" x14ac:dyDescent="0.2">
      <c r="A91" s="565" t="s">
        <v>546</v>
      </c>
      <c r="B91" s="253" t="s">
        <v>546</v>
      </c>
      <c r="C91" s="563" t="s">
        <v>547</v>
      </c>
      <c r="D91" s="918">
        <f>VLOOKUP($A91,'[9]MFP LEAs'!$A$7:$E$139,4,FALSE)</f>
        <v>9</v>
      </c>
      <c r="E91" s="894">
        <f t="shared" si="16"/>
        <v>9000</v>
      </c>
      <c r="F91" s="894">
        <f t="shared" si="17"/>
        <v>2340</v>
      </c>
      <c r="G91" s="919">
        <f t="shared" si="18"/>
        <v>11340</v>
      </c>
      <c r="H91" s="918">
        <f>VLOOKUP($A91,'[9]MFP LEAs'!$A$7:$E$139,5,FALSE)</f>
        <v>6</v>
      </c>
      <c r="I91" s="894">
        <f t="shared" si="19"/>
        <v>3000</v>
      </c>
      <c r="J91" s="894">
        <f t="shared" si="20"/>
        <v>882</v>
      </c>
      <c r="K91" s="920">
        <f t="shared" si="21"/>
        <v>3882</v>
      </c>
      <c r="L91" s="918">
        <f t="shared" si="22"/>
        <v>15</v>
      </c>
      <c r="M91" s="894">
        <f t="shared" si="23"/>
        <v>12000</v>
      </c>
      <c r="N91" s="894">
        <f t="shared" si="24"/>
        <v>3222</v>
      </c>
      <c r="O91" s="921">
        <f t="shared" si="25"/>
        <v>15222</v>
      </c>
    </row>
    <row r="92" spans="1:15" ht="15.75" customHeight="1" x14ac:dyDescent="0.2">
      <c r="A92" s="853" t="s">
        <v>456</v>
      </c>
      <c r="B92" s="567" t="s">
        <v>293</v>
      </c>
      <c r="C92" s="923" t="s">
        <v>274</v>
      </c>
      <c r="D92" s="924">
        <f>VLOOKUP($A92,'[9]MFP LEAs'!$A$7:$E$139,4,FALSE)</f>
        <v>23</v>
      </c>
      <c r="E92" s="925">
        <f t="shared" si="16"/>
        <v>23000</v>
      </c>
      <c r="F92" s="925">
        <f t="shared" si="17"/>
        <v>5980</v>
      </c>
      <c r="G92" s="926">
        <f t="shared" si="18"/>
        <v>28980</v>
      </c>
      <c r="H92" s="924">
        <f>VLOOKUP($A92,'[9]MFP LEAs'!$A$7:$E$139,5,FALSE)</f>
        <v>13</v>
      </c>
      <c r="I92" s="925">
        <f t="shared" si="19"/>
        <v>6500</v>
      </c>
      <c r="J92" s="925">
        <f t="shared" si="20"/>
        <v>1911</v>
      </c>
      <c r="K92" s="927">
        <f t="shared" si="21"/>
        <v>8411</v>
      </c>
      <c r="L92" s="924">
        <f t="shared" si="22"/>
        <v>36</v>
      </c>
      <c r="M92" s="925">
        <f t="shared" si="23"/>
        <v>29500</v>
      </c>
      <c r="N92" s="925">
        <f t="shared" si="24"/>
        <v>7891</v>
      </c>
      <c r="O92" s="928">
        <f t="shared" si="25"/>
        <v>37391</v>
      </c>
    </row>
    <row r="93" spans="1:15" ht="15.75" customHeight="1" x14ac:dyDescent="0.2">
      <c r="A93" s="559" t="s">
        <v>457</v>
      </c>
      <c r="B93" s="912" t="s">
        <v>285</v>
      </c>
      <c r="C93" s="913" t="s">
        <v>252</v>
      </c>
      <c r="D93" s="914">
        <f>VLOOKUP($A93,'[9]MFP LEAs'!$A$7:$E$139,4,FALSE)</f>
        <v>40.450925925589999</v>
      </c>
      <c r="E93" s="893">
        <f t="shared" si="16"/>
        <v>40451</v>
      </c>
      <c r="F93" s="893">
        <f t="shared" si="17"/>
        <v>10517</v>
      </c>
      <c r="G93" s="915">
        <f t="shared" si="18"/>
        <v>50968</v>
      </c>
      <c r="H93" s="914">
        <f>VLOOKUP($A93,'[9]MFP LEAs'!$A$7:$E$139,5,FALSE)</f>
        <v>13.111111110887999</v>
      </c>
      <c r="I93" s="893">
        <f t="shared" si="19"/>
        <v>6556</v>
      </c>
      <c r="J93" s="893">
        <f t="shared" si="20"/>
        <v>1927</v>
      </c>
      <c r="K93" s="916">
        <f t="shared" si="21"/>
        <v>8483</v>
      </c>
      <c r="L93" s="914">
        <f t="shared" si="22"/>
        <v>53.562037036477996</v>
      </c>
      <c r="M93" s="893">
        <f t="shared" si="23"/>
        <v>47007</v>
      </c>
      <c r="N93" s="893">
        <f t="shared" si="24"/>
        <v>12444</v>
      </c>
      <c r="O93" s="917">
        <f t="shared" si="25"/>
        <v>59451</v>
      </c>
    </row>
    <row r="94" spans="1:15" ht="15.75" customHeight="1" x14ac:dyDescent="0.2">
      <c r="A94" s="565" t="s">
        <v>458</v>
      </c>
      <c r="B94" s="253">
        <v>328002</v>
      </c>
      <c r="C94" s="563" t="s">
        <v>262</v>
      </c>
      <c r="D94" s="918">
        <f>VLOOKUP($A94,'[9]MFP LEAs'!$A$7:$E$139,4,FALSE)</f>
        <v>43</v>
      </c>
      <c r="E94" s="894">
        <f t="shared" si="16"/>
        <v>43000</v>
      </c>
      <c r="F94" s="894">
        <f t="shared" si="17"/>
        <v>11180</v>
      </c>
      <c r="G94" s="919">
        <f t="shared" si="18"/>
        <v>54180</v>
      </c>
      <c r="H94" s="918">
        <f>VLOOKUP($A94,'[9]MFP LEAs'!$A$7:$E$139,5,FALSE)</f>
        <v>9</v>
      </c>
      <c r="I94" s="894">
        <f t="shared" si="19"/>
        <v>4500</v>
      </c>
      <c r="J94" s="894">
        <f t="shared" si="20"/>
        <v>1323</v>
      </c>
      <c r="K94" s="920">
        <f t="shared" si="21"/>
        <v>5823</v>
      </c>
      <c r="L94" s="918">
        <f t="shared" si="22"/>
        <v>52</v>
      </c>
      <c r="M94" s="894">
        <f t="shared" si="23"/>
        <v>47500</v>
      </c>
      <c r="N94" s="894">
        <f t="shared" si="24"/>
        <v>12503</v>
      </c>
      <c r="O94" s="921">
        <f t="shared" si="25"/>
        <v>60003</v>
      </c>
    </row>
    <row r="95" spans="1:15" ht="15.75" customHeight="1" x14ac:dyDescent="0.2">
      <c r="A95" s="565" t="s">
        <v>459</v>
      </c>
      <c r="B95" s="253" t="s">
        <v>294</v>
      </c>
      <c r="C95" s="563" t="s">
        <v>263</v>
      </c>
      <c r="D95" s="918">
        <f>VLOOKUP($A95,'[9]MFP LEAs'!$A$7:$E$139,4,FALSE)</f>
        <v>7</v>
      </c>
      <c r="E95" s="894">
        <f t="shared" si="16"/>
        <v>7000</v>
      </c>
      <c r="F95" s="894">
        <f t="shared" si="17"/>
        <v>1820</v>
      </c>
      <c r="G95" s="919">
        <f t="shared" si="18"/>
        <v>8820</v>
      </c>
      <c r="H95" s="918">
        <f>VLOOKUP($A95,'[9]MFP LEAs'!$A$7:$E$139,5,FALSE)</f>
        <v>7</v>
      </c>
      <c r="I95" s="894">
        <f t="shared" si="19"/>
        <v>3500</v>
      </c>
      <c r="J95" s="894">
        <f t="shared" si="20"/>
        <v>1029</v>
      </c>
      <c r="K95" s="920">
        <f t="shared" si="21"/>
        <v>4529</v>
      </c>
      <c r="L95" s="918">
        <f t="shared" si="22"/>
        <v>14</v>
      </c>
      <c r="M95" s="894">
        <f t="shared" si="23"/>
        <v>10500</v>
      </c>
      <c r="N95" s="894">
        <f t="shared" si="24"/>
        <v>2849</v>
      </c>
      <c r="O95" s="921">
        <f t="shared" si="25"/>
        <v>13349</v>
      </c>
    </row>
    <row r="96" spans="1:15" ht="15.75" customHeight="1" x14ac:dyDescent="0.2">
      <c r="A96" s="565" t="s">
        <v>460</v>
      </c>
      <c r="B96" s="253" t="s">
        <v>295</v>
      </c>
      <c r="C96" s="563" t="s">
        <v>264</v>
      </c>
      <c r="D96" s="918">
        <f>VLOOKUP($A96,'[9]MFP LEAs'!$A$7:$E$139,4,FALSE)</f>
        <v>61.234312748999997</v>
      </c>
      <c r="E96" s="894">
        <f t="shared" si="16"/>
        <v>61234</v>
      </c>
      <c r="F96" s="894">
        <f t="shared" si="17"/>
        <v>15921</v>
      </c>
      <c r="G96" s="919">
        <f t="shared" si="18"/>
        <v>77155</v>
      </c>
      <c r="H96" s="918">
        <f>VLOOKUP($A96,'[9]MFP LEAs'!$A$7:$E$139,5,FALSE)</f>
        <v>20.2</v>
      </c>
      <c r="I96" s="894">
        <f t="shared" si="19"/>
        <v>10100</v>
      </c>
      <c r="J96" s="894">
        <f t="shared" si="20"/>
        <v>2969</v>
      </c>
      <c r="K96" s="920">
        <f t="shared" si="21"/>
        <v>13069</v>
      </c>
      <c r="L96" s="918">
        <f t="shared" si="22"/>
        <v>81.434312749</v>
      </c>
      <c r="M96" s="894">
        <f t="shared" si="23"/>
        <v>71334</v>
      </c>
      <c r="N96" s="894">
        <f t="shared" si="24"/>
        <v>18890</v>
      </c>
      <c r="O96" s="921">
        <f t="shared" si="25"/>
        <v>90224</v>
      </c>
    </row>
    <row r="97" spans="1:15" ht="15.75" customHeight="1" x14ac:dyDescent="0.2">
      <c r="A97" s="853" t="s">
        <v>461</v>
      </c>
      <c r="B97" s="567" t="s">
        <v>286</v>
      </c>
      <c r="C97" s="923" t="s">
        <v>251</v>
      </c>
      <c r="D97" s="924">
        <f>VLOOKUP($A97,'[9]MFP LEAs'!$A$7:$E$139,4,FALSE)</f>
        <v>53</v>
      </c>
      <c r="E97" s="925">
        <f t="shared" si="16"/>
        <v>53000</v>
      </c>
      <c r="F97" s="925">
        <f t="shared" si="17"/>
        <v>13780</v>
      </c>
      <c r="G97" s="926">
        <f t="shared" si="18"/>
        <v>66780</v>
      </c>
      <c r="H97" s="924">
        <f>VLOOKUP($A97,'[9]MFP LEAs'!$A$7:$E$139,5,FALSE)</f>
        <v>9.2268760899999993</v>
      </c>
      <c r="I97" s="925">
        <f t="shared" si="19"/>
        <v>4613</v>
      </c>
      <c r="J97" s="925">
        <f t="shared" si="20"/>
        <v>1356</v>
      </c>
      <c r="K97" s="927">
        <f t="shared" si="21"/>
        <v>5969</v>
      </c>
      <c r="L97" s="924">
        <f t="shared" si="22"/>
        <v>62.226876089999998</v>
      </c>
      <c r="M97" s="925">
        <f t="shared" si="23"/>
        <v>57613</v>
      </c>
      <c r="N97" s="925">
        <f t="shared" si="24"/>
        <v>15136</v>
      </c>
      <c r="O97" s="928">
        <f t="shared" si="25"/>
        <v>72749</v>
      </c>
    </row>
    <row r="98" spans="1:15" ht="15.75" customHeight="1" x14ac:dyDescent="0.2">
      <c r="A98" s="559" t="s">
        <v>462</v>
      </c>
      <c r="B98" s="912" t="s">
        <v>296</v>
      </c>
      <c r="C98" s="913" t="s">
        <v>265</v>
      </c>
      <c r="D98" s="914">
        <f>VLOOKUP($A98,'[9]MFP LEAs'!$A$7:$E$139,4,FALSE)</f>
        <v>58.962519700000001</v>
      </c>
      <c r="E98" s="893">
        <f t="shared" si="16"/>
        <v>58963</v>
      </c>
      <c r="F98" s="893">
        <f t="shared" si="17"/>
        <v>15330</v>
      </c>
      <c r="G98" s="915">
        <f t="shared" si="18"/>
        <v>74293</v>
      </c>
      <c r="H98" s="914">
        <f>VLOOKUP($A98,'[9]MFP LEAs'!$A$7:$E$139,5,FALSE)</f>
        <v>38.909500117999997</v>
      </c>
      <c r="I98" s="893">
        <f t="shared" si="19"/>
        <v>19455</v>
      </c>
      <c r="J98" s="893">
        <f t="shared" si="20"/>
        <v>5720</v>
      </c>
      <c r="K98" s="916">
        <f t="shared" si="21"/>
        <v>25175</v>
      </c>
      <c r="L98" s="914">
        <f t="shared" si="22"/>
        <v>97.872019817999998</v>
      </c>
      <c r="M98" s="893">
        <f t="shared" si="23"/>
        <v>78418</v>
      </c>
      <c r="N98" s="893">
        <f t="shared" si="24"/>
        <v>21050</v>
      </c>
      <c r="O98" s="917">
        <f t="shared" si="25"/>
        <v>99468</v>
      </c>
    </row>
    <row r="99" spans="1:15" ht="15.75" customHeight="1" x14ac:dyDescent="0.2">
      <c r="A99" s="565" t="s">
        <v>463</v>
      </c>
      <c r="B99" s="253" t="s">
        <v>291</v>
      </c>
      <c r="C99" s="563" t="s">
        <v>260</v>
      </c>
      <c r="D99" s="918">
        <f>VLOOKUP($A99,'[9]MFP LEAs'!$A$7:$E$139,4,FALSE)</f>
        <v>34.809808611000001</v>
      </c>
      <c r="E99" s="894">
        <f t="shared" si="16"/>
        <v>34810</v>
      </c>
      <c r="F99" s="894">
        <f t="shared" si="17"/>
        <v>9051</v>
      </c>
      <c r="G99" s="919">
        <f t="shared" si="18"/>
        <v>43861</v>
      </c>
      <c r="H99" s="918">
        <f>VLOOKUP($A99,'[9]MFP LEAs'!$A$7:$E$139,5,FALSE)</f>
        <v>10</v>
      </c>
      <c r="I99" s="894">
        <f t="shared" si="19"/>
        <v>5000</v>
      </c>
      <c r="J99" s="894">
        <f t="shared" si="20"/>
        <v>1470</v>
      </c>
      <c r="K99" s="920">
        <f t="shared" si="21"/>
        <v>6470</v>
      </c>
      <c r="L99" s="918">
        <f t="shared" si="22"/>
        <v>44.809808611000001</v>
      </c>
      <c r="M99" s="894">
        <f t="shared" si="23"/>
        <v>39810</v>
      </c>
      <c r="N99" s="894">
        <f t="shared" si="24"/>
        <v>10521</v>
      </c>
      <c r="O99" s="921">
        <f t="shared" si="25"/>
        <v>50331</v>
      </c>
    </row>
    <row r="100" spans="1:15" ht="15.75" customHeight="1" x14ac:dyDescent="0.2">
      <c r="A100" s="565" t="s">
        <v>464</v>
      </c>
      <c r="B100" s="253">
        <v>343002</v>
      </c>
      <c r="C100" s="563" t="s">
        <v>333</v>
      </c>
      <c r="D100" s="918">
        <f>VLOOKUP($A100,'[9]MFP LEAs'!$A$7:$E$139,4,FALSE)</f>
        <v>73.966666666000009</v>
      </c>
      <c r="E100" s="894">
        <f t="shared" si="16"/>
        <v>73967</v>
      </c>
      <c r="F100" s="894">
        <f t="shared" si="17"/>
        <v>19231</v>
      </c>
      <c r="G100" s="919">
        <f t="shared" si="18"/>
        <v>93198</v>
      </c>
      <c r="H100" s="918">
        <f>VLOOKUP($A100,'[9]MFP LEAs'!$A$7:$E$139,5,FALSE)</f>
        <v>26.966666666000002</v>
      </c>
      <c r="I100" s="894">
        <f t="shared" si="19"/>
        <v>13483</v>
      </c>
      <c r="J100" s="894">
        <f t="shared" si="20"/>
        <v>3964</v>
      </c>
      <c r="K100" s="920">
        <f t="shared" si="21"/>
        <v>17447</v>
      </c>
      <c r="L100" s="918">
        <f t="shared" si="22"/>
        <v>100.93333333200002</v>
      </c>
      <c r="M100" s="894">
        <f t="shared" si="23"/>
        <v>87450</v>
      </c>
      <c r="N100" s="894">
        <f t="shared" si="24"/>
        <v>23195</v>
      </c>
      <c r="O100" s="921">
        <f t="shared" si="25"/>
        <v>110645</v>
      </c>
    </row>
    <row r="101" spans="1:15" ht="15.75" customHeight="1" x14ac:dyDescent="0.2">
      <c r="A101" s="565" t="s">
        <v>465</v>
      </c>
      <c r="B101" s="253">
        <v>328001</v>
      </c>
      <c r="C101" s="563" t="s">
        <v>254</v>
      </c>
      <c r="D101" s="918">
        <f>VLOOKUP($A101,'[9]MFP LEAs'!$A$7:$E$139,4,FALSE)</f>
        <v>52</v>
      </c>
      <c r="E101" s="894">
        <f t="shared" si="16"/>
        <v>52000</v>
      </c>
      <c r="F101" s="894">
        <f t="shared" si="17"/>
        <v>13520</v>
      </c>
      <c r="G101" s="919">
        <f t="shared" si="18"/>
        <v>65520</v>
      </c>
      <c r="H101" s="918">
        <f>VLOOKUP($A101,'[9]MFP LEAs'!$A$7:$E$139,5,FALSE)</f>
        <v>21</v>
      </c>
      <c r="I101" s="894">
        <f t="shared" si="19"/>
        <v>10500</v>
      </c>
      <c r="J101" s="894">
        <f t="shared" si="20"/>
        <v>3087</v>
      </c>
      <c r="K101" s="920">
        <f t="shared" si="21"/>
        <v>13587</v>
      </c>
      <c r="L101" s="918">
        <f t="shared" si="22"/>
        <v>73</v>
      </c>
      <c r="M101" s="894">
        <f t="shared" si="23"/>
        <v>62500</v>
      </c>
      <c r="N101" s="894">
        <f t="shared" si="24"/>
        <v>16607</v>
      </c>
      <c r="O101" s="921">
        <f t="shared" si="25"/>
        <v>79107</v>
      </c>
    </row>
    <row r="102" spans="1:15" ht="15.75" customHeight="1" x14ac:dyDescent="0.2">
      <c r="A102" s="853" t="s">
        <v>466</v>
      </c>
      <c r="B102" s="567">
        <v>349001</v>
      </c>
      <c r="C102" s="923" t="s">
        <v>259</v>
      </c>
      <c r="D102" s="924">
        <f>VLOOKUP($A102,'[9]MFP LEAs'!$A$7:$E$139,4,FALSE)</f>
        <v>17.750197626999</v>
      </c>
      <c r="E102" s="925">
        <f t="shared" si="16"/>
        <v>17750</v>
      </c>
      <c r="F102" s="925">
        <f t="shared" si="17"/>
        <v>4615</v>
      </c>
      <c r="G102" s="926">
        <f t="shared" si="18"/>
        <v>22365</v>
      </c>
      <c r="H102" s="924">
        <f>VLOOKUP($A102,'[9]MFP LEAs'!$A$7:$E$139,5,FALSE)</f>
        <v>16.399999999999999</v>
      </c>
      <c r="I102" s="925">
        <f t="shared" si="19"/>
        <v>8200</v>
      </c>
      <c r="J102" s="925">
        <f t="shared" si="20"/>
        <v>2411</v>
      </c>
      <c r="K102" s="927">
        <f t="shared" si="21"/>
        <v>10611</v>
      </c>
      <c r="L102" s="924">
        <f t="shared" si="22"/>
        <v>34.150197626999002</v>
      </c>
      <c r="M102" s="925">
        <f t="shared" si="23"/>
        <v>25950</v>
      </c>
      <c r="N102" s="925">
        <f t="shared" si="24"/>
        <v>7026</v>
      </c>
      <c r="O102" s="928">
        <f t="shared" si="25"/>
        <v>32976</v>
      </c>
    </row>
    <row r="103" spans="1:15" ht="15.75" customHeight="1" x14ac:dyDescent="0.2">
      <c r="A103" s="559" t="s">
        <v>474</v>
      </c>
      <c r="B103" s="912" t="s">
        <v>300</v>
      </c>
      <c r="C103" s="913" t="s">
        <v>354</v>
      </c>
      <c r="D103" s="914">
        <f>VLOOKUP($A103,'[9]MFP LEAs'!$A$7:$E$139,4,FALSE)</f>
        <v>21.551049618</v>
      </c>
      <c r="E103" s="893">
        <f t="shared" si="16"/>
        <v>21551</v>
      </c>
      <c r="F103" s="893">
        <f t="shared" si="17"/>
        <v>5603</v>
      </c>
      <c r="G103" s="915">
        <f t="shared" si="18"/>
        <v>27154</v>
      </c>
      <c r="H103" s="914">
        <f>VLOOKUP($A103,'[9]MFP LEAs'!$A$7:$E$139,5,FALSE)</f>
        <v>5.1648377859999997</v>
      </c>
      <c r="I103" s="893">
        <f t="shared" si="19"/>
        <v>2582</v>
      </c>
      <c r="J103" s="893">
        <f t="shared" si="20"/>
        <v>759</v>
      </c>
      <c r="K103" s="916">
        <f t="shared" si="21"/>
        <v>3341</v>
      </c>
      <c r="L103" s="914">
        <f t="shared" si="22"/>
        <v>26.715887404</v>
      </c>
      <c r="M103" s="893">
        <f t="shared" si="23"/>
        <v>24133</v>
      </c>
      <c r="N103" s="893">
        <f t="shared" si="24"/>
        <v>6362</v>
      </c>
      <c r="O103" s="917">
        <f t="shared" si="25"/>
        <v>30495</v>
      </c>
    </row>
    <row r="104" spans="1:15" ht="15.75" customHeight="1" x14ac:dyDescent="0.2">
      <c r="A104" s="565" t="s">
        <v>371</v>
      </c>
      <c r="B104" s="253" t="s">
        <v>371</v>
      </c>
      <c r="C104" s="563" t="s">
        <v>476</v>
      </c>
      <c r="D104" s="918">
        <f>VLOOKUP($A104,'[9]MFP LEAs'!$A$7:$E$139,4,FALSE)</f>
        <v>51.726315787999994</v>
      </c>
      <c r="E104" s="894">
        <f t="shared" si="16"/>
        <v>51726</v>
      </c>
      <c r="F104" s="894">
        <f t="shared" si="17"/>
        <v>13449</v>
      </c>
      <c r="G104" s="919">
        <f t="shared" si="18"/>
        <v>65175</v>
      </c>
      <c r="H104" s="918">
        <f>VLOOKUP($A104,'[9]MFP LEAs'!$A$7:$E$139,5,FALSE)</f>
        <v>47.931578946999998</v>
      </c>
      <c r="I104" s="894">
        <f t="shared" si="19"/>
        <v>23966</v>
      </c>
      <c r="J104" s="894">
        <f t="shared" si="20"/>
        <v>7046</v>
      </c>
      <c r="K104" s="920">
        <f t="shared" si="21"/>
        <v>31012</v>
      </c>
      <c r="L104" s="918">
        <f t="shared" si="22"/>
        <v>99.657894734999985</v>
      </c>
      <c r="M104" s="894">
        <f t="shared" si="23"/>
        <v>75692</v>
      </c>
      <c r="N104" s="894">
        <f t="shared" si="24"/>
        <v>20495</v>
      </c>
      <c r="O104" s="921">
        <f t="shared" si="25"/>
        <v>96187</v>
      </c>
    </row>
    <row r="105" spans="1:15" ht="15.75" customHeight="1" x14ac:dyDescent="0.2">
      <c r="A105" s="565" t="s">
        <v>913</v>
      </c>
      <c r="B105" s="253" t="s">
        <v>913</v>
      </c>
      <c r="C105" s="563" t="s">
        <v>910</v>
      </c>
      <c r="D105" s="918">
        <f>VLOOKUP($A105,'[9]MFP LEAs'!$A$7:$E$139,4,FALSE)</f>
        <v>14.786885245000001</v>
      </c>
      <c r="E105" s="894">
        <f t="shared" si="16"/>
        <v>14787</v>
      </c>
      <c r="F105" s="894">
        <f t="shared" si="17"/>
        <v>3845</v>
      </c>
      <c r="G105" s="919">
        <f t="shared" si="18"/>
        <v>18632</v>
      </c>
      <c r="H105" s="918">
        <f>VLOOKUP($A105,'[9]MFP LEAs'!$A$7:$E$139,5,FALSE)</f>
        <v>4</v>
      </c>
      <c r="I105" s="894">
        <f t="shared" si="19"/>
        <v>2000</v>
      </c>
      <c r="J105" s="894">
        <f t="shared" si="20"/>
        <v>588</v>
      </c>
      <c r="K105" s="920">
        <f t="shared" si="21"/>
        <v>2588</v>
      </c>
      <c r="L105" s="918">
        <f t="shared" si="22"/>
        <v>18.786885245000001</v>
      </c>
      <c r="M105" s="894">
        <f t="shared" si="23"/>
        <v>16787</v>
      </c>
      <c r="N105" s="894">
        <f t="shared" si="24"/>
        <v>4433</v>
      </c>
      <c r="O105" s="921">
        <f t="shared" si="25"/>
        <v>21220</v>
      </c>
    </row>
    <row r="106" spans="1:15" ht="15.75" customHeight="1" x14ac:dyDescent="0.2">
      <c r="A106" s="565" t="s">
        <v>915</v>
      </c>
      <c r="B106" s="253" t="s">
        <v>915</v>
      </c>
      <c r="C106" s="563" t="s">
        <v>1215</v>
      </c>
      <c r="D106" s="918">
        <f>VLOOKUP($A106,'[9]MFP LEAs'!$A$7:$E$139,4,FALSE)</f>
        <v>71</v>
      </c>
      <c r="E106" s="894">
        <f t="shared" si="16"/>
        <v>71000</v>
      </c>
      <c r="F106" s="894">
        <f t="shared" si="17"/>
        <v>18460</v>
      </c>
      <c r="G106" s="919">
        <f t="shared" si="18"/>
        <v>89460</v>
      </c>
      <c r="H106" s="918">
        <f>VLOOKUP($A106,'[9]MFP LEAs'!$A$7:$E$139,5,FALSE)</f>
        <v>36.5</v>
      </c>
      <c r="I106" s="894">
        <f t="shared" si="19"/>
        <v>18250</v>
      </c>
      <c r="J106" s="894">
        <f t="shared" si="20"/>
        <v>5366</v>
      </c>
      <c r="K106" s="920">
        <f t="shared" si="21"/>
        <v>23616</v>
      </c>
      <c r="L106" s="918">
        <f t="shared" si="22"/>
        <v>107.5</v>
      </c>
      <c r="M106" s="894">
        <f t="shared" si="23"/>
        <v>89250</v>
      </c>
      <c r="N106" s="894">
        <f t="shared" si="24"/>
        <v>23826</v>
      </c>
      <c r="O106" s="921">
        <f t="shared" si="25"/>
        <v>113076</v>
      </c>
    </row>
    <row r="107" spans="1:15" ht="15.75" customHeight="1" x14ac:dyDescent="0.2">
      <c r="A107" s="853" t="s">
        <v>1377</v>
      </c>
      <c r="B107" s="567" t="s">
        <v>1377</v>
      </c>
      <c r="C107" s="923" t="s">
        <v>1378</v>
      </c>
      <c r="D107" s="924">
        <f>VLOOKUP($A107,'[9]MFP LEAs'!$A$7:$E$139,4,FALSE)</f>
        <v>10.095734901</v>
      </c>
      <c r="E107" s="925">
        <f t="shared" si="16"/>
        <v>10096</v>
      </c>
      <c r="F107" s="925">
        <f t="shared" si="17"/>
        <v>2625</v>
      </c>
      <c r="G107" s="926">
        <f t="shared" si="18"/>
        <v>12721</v>
      </c>
      <c r="H107" s="924">
        <f>VLOOKUP($A107,'[9]MFP LEAs'!$A$7:$E$139,5,FALSE)</f>
        <v>2</v>
      </c>
      <c r="I107" s="925">
        <f t="shared" si="19"/>
        <v>1000</v>
      </c>
      <c r="J107" s="925">
        <f t="shared" si="20"/>
        <v>294</v>
      </c>
      <c r="K107" s="927">
        <f t="shared" si="21"/>
        <v>1294</v>
      </c>
      <c r="L107" s="924">
        <f t="shared" si="22"/>
        <v>12.095734901</v>
      </c>
      <c r="M107" s="925">
        <f t="shared" si="23"/>
        <v>11096</v>
      </c>
      <c r="N107" s="925">
        <f t="shared" si="24"/>
        <v>2919</v>
      </c>
      <c r="O107" s="928">
        <f t="shared" si="25"/>
        <v>14015</v>
      </c>
    </row>
    <row r="108" spans="1:15" ht="15.75" customHeight="1" x14ac:dyDescent="0.2">
      <c r="A108" s="559" t="s">
        <v>1379</v>
      </c>
      <c r="B108" s="912" t="s">
        <v>1379</v>
      </c>
      <c r="C108" s="913" t="s">
        <v>1380</v>
      </c>
      <c r="D108" s="914">
        <f>VLOOKUP($A108,'[9]MFP LEAs'!$A$7:$E$139,4,FALSE)</f>
        <v>11</v>
      </c>
      <c r="E108" s="893">
        <f t="shared" si="16"/>
        <v>11000</v>
      </c>
      <c r="F108" s="893">
        <f t="shared" si="17"/>
        <v>2860</v>
      </c>
      <c r="G108" s="915">
        <f t="shared" si="18"/>
        <v>13860</v>
      </c>
      <c r="H108" s="914">
        <f>VLOOKUP($A108,'[9]MFP LEAs'!$A$7:$E$139,5,FALSE)</f>
        <v>5</v>
      </c>
      <c r="I108" s="893">
        <f t="shared" si="19"/>
        <v>2500</v>
      </c>
      <c r="J108" s="893">
        <f t="shared" si="20"/>
        <v>735</v>
      </c>
      <c r="K108" s="916">
        <f t="shared" si="21"/>
        <v>3235</v>
      </c>
      <c r="L108" s="914">
        <f t="shared" si="22"/>
        <v>16</v>
      </c>
      <c r="M108" s="893">
        <f t="shared" si="23"/>
        <v>13500</v>
      </c>
      <c r="N108" s="893">
        <f t="shared" si="24"/>
        <v>3595</v>
      </c>
      <c r="O108" s="917">
        <f t="shared" si="25"/>
        <v>17095</v>
      </c>
    </row>
    <row r="109" spans="1:15" ht="15.75" customHeight="1" x14ac:dyDescent="0.2">
      <c r="A109" s="565" t="s">
        <v>698</v>
      </c>
      <c r="B109" s="253" t="s">
        <v>698</v>
      </c>
      <c r="C109" s="563" t="s">
        <v>892</v>
      </c>
      <c r="D109" s="918">
        <f>VLOOKUP($A109,'[9]MFP LEAs'!$A$7:$E$139,4,FALSE)</f>
        <v>35</v>
      </c>
      <c r="E109" s="894">
        <f t="shared" si="16"/>
        <v>35000</v>
      </c>
      <c r="F109" s="894">
        <f t="shared" si="17"/>
        <v>9100</v>
      </c>
      <c r="G109" s="919">
        <f t="shared" si="18"/>
        <v>44100</v>
      </c>
      <c r="H109" s="918">
        <f>VLOOKUP($A109,'[9]MFP LEAs'!$A$7:$E$139,5,FALSE)</f>
        <v>18</v>
      </c>
      <c r="I109" s="894">
        <f t="shared" si="19"/>
        <v>9000</v>
      </c>
      <c r="J109" s="894">
        <f t="shared" si="20"/>
        <v>2646</v>
      </c>
      <c r="K109" s="920">
        <f t="shared" si="21"/>
        <v>11646</v>
      </c>
      <c r="L109" s="918">
        <f t="shared" si="22"/>
        <v>53</v>
      </c>
      <c r="M109" s="894">
        <f t="shared" si="23"/>
        <v>44000</v>
      </c>
      <c r="N109" s="894">
        <f t="shared" si="24"/>
        <v>11746</v>
      </c>
      <c r="O109" s="921">
        <f t="shared" si="25"/>
        <v>55746</v>
      </c>
    </row>
    <row r="110" spans="1:15" ht="15.75" customHeight="1" x14ac:dyDescent="0.2">
      <c r="A110" s="565" t="s">
        <v>699</v>
      </c>
      <c r="B110" s="253" t="s">
        <v>455</v>
      </c>
      <c r="C110" s="563" t="s">
        <v>1116</v>
      </c>
      <c r="D110" s="918">
        <f>VLOOKUP($A110,'[9]MFP LEAs'!$A$7:$E$139,4,FALSE)</f>
        <v>55.986455108000001</v>
      </c>
      <c r="E110" s="894">
        <f t="shared" si="16"/>
        <v>55986</v>
      </c>
      <c r="F110" s="894">
        <f t="shared" si="17"/>
        <v>14556</v>
      </c>
      <c r="G110" s="919">
        <f t="shared" si="18"/>
        <v>70542</v>
      </c>
      <c r="H110" s="918">
        <f>VLOOKUP($A110,'[9]MFP LEAs'!$A$7:$E$139,5,FALSE)</f>
        <v>39</v>
      </c>
      <c r="I110" s="894">
        <f t="shared" si="19"/>
        <v>19500</v>
      </c>
      <c r="J110" s="894">
        <f t="shared" si="20"/>
        <v>5733</v>
      </c>
      <c r="K110" s="920">
        <f t="shared" si="21"/>
        <v>25233</v>
      </c>
      <c r="L110" s="918">
        <f t="shared" si="22"/>
        <v>94.986455108000001</v>
      </c>
      <c r="M110" s="894">
        <f t="shared" si="23"/>
        <v>75486</v>
      </c>
      <c r="N110" s="894">
        <f t="shared" si="24"/>
        <v>20289</v>
      </c>
      <c r="O110" s="921">
        <f t="shared" si="25"/>
        <v>95775</v>
      </c>
    </row>
    <row r="111" spans="1:15" ht="15.75" customHeight="1" thickBot="1" x14ac:dyDescent="0.25">
      <c r="A111" s="1369" t="s">
        <v>339</v>
      </c>
      <c r="B111" s="1370"/>
      <c r="C111" s="1371"/>
      <c r="D111" s="941">
        <f t="shared" ref="D111:O111" si="26">SUM(D78:D110)</f>
        <v>1533.2178917599381</v>
      </c>
      <c r="E111" s="942">
        <f t="shared" si="26"/>
        <v>1533218</v>
      </c>
      <c r="F111" s="942">
        <f t="shared" si="26"/>
        <v>398634</v>
      </c>
      <c r="G111" s="943">
        <f t="shared" si="26"/>
        <v>1931852</v>
      </c>
      <c r="H111" s="941">
        <f t="shared" si="26"/>
        <v>638.162480417138</v>
      </c>
      <c r="I111" s="942">
        <f t="shared" si="26"/>
        <v>319080</v>
      </c>
      <c r="J111" s="942">
        <f t="shared" si="26"/>
        <v>93809</v>
      </c>
      <c r="K111" s="944">
        <f t="shared" si="26"/>
        <v>412889</v>
      </c>
      <c r="L111" s="941">
        <f t="shared" si="26"/>
        <v>2171.3803721770755</v>
      </c>
      <c r="M111" s="942">
        <f t="shared" si="26"/>
        <v>1852298</v>
      </c>
      <c r="N111" s="942">
        <f t="shared" si="26"/>
        <v>492443</v>
      </c>
      <c r="O111" s="945">
        <f t="shared" si="26"/>
        <v>2344741</v>
      </c>
    </row>
    <row r="112" spans="1:15" ht="9" customHeight="1" thickTop="1" x14ac:dyDescent="0.2">
      <c r="A112" s="710"/>
      <c r="B112" s="711"/>
      <c r="C112" s="712"/>
      <c r="D112" s="948"/>
      <c r="E112" s="948"/>
      <c r="F112" s="948"/>
      <c r="G112" s="948"/>
      <c r="H112" s="948"/>
      <c r="I112" s="948"/>
      <c r="J112" s="948"/>
      <c r="K112" s="948"/>
      <c r="L112" s="948"/>
      <c r="M112" s="948"/>
      <c r="N112" s="948"/>
      <c r="O112" s="948"/>
    </row>
    <row r="113" spans="1:15" ht="15.75" customHeight="1" x14ac:dyDescent="0.2">
      <c r="A113" s="947">
        <v>396211</v>
      </c>
      <c r="B113" s="947" t="s">
        <v>469</v>
      </c>
      <c r="C113" s="913" t="s">
        <v>895</v>
      </c>
      <c r="D113" s="914">
        <f>VLOOKUP($A113,'[9]MFP LEAs'!$A$7:$E$139,4,FALSE)</f>
        <v>66</v>
      </c>
      <c r="E113" s="893">
        <f>ROUND(D113*$E$4,0)</f>
        <v>66000</v>
      </c>
      <c r="F113" s="893">
        <f>ROUND(E113*$F$4,0)</f>
        <v>17160</v>
      </c>
      <c r="G113" s="915">
        <f>E113+F113</f>
        <v>83160</v>
      </c>
      <c r="H113" s="914">
        <f>VLOOKUP($A113,'[9]MFP LEAs'!$A$7:$E$139,5,FALSE)</f>
        <v>39</v>
      </c>
      <c r="I113" s="893">
        <f>ROUND(H113*$I$4,0)</f>
        <v>19500</v>
      </c>
      <c r="J113" s="893">
        <f>ROUND(I113*$J$4,0)</f>
        <v>5733</v>
      </c>
      <c r="K113" s="916">
        <f>I113+J113</f>
        <v>25233</v>
      </c>
      <c r="L113" s="914">
        <f>D113+H113</f>
        <v>105</v>
      </c>
      <c r="M113" s="893">
        <f>E113+I113</f>
        <v>85500</v>
      </c>
      <c r="N113" s="893">
        <f>F113+J113</f>
        <v>22893</v>
      </c>
      <c r="O113" s="917">
        <f>G113+K113</f>
        <v>108393</v>
      </c>
    </row>
    <row r="114" spans="1:15" ht="15.75" customHeight="1" x14ac:dyDescent="0.2">
      <c r="A114" s="565" t="s">
        <v>1381</v>
      </c>
      <c r="B114" s="253" t="s">
        <v>475</v>
      </c>
      <c r="C114" s="563" t="s">
        <v>1337</v>
      </c>
      <c r="D114" s="918">
        <f>VLOOKUP($A114,'[9]MFP LEAs'!$A$7:$E$139,4,FALSE)</f>
        <v>31</v>
      </c>
      <c r="E114" s="894">
        <f t="shared" ref="E114:E119" si="27">ROUND(D114*$E$4,0)</f>
        <v>31000</v>
      </c>
      <c r="F114" s="894">
        <f t="shared" ref="F114:F119" si="28">ROUND(E114*$F$4,0)</f>
        <v>8060</v>
      </c>
      <c r="G114" s="919">
        <f t="shared" ref="G114:G119" si="29">E114+F114</f>
        <v>39060</v>
      </c>
      <c r="H114" s="918">
        <f>VLOOKUP($A114,'[9]MFP LEAs'!$A$7:$E$139,5,FALSE)</f>
        <v>8</v>
      </c>
      <c r="I114" s="894">
        <f t="shared" ref="I114:I119" si="30">ROUND(H114*$I$4,0)</f>
        <v>4000</v>
      </c>
      <c r="J114" s="894">
        <f t="shared" ref="J114:J119" si="31">ROUND(I114*$J$4,0)</f>
        <v>1176</v>
      </c>
      <c r="K114" s="920">
        <f t="shared" ref="K114:K119" si="32">I114+J114</f>
        <v>5176</v>
      </c>
      <c r="L114" s="918">
        <f t="shared" ref="L114:O119" si="33">D114+H114</f>
        <v>39</v>
      </c>
      <c r="M114" s="894">
        <f t="shared" si="33"/>
        <v>35000</v>
      </c>
      <c r="N114" s="894">
        <f t="shared" si="33"/>
        <v>9236</v>
      </c>
      <c r="O114" s="921">
        <f t="shared" si="33"/>
        <v>44236</v>
      </c>
    </row>
    <row r="115" spans="1:15" ht="15.75" customHeight="1" x14ac:dyDescent="0.2">
      <c r="A115" s="565" t="s">
        <v>473</v>
      </c>
      <c r="B115" s="253" t="s">
        <v>327</v>
      </c>
      <c r="C115" s="563" t="s">
        <v>1448</v>
      </c>
      <c r="D115" s="918">
        <f>VLOOKUP($A115,'[9]MFP LEAs'!$A$7:$E$139,4,FALSE)</f>
        <v>22.697564304665999</v>
      </c>
      <c r="E115" s="894">
        <f t="shared" si="27"/>
        <v>22698</v>
      </c>
      <c r="F115" s="894">
        <f t="shared" si="28"/>
        <v>5901</v>
      </c>
      <c r="G115" s="919">
        <f t="shared" si="29"/>
        <v>28599</v>
      </c>
      <c r="H115" s="918">
        <f>VLOOKUP($A115,'[9]MFP LEAs'!$A$7:$E$139,5,FALSE)</f>
        <v>16.333333333332</v>
      </c>
      <c r="I115" s="894">
        <f t="shared" si="30"/>
        <v>8167</v>
      </c>
      <c r="J115" s="894">
        <f t="shared" si="31"/>
        <v>2401</v>
      </c>
      <c r="K115" s="920">
        <f t="shared" si="32"/>
        <v>10568</v>
      </c>
      <c r="L115" s="918">
        <f t="shared" si="33"/>
        <v>39.030897637997995</v>
      </c>
      <c r="M115" s="894">
        <f t="shared" si="33"/>
        <v>30865</v>
      </c>
      <c r="N115" s="894">
        <f t="shared" si="33"/>
        <v>8302</v>
      </c>
      <c r="O115" s="921">
        <f t="shared" si="33"/>
        <v>39167</v>
      </c>
    </row>
    <row r="116" spans="1:15" ht="15.75" customHeight="1" x14ac:dyDescent="0.2">
      <c r="A116" s="565" t="s">
        <v>471</v>
      </c>
      <c r="B116" s="253" t="s">
        <v>297</v>
      </c>
      <c r="C116" s="563" t="s">
        <v>1449</v>
      </c>
      <c r="D116" s="918">
        <f>VLOOKUP($A116,'[9]MFP LEAs'!$A$7:$E$139,4,FALSE)</f>
        <v>18.666666666666</v>
      </c>
      <c r="E116" s="894">
        <f t="shared" si="27"/>
        <v>18667</v>
      </c>
      <c r="F116" s="894">
        <f t="shared" si="28"/>
        <v>4853</v>
      </c>
      <c r="G116" s="919">
        <f t="shared" si="29"/>
        <v>23520</v>
      </c>
      <c r="H116" s="918">
        <f>VLOOKUP($A116,'[9]MFP LEAs'!$A$7:$E$139,5,FALSE)</f>
        <v>14.333333333332</v>
      </c>
      <c r="I116" s="894">
        <f t="shared" si="30"/>
        <v>7167</v>
      </c>
      <c r="J116" s="894">
        <f t="shared" si="31"/>
        <v>2107</v>
      </c>
      <c r="K116" s="920">
        <f t="shared" si="32"/>
        <v>9274</v>
      </c>
      <c r="L116" s="918">
        <f t="shared" si="33"/>
        <v>32.999999999997996</v>
      </c>
      <c r="M116" s="894">
        <f t="shared" si="33"/>
        <v>25834</v>
      </c>
      <c r="N116" s="894">
        <f t="shared" si="33"/>
        <v>6960</v>
      </c>
      <c r="O116" s="921">
        <f t="shared" si="33"/>
        <v>32794</v>
      </c>
    </row>
    <row r="117" spans="1:15" ht="15.75" customHeight="1" x14ac:dyDescent="0.2">
      <c r="A117" s="853" t="s">
        <v>369</v>
      </c>
      <c r="B117" s="567" t="s">
        <v>369</v>
      </c>
      <c r="C117" s="923" t="s">
        <v>355</v>
      </c>
      <c r="D117" s="924">
        <f>VLOOKUP($A117,'[9]MFP LEAs'!$A$7:$E$139,4,FALSE)</f>
        <v>31</v>
      </c>
      <c r="E117" s="925">
        <f t="shared" si="27"/>
        <v>31000</v>
      </c>
      <c r="F117" s="925">
        <f t="shared" si="28"/>
        <v>8060</v>
      </c>
      <c r="G117" s="926">
        <f t="shared" si="29"/>
        <v>39060</v>
      </c>
      <c r="H117" s="924">
        <f>VLOOKUP($A117,'[9]MFP LEAs'!$A$7:$E$139,5,FALSE)</f>
        <v>22</v>
      </c>
      <c r="I117" s="925">
        <f t="shared" si="30"/>
        <v>11000</v>
      </c>
      <c r="J117" s="925">
        <f t="shared" si="31"/>
        <v>3234</v>
      </c>
      <c r="K117" s="927">
        <f t="shared" si="32"/>
        <v>14234</v>
      </c>
      <c r="L117" s="924">
        <f t="shared" si="33"/>
        <v>53</v>
      </c>
      <c r="M117" s="925">
        <f t="shared" si="33"/>
        <v>42000</v>
      </c>
      <c r="N117" s="925">
        <f t="shared" si="33"/>
        <v>11294</v>
      </c>
      <c r="O117" s="928">
        <f t="shared" si="33"/>
        <v>53294</v>
      </c>
    </row>
    <row r="118" spans="1:15" ht="15.75" customHeight="1" x14ac:dyDescent="0.2">
      <c r="A118" s="565" t="s">
        <v>470</v>
      </c>
      <c r="B118" s="253">
        <v>389002</v>
      </c>
      <c r="C118" s="563" t="s">
        <v>353</v>
      </c>
      <c r="D118" s="918">
        <f>VLOOKUP($A118,'[9]MFP LEAs'!$A$7:$E$139,4,FALSE)</f>
        <v>37.698979590999997</v>
      </c>
      <c r="E118" s="894">
        <f t="shared" si="27"/>
        <v>37699</v>
      </c>
      <c r="F118" s="894">
        <f t="shared" si="28"/>
        <v>9802</v>
      </c>
      <c r="G118" s="919">
        <f t="shared" si="29"/>
        <v>47501</v>
      </c>
      <c r="H118" s="918">
        <f>VLOOKUP($A118,'[9]MFP LEAs'!$A$7:$E$139,5,FALSE)</f>
        <v>14.389784945000001</v>
      </c>
      <c r="I118" s="894">
        <f t="shared" si="30"/>
        <v>7195</v>
      </c>
      <c r="J118" s="894">
        <f t="shared" si="31"/>
        <v>2115</v>
      </c>
      <c r="K118" s="920">
        <f t="shared" si="32"/>
        <v>9310</v>
      </c>
      <c r="L118" s="918">
        <f t="shared" si="33"/>
        <v>52.088764535999999</v>
      </c>
      <c r="M118" s="894">
        <f t="shared" si="33"/>
        <v>44894</v>
      </c>
      <c r="N118" s="894">
        <f t="shared" si="33"/>
        <v>11917</v>
      </c>
      <c r="O118" s="921">
        <f t="shared" si="33"/>
        <v>56811</v>
      </c>
    </row>
    <row r="119" spans="1:15" ht="15.75" customHeight="1" x14ac:dyDescent="0.2">
      <c r="A119" s="853" t="s">
        <v>1382</v>
      </c>
      <c r="B119" s="567" t="s">
        <v>1383</v>
      </c>
      <c r="C119" s="923" t="s">
        <v>1450</v>
      </c>
      <c r="D119" s="924">
        <f>VLOOKUP($A119,'[9]MFP LEAs'!$A$7:$E$139,4,FALSE)</f>
        <v>19.666666666666</v>
      </c>
      <c r="E119" s="925">
        <f t="shared" si="27"/>
        <v>19667</v>
      </c>
      <c r="F119" s="925">
        <f t="shared" si="28"/>
        <v>5113</v>
      </c>
      <c r="G119" s="926">
        <f t="shared" si="29"/>
        <v>24780</v>
      </c>
      <c r="H119" s="924">
        <f>VLOOKUP($A119,'[9]MFP LEAs'!$A$7:$E$139,5,FALSE)</f>
        <v>18.391136801331999</v>
      </c>
      <c r="I119" s="925">
        <f t="shared" si="30"/>
        <v>9196</v>
      </c>
      <c r="J119" s="925">
        <f t="shared" si="31"/>
        <v>2704</v>
      </c>
      <c r="K119" s="927">
        <f t="shared" si="32"/>
        <v>11900</v>
      </c>
      <c r="L119" s="924">
        <f t="shared" si="33"/>
        <v>38.057803467997999</v>
      </c>
      <c r="M119" s="925">
        <f t="shared" si="33"/>
        <v>28863</v>
      </c>
      <c r="N119" s="925">
        <f t="shared" si="33"/>
        <v>7817</v>
      </c>
      <c r="O119" s="928">
        <f t="shared" si="33"/>
        <v>36680</v>
      </c>
    </row>
    <row r="120" spans="1:15" ht="15.75" customHeight="1" thickBot="1" x14ac:dyDescent="0.25">
      <c r="A120" s="1369" t="s">
        <v>1301</v>
      </c>
      <c r="B120" s="1370"/>
      <c r="C120" s="1371"/>
      <c r="D120" s="941">
        <f t="shared" ref="D120:O120" si="34">SUM(D113:D119)</f>
        <v>226.72987722899802</v>
      </c>
      <c r="E120" s="942">
        <f t="shared" si="34"/>
        <v>226731</v>
      </c>
      <c r="F120" s="942">
        <f t="shared" si="34"/>
        <v>58949</v>
      </c>
      <c r="G120" s="943">
        <f t="shared" si="34"/>
        <v>285680</v>
      </c>
      <c r="H120" s="941">
        <f t="shared" si="34"/>
        <v>132.447588412996</v>
      </c>
      <c r="I120" s="942">
        <f t="shared" si="34"/>
        <v>66225</v>
      </c>
      <c r="J120" s="942">
        <f t="shared" si="34"/>
        <v>19470</v>
      </c>
      <c r="K120" s="944">
        <f t="shared" si="34"/>
        <v>85695</v>
      </c>
      <c r="L120" s="941">
        <f t="shared" si="34"/>
        <v>359.17746564199399</v>
      </c>
      <c r="M120" s="942">
        <f t="shared" si="34"/>
        <v>292956</v>
      </c>
      <c r="N120" s="942">
        <f t="shared" si="34"/>
        <v>78419</v>
      </c>
      <c r="O120" s="945">
        <f t="shared" si="34"/>
        <v>371375</v>
      </c>
    </row>
    <row r="121" spans="1:15" ht="9" customHeight="1" thickTop="1" x14ac:dyDescent="0.2">
      <c r="A121" s="719"/>
      <c r="B121" s="720"/>
      <c r="C121" s="721"/>
      <c r="D121" s="948"/>
      <c r="E121" s="948"/>
      <c r="F121" s="948"/>
      <c r="G121" s="948"/>
      <c r="H121" s="948"/>
      <c r="I121" s="948"/>
      <c r="J121" s="948"/>
      <c r="K121" s="948"/>
      <c r="L121" s="948"/>
      <c r="M121" s="948"/>
      <c r="N121" s="948"/>
      <c r="O121" s="948"/>
    </row>
    <row r="122" spans="1:15" ht="27" customHeight="1" thickBot="1" x14ac:dyDescent="0.25">
      <c r="A122" s="1366" t="s">
        <v>1300</v>
      </c>
      <c r="B122" s="1367"/>
      <c r="C122" s="1368"/>
      <c r="D122" s="941">
        <f>D76+D111+D120</f>
        <v>59073.70358372722</v>
      </c>
      <c r="E122" s="942">
        <f t="shared" ref="E122:O122" si="35">E76+E111+E120</f>
        <v>59073703</v>
      </c>
      <c r="F122" s="942">
        <f t="shared" si="35"/>
        <v>15359161</v>
      </c>
      <c r="G122" s="943">
        <f t="shared" si="35"/>
        <v>74432864</v>
      </c>
      <c r="H122" s="941">
        <f t="shared" si="35"/>
        <v>38170.115143964569</v>
      </c>
      <c r="I122" s="942">
        <f t="shared" si="35"/>
        <v>19085059</v>
      </c>
      <c r="J122" s="942">
        <f t="shared" si="35"/>
        <v>5611006</v>
      </c>
      <c r="K122" s="944">
        <f t="shared" si="35"/>
        <v>24696065</v>
      </c>
      <c r="L122" s="941">
        <f t="shared" si="35"/>
        <v>97243.818727691818</v>
      </c>
      <c r="M122" s="942">
        <f t="shared" si="35"/>
        <v>78158762</v>
      </c>
      <c r="N122" s="942">
        <f t="shared" si="35"/>
        <v>20970167</v>
      </c>
      <c r="O122" s="945">
        <f t="shared" si="35"/>
        <v>99128929</v>
      </c>
    </row>
    <row r="123" spans="1:15" ht="9" customHeight="1" thickTop="1" x14ac:dyDescent="0.2">
      <c r="A123" s="710"/>
      <c r="B123" s="711"/>
      <c r="C123" s="722"/>
      <c r="D123" s="946"/>
      <c r="E123" s="946"/>
      <c r="F123" s="946"/>
      <c r="G123" s="946"/>
      <c r="H123" s="946"/>
      <c r="I123" s="946"/>
      <c r="J123" s="946"/>
      <c r="K123" s="946"/>
      <c r="L123" s="946"/>
      <c r="M123" s="946"/>
      <c r="N123" s="946"/>
      <c r="O123" s="946"/>
    </row>
    <row r="124" spans="1:15" ht="15.75" customHeight="1" x14ac:dyDescent="0.2">
      <c r="A124" s="947">
        <v>318001</v>
      </c>
      <c r="B124" s="912">
        <v>318001</v>
      </c>
      <c r="C124" s="913" t="s">
        <v>246</v>
      </c>
      <c r="D124" s="914">
        <f>VLOOKUP($A124,'[9]MFP LEAs'!$A$7:$E$139,4,FALSE)</f>
        <v>96</v>
      </c>
      <c r="E124" s="893">
        <f t="shared" ref="E124:E129" si="36">ROUND(D124*$E$4,0)</f>
        <v>96000</v>
      </c>
      <c r="F124" s="893">
        <f t="shared" ref="F124:F129" si="37">ROUND(E124*$F$4,0)</f>
        <v>24960</v>
      </c>
      <c r="G124" s="915">
        <f t="shared" ref="G124:G129" si="38">E124+F124</f>
        <v>120960</v>
      </c>
      <c r="H124" s="914">
        <f>VLOOKUP($A124,'[9]MFP LEAs'!$A$7:$E$139,5,FALSE)</f>
        <v>36</v>
      </c>
      <c r="I124" s="893">
        <f t="shared" ref="I124:I129" si="39">ROUND(H124*$I$4,0)</f>
        <v>18000</v>
      </c>
      <c r="J124" s="893">
        <f t="shared" ref="J124:J129" si="40">ROUND(I124*$J$4,0)</f>
        <v>5292</v>
      </c>
      <c r="K124" s="916">
        <f t="shared" ref="K124:K129" si="41">I124+J124</f>
        <v>23292</v>
      </c>
      <c r="L124" s="914">
        <f t="shared" ref="L124:O129" si="42">D124+H124</f>
        <v>132</v>
      </c>
      <c r="M124" s="893">
        <f t="shared" si="42"/>
        <v>114000</v>
      </c>
      <c r="N124" s="893">
        <f t="shared" si="42"/>
        <v>30252</v>
      </c>
      <c r="O124" s="917">
        <f t="shared" si="42"/>
        <v>144252</v>
      </c>
    </row>
    <row r="125" spans="1:15" ht="15.75" customHeight="1" x14ac:dyDescent="0.2">
      <c r="A125" s="565">
        <v>319001</v>
      </c>
      <c r="B125" s="253">
        <v>319001</v>
      </c>
      <c r="C125" s="563" t="s">
        <v>247</v>
      </c>
      <c r="D125" s="918">
        <f>VLOOKUP($A125,'[9]MFP LEAs'!$A$7:$E$139,4,FALSE)</f>
        <v>27.533012818999996</v>
      </c>
      <c r="E125" s="894">
        <f t="shared" si="36"/>
        <v>27533</v>
      </c>
      <c r="F125" s="894">
        <f t="shared" si="37"/>
        <v>7159</v>
      </c>
      <c r="G125" s="919">
        <f t="shared" si="38"/>
        <v>34692</v>
      </c>
      <c r="H125" s="918">
        <f>VLOOKUP($A125,'[9]MFP LEAs'!$A$7:$E$139,5,FALSE)</f>
        <v>3</v>
      </c>
      <c r="I125" s="894">
        <f t="shared" si="39"/>
        <v>1500</v>
      </c>
      <c r="J125" s="894">
        <f t="shared" si="40"/>
        <v>441</v>
      </c>
      <c r="K125" s="920">
        <f t="shared" si="41"/>
        <v>1941</v>
      </c>
      <c r="L125" s="918">
        <f t="shared" si="42"/>
        <v>30.533012818999996</v>
      </c>
      <c r="M125" s="894">
        <f t="shared" si="42"/>
        <v>29033</v>
      </c>
      <c r="N125" s="894">
        <f t="shared" si="42"/>
        <v>7600</v>
      </c>
      <c r="O125" s="921">
        <f t="shared" si="42"/>
        <v>36633</v>
      </c>
    </row>
    <row r="126" spans="1:15" ht="15.75" customHeight="1" x14ac:dyDescent="0.2">
      <c r="A126" s="565">
        <v>302006</v>
      </c>
      <c r="B126" s="253">
        <v>302006</v>
      </c>
      <c r="C126" s="563" t="s">
        <v>1270</v>
      </c>
      <c r="D126" s="918">
        <f>VLOOKUP($A126,'[9]MFP LEAs'!$A$7:$E$139,4,FALSE)</f>
        <v>44</v>
      </c>
      <c r="E126" s="894">
        <f t="shared" si="36"/>
        <v>44000</v>
      </c>
      <c r="F126" s="894">
        <f t="shared" si="37"/>
        <v>11440</v>
      </c>
      <c r="G126" s="919">
        <f t="shared" si="38"/>
        <v>55440</v>
      </c>
      <c r="H126" s="918">
        <f>VLOOKUP($A126,'[9]MFP LEAs'!$A$7:$E$139,5,FALSE)</f>
        <v>20.076923076</v>
      </c>
      <c r="I126" s="894">
        <f t="shared" si="39"/>
        <v>10038</v>
      </c>
      <c r="J126" s="894">
        <f t="shared" si="40"/>
        <v>2951</v>
      </c>
      <c r="K126" s="920">
        <f t="shared" si="41"/>
        <v>12989</v>
      </c>
      <c r="L126" s="918">
        <f t="shared" si="42"/>
        <v>64.076923076</v>
      </c>
      <c r="M126" s="894">
        <f t="shared" si="42"/>
        <v>54038</v>
      </c>
      <c r="N126" s="894">
        <f t="shared" si="42"/>
        <v>14391</v>
      </c>
      <c r="O126" s="921">
        <f t="shared" si="42"/>
        <v>68429</v>
      </c>
    </row>
    <row r="127" spans="1:15" ht="15.75" customHeight="1" x14ac:dyDescent="0.2">
      <c r="A127" s="565">
        <v>334001</v>
      </c>
      <c r="B127" s="253">
        <v>334001</v>
      </c>
      <c r="C127" s="563" t="s">
        <v>330</v>
      </c>
      <c r="D127" s="918">
        <f>VLOOKUP($A127,'[9]MFP LEAs'!$A$7:$E$139,4,FALSE)</f>
        <v>66.273005707999999</v>
      </c>
      <c r="E127" s="894">
        <f t="shared" si="36"/>
        <v>66273</v>
      </c>
      <c r="F127" s="894">
        <f t="shared" si="37"/>
        <v>17231</v>
      </c>
      <c r="G127" s="919">
        <f t="shared" si="38"/>
        <v>83504</v>
      </c>
      <c r="H127" s="918">
        <f>VLOOKUP($A127,'[9]MFP LEAs'!$A$7:$E$139,5,FALSE)</f>
        <v>10.845512818</v>
      </c>
      <c r="I127" s="894">
        <f t="shared" si="39"/>
        <v>5423</v>
      </c>
      <c r="J127" s="894">
        <f t="shared" si="40"/>
        <v>1594</v>
      </c>
      <c r="K127" s="920">
        <f t="shared" si="41"/>
        <v>7017</v>
      </c>
      <c r="L127" s="918">
        <f t="shared" si="42"/>
        <v>77.118518526000003</v>
      </c>
      <c r="M127" s="894">
        <f t="shared" si="42"/>
        <v>71696</v>
      </c>
      <c r="N127" s="894">
        <f t="shared" si="42"/>
        <v>18825</v>
      </c>
      <c r="O127" s="921">
        <f t="shared" si="42"/>
        <v>90521</v>
      </c>
    </row>
    <row r="128" spans="1:15" ht="15.75" customHeight="1" x14ac:dyDescent="0.2">
      <c r="A128" s="853" t="s">
        <v>890</v>
      </c>
      <c r="B128" s="567">
        <v>17137</v>
      </c>
      <c r="C128" s="923" t="s">
        <v>571</v>
      </c>
      <c r="D128" s="924">
        <f>VLOOKUP($A128,'[9]MFP LEAs'!$A$7:$E$139,4,FALSE)</f>
        <v>28.114285714000001</v>
      </c>
      <c r="E128" s="925">
        <f t="shared" si="36"/>
        <v>28114</v>
      </c>
      <c r="F128" s="925">
        <f t="shared" si="37"/>
        <v>7310</v>
      </c>
      <c r="G128" s="926">
        <f t="shared" si="38"/>
        <v>35424</v>
      </c>
      <c r="H128" s="924">
        <f>VLOOKUP($A128,'[9]MFP LEAs'!$A$7:$E$139,5,FALSE)</f>
        <v>4</v>
      </c>
      <c r="I128" s="925">
        <f t="shared" si="39"/>
        <v>2000</v>
      </c>
      <c r="J128" s="925">
        <f t="shared" si="40"/>
        <v>588</v>
      </c>
      <c r="K128" s="927">
        <f t="shared" si="41"/>
        <v>2588</v>
      </c>
      <c r="L128" s="924">
        <f t="shared" si="42"/>
        <v>32.114285714000005</v>
      </c>
      <c r="M128" s="925">
        <f t="shared" si="42"/>
        <v>30114</v>
      </c>
      <c r="N128" s="925">
        <f t="shared" si="42"/>
        <v>7898</v>
      </c>
      <c r="O128" s="928">
        <f t="shared" si="42"/>
        <v>38012</v>
      </c>
    </row>
    <row r="129" spans="1:15" ht="15.75" customHeight="1" x14ac:dyDescent="0.2">
      <c r="A129" s="922" t="s">
        <v>282</v>
      </c>
      <c r="B129" s="567" t="s">
        <v>282</v>
      </c>
      <c r="C129" s="923" t="s">
        <v>131</v>
      </c>
      <c r="D129" s="924">
        <f>VLOOKUP($A129,'[9]MFP LEAs'!$A$7:$E$139,4,FALSE)</f>
        <v>46</v>
      </c>
      <c r="E129" s="925">
        <f t="shared" si="36"/>
        <v>46000</v>
      </c>
      <c r="F129" s="925">
        <f t="shared" si="37"/>
        <v>11960</v>
      </c>
      <c r="G129" s="926">
        <f t="shared" si="38"/>
        <v>57960</v>
      </c>
      <c r="H129" s="924">
        <f>VLOOKUP($A129,'[9]MFP LEAs'!$A$7:$E$139,5,FALSE)</f>
        <v>14.997435896999999</v>
      </c>
      <c r="I129" s="925">
        <f t="shared" si="39"/>
        <v>7499</v>
      </c>
      <c r="J129" s="925">
        <f t="shared" si="40"/>
        <v>2205</v>
      </c>
      <c r="K129" s="927">
        <f t="shared" si="41"/>
        <v>9704</v>
      </c>
      <c r="L129" s="924">
        <f t="shared" si="42"/>
        <v>60.997435897000003</v>
      </c>
      <c r="M129" s="925">
        <f t="shared" si="42"/>
        <v>53499</v>
      </c>
      <c r="N129" s="925">
        <f t="shared" si="42"/>
        <v>14165</v>
      </c>
      <c r="O129" s="928">
        <f t="shared" si="42"/>
        <v>67664</v>
      </c>
    </row>
    <row r="130" spans="1:15" ht="15.75" customHeight="1" thickBot="1" x14ac:dyDescent="0.25">
      <c r="A130" s="1369" t="s">
        <v>1274</v>
      </c>
      <c r="B130" s="1370"/>
      <c r="C130" s="1371"/>
      <c r="D130" s="941">
        <f t="shared" ref="D130:O130" si="43">SUM(D124:D129)</f>
        <v>307.920304241</v>
      </c>
      <c r="E130" s="942">
        <f t="shared" si="43"/>
        <v>307920</v>
      </c>
      <c r="F130" s="942">
        <f t="shared" si="43"/>
        <v>80060</v>
      </c>
      <c r="G130" s="943">
        <f t="shared" si="43"/>
        <v>387980</v>
      </c>
      <c r="H130" s="941">
        <f>SUM(H124:H129)</f>
        <v>88.919871791000006</v>
      </c>
      <c r="I130" s="942">
        <f t="shared" si="43"/>
        <v>44460</v>
      </c>
      <c r="J130" s="942">
        <f t="shared" si="43"/>
        <v>13071</v>
      </c>
      <c r="K130" s="944">
        <f t="shared" si="43"/>
        <v>57531</v>
      </c>
      <c r="L130" s="941">
        <f t="shared" si="43"/>
        <v>396.84017603199999</v>
      </c>
      <c r="M130" s="942">
        <f t="shared" si="43"/>
        <v>352380</v>
      </c>
      <c r="N130" s="942">
        <f t="shared" si="43"/>
        <v>93131</v>
      </c>
      <c r="O130" s="945">
        <f t="shared" si="43"/>
        <v>445511</v>
      </c>
    </row>
    <row r="131" spans="1:15" ht="9" customHeight="1" thickTop="1" x14ac:dyDescent="0.2">
      <c r="A131" s="719"/>
      <c r="B131" s="720"/>
      <c r="C131" s="721"/>
      <c r="D131" s="948"/>
      <c r="E131" s="948"/>
      <c r="F131" s="948"/>
      <c r="G131" s="948"/>
      <c r="H131" s="948"/>
      <c r="I131" s="948"/>
      <c r="J131" s="948"/>
      <c r="K131" s="948"/>
      <c r="L131" s="948"/>
      <c r="M131" s="948"/>
      <c r="N131" s="948"/>
      <c r="O131" s="948"/>
    </row>
    <row r="132" spans="1:15" ht="15.75" customHeight="1" x14ac:dyDescent="0.2">
      <c r="A132" s="947">
        <v>321001</v>
      </c>
      <c r="B132" s="912">
        <v>321001</v>
      </c>
      <c r="C132" s="913" t="s">
        <v>335</v>
      </c>
      <c r="D132" s="914">
        <f>VLOOKUP($A132,'[9]MFP LEAs'!$A$7:$E$139,4,FALSE)</f>
        <v>16.110593129999998</v>
      </c>
      <c r="E132" s="893">
        <f t="shared" ref="E132:E138" si="44">ROUND(D132*$E$4,0)</f>
        <v>16111</v>
      </c>
      <c r="F132" s="893">
        <f t="shared" ref="F132:F138" si="45">ROUND(E132*$F$4,0)</f>
        <v>4189</v>
      </c>
      <c r="G132" s="915">
        <f t="shared" ref="G132:G138" si="46">E132+F132</f>
        <v>20300</v>
      </c>
      <c r="H132" s="914">
        <f>VLOOKUP($A132,'[9]MFP LEAs'!$A$7:$E$139,5,FALSE)</f>
        <v>10.279477808000001</v>
      </c>
      <c r="I132" s="893">
        <f t="shared" ref="I132:I138" si="47">ROUND(H132*$I$4,0)</f>
        <v>5140</v>
      </c>
      <c r="J132" s="893">
        <f t="shared" ref="J132:J138" si="48">ROUND(I132*$J$4,0)</f>
        <v>1511</v>
      </c>
      <c r="K132" s="916">
        <f t="shared" ref="K132:K138" si="49">I132+J132</f>
        <v>6651</v>
      </c>
      <c r="L132" s="914">
        <f t="shared" ref="L132:O138" si="50">D132+H132</f>
        <v>26.390070938000001</v>
      </c>
      <c r="M132" s="893">
        <f t="shared" si="50"/>
        <v>21251</v>
      </c>
      <c r="N132" s="893">
        <f t="shared" si="50"/>
        <v>5700</v>
      </c>
      <c r="O132" s="917">
        <f t="shared" si="50"/>
        <v>26951</v>
      </c>
    </row>
    <row r="133" spans="1:15" ht="15.75" customHeight="1" x14ac:dyDescent="0.2">
      <c r="A133" s="565">
        <v>329001</v>
      </c>
      <c r="B133" s="253">
        <v>329001</v>
      </c>
      <c r="C133" s="563" t="s">
        <v>336</v>
      </c>
      <c r="D133" s="918">
        <f>VLOOKUP($A133,'[9]MFP LEAs'!$A$7:$E$139,4,FALSE)</f>
        <v>29.849560439000001</v>
      </c>
      <c r="E133" s="894">
        <f t="shared" si="44"/>
        <v>29850</v>
      </c>
      <c r="F133" s="894">
        <f t="shared" si="45"/>
        <v>7761</v>
      </c>
      <c r="G133" s="919">
        <f t="shared" si="46"/>
        <v>37611</v>
      </c>
      <c r="H133" s="918">
        <f>VLOOKUP($A133,'[9]MFP LEAs'!$A$7:$E$139,5,FALSE)</f>
        <v>19.944645730996001</v>
      </c>
      <c r="I133" s="894">
        <f t="shared" si="47"/>
        <v>9972</v>
      </c>
      <c r="J133" s="894">
        <f t="shared" si="48"/>
        <v>2932</v>
      </c>
      <c r="K133" s="920">
        <f t="shared" si="49"/>
        <v>12904</v>
      </c>
      <c r="L133" s="918">
        <f t="shared" si="50"/>
        <v>49.794206169996002</v>
      </c>
      <c r="M133" s="894">
        <f t="shared" si="50"/>
        <v>39822</v>
      </c>
      <c r="N133" s="894">
        <f t="shared" si="50"/>
        <v>10693</v>
      </c>
      <c r="O133" s="921">
        <f t="shared" si="50"/>
        <v>50515</v>
      </c>
    </row>
    <row r="134" spans="1:15" ht="15.75" customHeight="1" x14ac:dyDescent="0.2">
      <c r="A134" s="565">
        <v>331001</v>
      </c>
      <c r="B134" s="253">
        <v>331001</v>
      </c>
      <c r="C134" s="563" t="s">
        <v>337</v>
      </c>
      <c r="D134" s="918">
        <f>VLOOKUP($A134,'[9]MFP LEAs'!$A$7:$E$139,4,FALSE)</f>
        <v>119.045045044999</v>
      </c>
      <c r="E134" s="894">
        <f t="shared" si="44"/>
        <v>119045</v>
      </c>
      <c r="F134" s="894">
        <f t="shared" si="45"/>
        <v>30952</v>
      </c>
      <c r="G134" s="919">
        <f t="shared" si="46"/>
        <v>149997</v>
      </c>
      <c r="H134" s="918">
        <f>VLOOKUP($A134,'[9]MFP LEAs'!$A$7:$E$139,5,FALSE)</f>
        <v>98.566535999999999</v>
      </c>
      <c r="I134" s="894">
        <f t="shared" si="47"/>
        <v>49283</v>
      </c>
      <c r="J134" s="894">
        <f t="shared" si="48"/>
        <v>14489</v>
      </c>
      <c r="K134" s="920">
        <f t="shared" si="49"/>
        <v>63772</v>
      </c>
      <c r="L134" s="918">
        <f t="shared" si="50"/>
        <v>217.61158104499901</v>
      </c>
      <c r="M134" s="894">
        <f t="shared" si="50"/>
        <v>168328</v>
      </c>
      <c r="N134" s="894">
        <f t="shared" si="50"/>
        <v>45441</v>
      </c>
      <c r="O134" s="921">
        <f t="shared" si="50"/>
        <v>213769</v>
      </c>
    </row>
    <row r="135" spans="1:15" ht="15.75" customHeight="1" x14ac:dyDescent="0.2">
      <c r="A135" s="565">
        <v>333001</v>
      </c>
      <c r="B135" s="253">
        <v>333001</v>
      </c>
      <c r="C135" s="563" t="s">
        <v>329</v>
      </c>
      <c r="D135" s="918">
        <f>VLOOKUP($A135,'[9]MFP LEAs'!$A$7:$E$139,4,FALSE)</f>
        <v>42</v>
      </c>
      <c r="E135" s="894">
        <f t="shared" si="44"/>
        <v>42000</v>
      </c>
      <c r="F135" s="894">
        <f t="shared" si="45"/>
        <v>10920</v>
      </c>
      <c r="G135" s="919">
        <f t="shared" si="46"/>
        <v>52920</v>
      </c>
      <c r="H135" s="918">
        <f>VLOOKUP($A135,'[9]MFP LEAs'!$A$7:$E$139,5,FALSE)</f>
        <v>24.1</v>
      </c>
      <c r="I135" s="894">
        <f t="shared" si="47"/>
        <v>12050</v>
      </c>
      <c r="J135" s="894">
        <f t="shared" si="48"/>
        <v>3543</v>
      </c>
      <c r="K135" s="920">
        <f t="shared" si="49"/>
        <v>15593</v>
      </c>
      <c r="L135" s="918">
        <f t="shared" si="50"/>
        <v>66.099999999999994</v>
      </c>
      <c r="M135" s="894">
        <f t="shared" si="50"/>
        <v>54050</v>
      </c>
      <c r="N135" s="894">
        <f t="shared" si="50"/>
        <v>14463</v>
      </c>
      <c r="O135" s="921">
        <f t="shared" si="50"/>
        <v>68513</v>
      </c>
    </row>
    <row r="136" spans="1:15" ht="15.75" customHeight="1" x14ac:dyDescent="0.2">
      <c r="A136" s="853">
        <v>336001</v>
      </c>
      <c r="B136" s="567">
        <v>336001</v>
      </c>
      <c r="C136" s="923" t="s">
        <v>331</v>
      </c>
      <c r="D136" s="924">
        <f>VLOOKUP($A136,'[9]MFP LEAs'!$A$7:$E$139,4,FALSE)</f>
        <v>53.678762623986998</v>
      </c>
      <c r="E136" s="925">
        <f t="shared" si="44"/>
        <v>53679</v>
      </c>
      <c r="F136" s="925">
        <f t="shared" si="45"/>
        <v>13957</v>
      </c>
      <c r="G136" s="926">
        <f t="shared" si="46"/>
        <v>67636</v>
      </c>
      <c r="H136" s="924">
        <f>VLOOKUP($A136,'[9]MFP LEAs'!$A$7:$E$139,5,FALSE)</f>
        <v>56.578896901997005</v>
      </c>
      <c r="I136" s="925">
        <f t="shared" si="47"/>
        <v>28289</v>
      </c>
      <c r="J136" s="925">
        <f t="shared" si="48"/>
        <v>8317</v>
      </c>
      <c r="K136" s="927">
        <f t="shared" si="49"/>
        <v>36606</v>
      </c>
      <c r="L136" s="924">
        <f t="shared" si="50"/>
        <v>110.257659525984</v>
      </c>
      <c r="M136" s="925">
        <f t="shared" si="50"/>
        <v>81968</v>
      </c>
      <c r="N136" s="925">
        <f t="shared" si="50"/>
        <v>22274</v>
      </c>
      <c r="O136" s="928">
        <f t="shared" si="50"/>
        <v>104242</v>
      </c>
    </row>
    <row r="137" spans="1:15" ht="15.75" customHeight="1" x14ac:dyDescent="0.2">
      <c r="A137" s="565">
        <v>337001</v>
      </c>
      <c r="B137" s="253">
        <v>337001</v>
      </c>
      <c r="C137" s="563" t="s">
        <v>338</v>
      </c>
      <c r="D137" s="918">
        <f>VLOOKUP($A137,'[9]MFP LEAs'!$A$7:$E$139,4,FALSE)</f>
        <v>82.703846153000001</v>
      </c>
      <c r="E137" s="894">
        <f t="shared" si="44"/>
        <v>82704</v>
      </c>
      <c r="F137" s="894">
        <f t="shared" si="45"/>
        <v>21503</v>
      </c>
      <c r="G137" s="919">
        <f t="shared" si="46"/>
        <v>104207</v>
      </c>
      <c r="H137" s="918">
        <f>VLOOKUP($A137,'[9]MFP LEAs'!$A$7:$E$139,5,FALSE)</f>
        <v>102.58179486800002</v>
      </c>
      <c r="I137" s="894">
        <f t="shared" si="47"/>
        <v>51291</v>
      </c>
      <c r="J137" s="894">
        <f t="shared" si="48"/>
        <v>15080</v>
      </c>
      <c r="K137" s="920">
        <f t="shared" si="49"/>
        <v>66371</v>
      </c>
      <c r="L137" s="918">
        <f t="shared" si="50"/>
        <v>185.285641021</v>
      </c>
      <c r="M137" s="894">
        <f t="shared" si="50"/>
        <v>133995</v>
      </c>
      <c r="N137" s="894">
        <f t="shared" si="50"/>
        <v>36583</v>
      </c>
      <c r="O137" s="921">
        <f t="shared" si="50"/>
        <v>170578</v>
      </c>
    </row>
    <row r="138" spans="1:15" ht="15.75" customHeight="1" x14ac:dyDescent="0.2">
      <c r="A138" s="853">
        <v>340001</v>
      </c>
      <c r="B138" s="567">
        <v>340001</v>
      </c>
      <c r="C138" s="923" t="s">
        <v>332</v>
      </c>
      <c r="D138" s="924">
        <f>VLOOKUP($A138,'[9]MFP LEAs'!$A$7:$E$139,4,FALSE)</f>
        <v>12.840568971</v>
      </c>
      <c r="E138" s="925">
        <f t="shared" si="44"/>
        <v>12841</v>
      </c>
      <c r="F138" s="925">
        <f t="shared" si="45"/>
        <v>3339</v>
      </c>
      <c r="G138" s="926">
        <f t="shared" si="46"/>
        <v>16180</v>
      </c>
      <c r="H138" s="924">
        <f>VLOOKUP($A138,'[9]MFP LEAs'!$A$7:$E$139,5,FALSE)</f>
        <v>11.053527118000002</v>
      </c>
      <c r="I138" s="925">
        <f t="shared" si="47"/>
        <v>5527</v>
      </c>
      <c r="J138" s="925">
        <f t="shared" si="48"/>
        <v>1625</v>
      </c>
      <c r="K138" s="927">
        <f t="shared" si="49"/>
        <v>7152</v>
      </c>
      <c r="L138" s="924">
        <f t="shared" si="50"/>
        <v>23.894096089000001</v>
      </c>
      <c r="M138" s="925">
        <f t="shared" si="50"/>
        <v>18368</v>
      </c>
      <c r="N138" s="925">
        <f t="shared" si="50"/>
        <v>4964</v>
      </c>
      <c r="O138" s="928">
        <f t="shared" si="50"/>
        <v>23332</v>
      </c>
    </row>
    <row r="139" spans="1:15" ht="15.75" customHeight="1" thickBot="1" x14ac:dyDescent="0.25">
      <c r="A139" s="1369" t="s">
        <v>248</v>
      </c>
      <c r="B139" s="1370"/>
      <c r="C139" s="1371"/>
      <c r="D139" s="941">
        <f t="shared" ref="D139:O139" si="51">SUM(D132:D138)</f>
        <v>356.22837636198602</v>
      </c>
      <c r="E139" s="942">
        <f t="shared" si="51"/>
        <v>356230</v>
      </c>
      <c r="F139" s="942">
        <f t="shared" si="51"/>
        <v>92621</v>
      </c>
      <c r="G139" s="943">
        <f t="shared" si="51"/>
        <v>448851</v>
      </c>
      <c r="H139" s="941">
        <f>SUM(H132:H138)</f>
        <v>323.10487842699303</v>
      </c>
      <c r="I139" s="942">
        <f t="shared" si="51"/>
        <v>161552</v>
      </c>
      <c r="J139" s="942">
        <f t="shared" si="51"/>
        <v>47497</v>
      </c>
      <c r="K139" s="944">
        <f t="shared" si="51"/>
        <v>209049</v>
      </c>
      <c r="L139" s="941">
        <f t="shared" si="51"/>
        <v>679.33325478897905</v>
      </c>
      <c r="M139" s="942">
        <f t="shared" si="51"/>
        <v>517782</v>
      </c>
      <c r="N139" s="942">
        <f t="shared" si="51"/>
        <v>140118</v>
      </c>
      <c r="O139" s="945">
        <f t="shared" si="51"/>
        <v>657900</v>
      </c>
    </row>
    <row r="140" spans="1:15" ht="9" customHeight="1" thickTop="1" x14ac:dyDescent="0.2">
      <c r="A140" s="719"/>
      <c r="B140" s="720"/>
      <c r="C140" s="721"/>
      <c r="D140" s="948"/>
      <c r="E140" s="948"/>
      <c r="F140" s="948"/>
      <c r="G140" s="948"/>
      <c r="H140" s="948"/>
      <c r="I140" s="948"/>
      <c r="J140" s="948"/>
      <c r="K140" s="948"/>
      <c r="L140" s="948"/>
      <c r="M140" s="948"/>
      <c r="N140" s="948"/>
      <c r="O140" s="948"/>
    </row>
    <row r="141" spans="1:15" ht="27" customHeight="1" thickBot="1" x14ac:dyDescent="0.25">
      <c r="A141" s="1366" t="s">
        <v>1275</v>
      </c>
      <c r="B141" s="1367"/>
      <c r="C141" s="1368"/>
      <c r="D141" s="941">
        <f>D130+D139</f>
        <v>664.14868060298602</v>
      </c>
      <c r="E141" s="942">
        <f t="shared" ref="E141:O141" si="52">E130+E139</f>
        <v>664150</v>
      </c>
      <c r="F141" s="942">
        <f t="shared" si="52"/>
        <v>172681</v>
      </c>
      <c r="G141" s="943">
        <f t="shared" si="52"/>
        <v>836831</v>
      </c>
      <c r="H141" s="941">
        <f t="shared" si="52"/>
        <v>412.02475021799302</v>
      </c>
      <c r="I141" s="942">
        <f t="shared" si="52"/>
        <v>206012</v>
      </c>
      <c r="J141" s="942">
        <f t="shared" si="52"/>
        <v>60568</v>
      </c>
      <c r="K141" s="944">
        <f t="shared" si="52"/>
        <v>266580</v>
      </c>
      <c r="L141" s="941">
        <f t="shared" si="52"/>
        <v>1076.1734308209791</v>
      </c>
      <c r="M141" s="942">
        <f t="shared" si="52"/>
        <v>870162</v>
      </c>
      <c r="N141" s="942">
        <f t="shared" si="52"/>
        <v>233249</v>
      </c>
      <c r="O141" s="945">
        <f t="shared" si="52"/>
        <v>1103411</v>
      </c>
    </row>
    <row r="142" spans="1:15" ht="9" customHeight="1" thickTop="1" x14ac:dyDescent="0.2">
      <c r="A142" s="710"/>
      <c r="B142" s="711"/>
      <c r="C142" s="722"/>
      <c r="D142" s="946"/>
      <c r="E142" s="946"/>
      <c r="F142" s="946"/>
      <c r="G142" s="946"/>
      <c r="H142" s="946"/>
      <c r="I142" s="946"/>
      <c r="J142" s="946"/>
      <c r="K142" s="946"/>
      <c r="L142" s="946"/>
      <c r="M142" s="946"/>
      <c r="N142" s="946"/>
      <c r="O142" s="946"/>
    </row>
    <row r="143" spans="1:15" ht="26.25" customHeight="1" thickBot="1" x14ac:dyDescent="0.25">
      <c r="A143" s="1369" t="s">
        <v>249</v>
      </c>
      <c r="B143" s="1370"/>
      <c r="C143" s="1371"/>
      <c r="D143" s="941">
        <f>D122+D141</f>
        <v>59737.852264330206</v>
      </c>
      <c r="E143" s="942">
        <f t="shared" ref="E143:O143" si="53">E122+E141</f>
        <v>59737853</v>
      </c>
      <c r="F143" s="942">
        <f t="shared" si="53"/>
        <v>15531842</v>
      </c>
      <c r="G143" s="943">
        <f t="shared" si="53"/>
        <v>75269695</v>
      </c>
      <c r="H143" s="941">
        <f t="shared" si="53"/>
        <v>38582.139894182561</v>
      </c>
      <c r="I143" s="942">
        <f t="shared" si="53"/>
        <v>19291071</v>
      </c>
      <c r="J143" s="942">
        <f t="shared" si="53"/>
        <v>5671574</v>
      </c>
      <c r="K143" s="944">
        <f t="shared" si="53"/>
        <v>24962645</v>
      </c>
      <c r="L143" s="941">
        <f t="shared" si="53"/>
        <v>98319.992158512803</v>
      </c>
      <c r="M143" s="942">
        <f t="shared" si="53"/>
        <v>79028924</v>
      </c>
      <c r="N143" s="942">
        <f t="shared" si="53"/>
        <v>21203416</v>
      </c>
      <c r="O143" s="945">
        <f t="shared" si="53"/>
        <v>100232340</v>
      </c>
    </row>
    <row r="144" spans="1:15" ht="13.5" thickTop="1" x14ac:dyDescent="0.2">
      <c r="D144" s="955"/>
      <c r="E144" s="955"/>
      <c r="F144" s="955"/>
      <c r="G144" s="955"/>
      <c r="H144" s="955"/>
      <c r="I144" s="955"/>
      <c r="J144" s="955"/>
      <c r="K144" s="955"/>
      <c r="L144" s="955"/>
      <c r="M144" s="955"/>
      <c r="N144" s="955"/>
      <c r="O144" s="955"/>
    </row>
    <row r="145" spans="4:15" x14ac:dyDescent="0.2">
      <c r="D145" s="955"/>
      <c r="E145" s="955"/>
      <c r="F145" s="955"/>
      <c r="G145" s="955"/>
      <c r="H145" s="955"/>
      <c r="I145" s="955"/>
      <c r="J145" s="955"/>
      <c r="K145" s="955"/>
      <c r="L145" s="955"/>
      <c r="M145" s="955"/>
      <c r="N145" s="955"/>
      <c r="O145" s="955"/>
    </row>
    <row r="146" spans="4:15" x14ac:dyDescent="0.2">
      <c r="O146" s="1210"/>
    </row>
  </sheetData>
  <sortState ref="A90:P112">
    <sortCondition ref="A90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4">
    <mergeCell ref="N1:N4"/>
    <mergeCell ref="O1:O4"/>
    <mergeCell ref="A122:C122"/>
    <mergeCell ref="A141:C141"/>
    <mergeCell ref="A143:C143"/>
    <mergeCell ref="A1:C4"/>
    <mergeCell ref="G1:G4"/>
    <mergeCell ref="K1:K4"/>
    <mergeCell ref="M1:M4"/>
    <mergeCell ref="A76:C76"/>
    <mergeCell ref="A130:C130"/>
    <mergeCell ref="A139:C139"/>
    <mergeCell ref="A111:C111"/>
    <mergeCell ref="A120:C120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FY2019-20 Budget Letter&amp;K000000
FY2019-20 Certificated and Non-Certificated Pay Raises</oddHeader>
    <oddFooter>&amp;L*FY2019-2020 Pay Raises are based on Profile of Educational Personnel (PEP) data as of October 1, 2019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Q78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8" x14ac:dyDescent="0.25"/>
  <cols>
    <col min="1" max="1" width="5.5703125" style="465" customWidth="1"/>
    <col min="2" max="2" width="19.5703125" style="465" customWidth="1"/>
    <col min="3" max="8" width="16" style="465" customWidth="1"/>
    <col min="9" max="9" width="15.28515625" style="465" customWidth="1"/>
    <col min="10" max="12" width="14.5703125" style="465" customWidth="1"/>
    <col min="13" max="14" width="16.5703125" style="465" customWidth="1"/>
    <col min="15" max="15" width="20.7109375" style="465" customWidth="1"/>
    <col min="16" max="17" width="17.42578125" style="465" customWidth="1"/>
  </cols>
  <sheetData>
    <row r="1" spans="1:17" ht="27.75" customHeight="1" x14ac:dyDescent="0.2">
      <c r="A1" s="1570" t="s">
        <v>79</v>
      </c>
      <c r="B1" s="1570"/>
      <c r="C1" s="1571" t="s">
        <v>1255</v>
      </c>
      <c r="D1" s="1572"/>
      <c r="E1" s="1572"/>
      <c r="F1" s="1572"/>
      <c r="G1" s="1572"/>
      <c r="H1" s="1572"/>
      <c r="I1" s="1571" t="s">
        <v>1254</v>
      </c>
      <c r="J1" s="1571"/>
      <c r="K1" s="1571"/>
      <c r="L1" s="1571"/>
      <c r="M1" s="1573" t="s">
        <v>1456</v>
      </c>
      <c r="N1" s="1573"/>
      <c r="O1" s="1121" t="s">
        <v>535</v>
      </c>
      <c r="P1" s="1121" t="s">
        <v>1411</v>
      </c>
      <c r="Q1" s="1121" t="s">
        <v>1410</v>
      </c>
    </row>
    <row r="2" spans="1:17" ht="130.5" customHeight="1" x14ac:dyDescent="0.2">
      <c r="A2" s="1570"/>
      <c r="B2" s="1570"/>
      <c r="C2" s="1569" t="s">
        <v>524</v>
      </c>
      <c r="D2" s="1569" t="s">
        <v>390</v>
      </c>
      <c r="E2" s="1569" t="s">
        <v>1318</v>
      </c>
      <c r="F2" s="1122" t="s">
        <v>532</v>
      </c>
      <c r="G2" s="1569" t="s">
        <v>525</v>
      </c>
      <c r="H2" s="1122" t="s">
        <v>533</v>
      </c>
      <c r="I2" s="1569" t="s">
        <v>920</v>
      </c>
      <c r="J2" s="1569" t="s">
        <v>536</v>
      </c>
      <c r="K2" s="1569" t="s">
        <v>537</v>
      </c>
      <c r="L2" s="1569" t="s">
        <v>538</v>
      </c>
      <c r="M2" s="1574" t="s">
        <v>539</v>
      </c>
      <c r="N2" s="1574" t="s">
        <v>540</v>
      </c>
      <c r="O2" s="1122" t="s">
        <v>1457</v>
      </c>
      <c r="P2" s="1569" t="s">
        <v>1085</v>
      </c>
      <c r="Q2" s="1569" t="s">
        <v>1370</v>
      </c>
    </row>
    <row r="3" spans="1:17" ht="28.5" customHeight="1" x14ac:dyDescent="0.2">
      <c r="A3" s="1570"/>
      <c r="B3" s="1570"/>
      <c r="C3" s="1569"/>
      <c r="D3" s="1569"/>
      <c r="E3" s="1569"/>
      <c r="F3" s="1123" t="s">
        <v>541</v>
      </c>
      <c r="G3" s="1569"/>
      <c r="H3" s="1124" t="s">
        <v>542</v>
      </c>
      <c r="I3" s="1569"/>
      <c r="J3" s="1569"/>
      <c r="K3" s="1569"/>
      <c r="L3" s="1569"/>
      <c r="M3" s="1574"/>
      <c r="N3" s="1574"/>
      <c r="O3" s="1123" t="s">
        <v>543</v>
      </c>
      <c r="P3" s="1569"/>
      <c r="Q3" s="1569"/>
    </row>
    <row r="4" spans="1:17" ht="14.45" customHeight="1" x14ac:dyDescent="0.2">
      <c r="A4" s="1125"/>
      <c r="B4" s="1125"/>
      <c r="C4" s="1126">
        <f>B4+1</f>
        <v>1</v>
      </c>
      <c r="D4" s="1127">
        <f t="shared" ref="D4:N4" si="0">C4+1</f>
        <v>2</v>
      </c>
      <c r="E4" s="1127">
        <f t="shared" si="0"/>
        <v>3</v>
      </c>
      <c r="F4" s="1127">
        <f t="shared" si="0"/>
        <v>4</v>
      </c>
      <c r="G4" s="1127">
        <f>F4+1</f>
        <v>5</v>
      </c>
      <c r="H4" s="1127">
        <f t="shared" si="0"/>
        <v>6</v>
      </c>
      <c r="I4" s="1127">
        <f t="shared" si="0"/>
        <v>7</v>
      </c>
      <c r="J4" s="1127">
        <f t="shared" si="0"/>
        <v>8</v>
      </c>
      <c r="K4" s="1127">
        <f t="shared" si="0"/>
        <v>9</v>
      </c>
      <c r="L4" s="1127">
        <f t="shared" si="0"/>
        <v>10</v>
      </c>
      <c r="M4" s="1127">
        <f t="shared" si="0"/>
        <v>11</v>
      </c>
      <c r="N4" s="1127">
        <f t="shared" si="0"/>
        <v>12</v>
      </c>
      <c r="O4" s="1127">
        <f>N4+1</f>
        <v>13</v>
      </c>
      <c r="P4" s="1127">
        <f>O4+1</f>
        <v>14</v>
      </c>
      <c r="Q4" s="1127">
        <f>P4+1</f>
        <v>15</v>
      </c>
    </row>
    <row r="5" spans="1:17" ht="14.45" hidden="1" customHeight="1" x14ac:dyDescent="0.2">
      <c r="A5" s="549"/>
      <c r="B5" s="550"/>
      <c r="C5" s="45" t="s">
        <v>729</v>
      </c>
      <c r="D5" s="45" t="s">
        <v>730</v>
      </c>
      <c r="E5" s="45" t="s">
        <v>731</v>
      </c>
      <c r="F5" s="45" t="s">
        <v>732</v>
      </c>
      <c r="G5" s="45" t="s">
        <v>733</v>
      </c>
      <c r="H5" s="45" t="s">
        <v>734</v>
      </c>
      <c r="I5" s="45" t="s">
        <v>735</v>
      </c>
      <c r="J5" s="45" t="s">
        <v>736</v>
      </c>
      <c r="K5" s="45" t="s">
        <v>737</v>
      </c>
      <c r="L5" s="45" t="s">
        <v>738</v>
      </c>
      <c r="M5" s="45"/>
      <c r="N5" s="45"/>
      <c r="O5" s="45" t="s">
        <v>739</v>
      </c>
      <c r="P5" s="45"/>
      <c r="Q5" s="45"/>
    </row>
    <row r="6" spans="1:17" ht="25.5" hidden="1" x14ac:dyDescent="0.2">
      <c r="A6" s="549"/>
      <c r="B6" s="550"/>
      <c r="C6" s="545" t="s">
        <v>603</v>
      </c>
      <c r="D6" s="545" t="s">
        <v>603</v>
      </c>
      <c r="E6" s="545" t="s">
        <v>603</v>
      </c>
      <c r="F6" s="545" t="s">
        <v>604</v>
      </c>
      <c r="G6" s="545" t="s">
        <v>740</v>
      </c>
      <c r="H6" s="545" t="s">
        <v>604</v>
      </c>
      <c r="I6" s="545" t="s">
        <v>603</v>
      </c>
      <c r="J6" s="545" t="s">
        <v>603</v>
      </c>
      <c r="K6" s="545" t="s">
        <v>603</v>
      </c>
      <c r="L6" s="545" t="s">
        <v>603</v>
      </c>
      <c r="M6" s="545" t="s">
        <v>741</v>
      </c>
      <c r="N6" s="545" t="s">
        <v>741</v>
      </c>
      <c r="O6" s="545" t="s">
        <v>604</v>
      </c>
      <c r="P6" s="545"/>
      <c r="Q6" s="545"/>
    </row>
    <row r="7" spans="1:17" ht="16.149999999999999" customHeight="1" x14ac:dyDescent="0.2">
      <c r="A7" s="667">
        <v>1</v>
      </c>
      <c r="B7" s="466" t="s">
        <v>5</v>
      </c>
      <c r="C7" s="469">
        <v>3032.9955832683813</v>
      </c>
      <c r="D7" s="469">
        <v>734</v>
      </c>
      <c r="E7" s="469">
        <v>169.39993646759848</v>
      </c>
      <c r="F7" s="470">
        <f>SUM(C7:E7)</f>
        <v>3936.3955197359796</v>
      </c>
      <c r="G7" s="469">
        <v>777.48</v>
      </c>
      <c r="H7" s="470">
        <f t="shared" ref="H7:H70" si="1">SUM(F7:G7)</f>
        <v>4713.8755197359797</v>
      </c>
      <c r="I7" s="469">
        <v>667.25902831904375</v>
      </c>
      <c r="J7" s="469">
        <v>181.97973499610291</v>
      </c>
      <c r="K7" s="469">
        <v>4549.4933749025722</v>
      </c>
      <c r="L7" s="469">
        <v>1819.7973499610289</v>
      </c>
      <c r="M7" s="469">
        <f>'[19]19-20 Final_Type1,1B,2,3,3B,4'!K7</f>
        <v>2579</v>
      </c>
      <c r="N7" s="469">
        <f>'[19]19-20 Final_Type1,1B,2,3,3B,4'!N7</f>
        <v>2579</v>
      </c>
      <c r="O7" s="470">
        <f t="shared" ref="O7:O70" si="2">F7+N7</f>
        <v>6515.3955197359792</v>
      </c>
      <c r="P7" s="469">
        <f>'2_State Distrib and Adjs'!AL7</f>
        <v>5769</v>
      </c>
      <c r="Q7" s="469">
        <f>'3_Levels 1&amp;2'!AM7+'3_Levels 1&amp;2'!AX7</f>
        <v>7587.5341296060997</v>
      </c>
    </row>
    <row r="8" spans="1:17" ht="16.149999999999999" customHeight="1" x14ac:dyDescent="0.2">
      <c r="A8" s="668">
        <v>2</v>
      </c>
      <c r="B8" s="467" t="s">
        <v>6</v>
      </c>
      <c r="C8" s="471">
        <v>3421.2488262402526</v>
      </c>
      <c r="D8" s="471">
        <v>1482</v>
      </c>
      <c r="E8" s="471">
        <v>169.39990002499374</v>
      </c>
      <c r="F8" s="472">
        <f t="shared" ref="F8:F71" si="3">SUM(C8:E8)</f>
        <v>5072.6487262652472</v>
      </c>
      <c r="G8" s="471">
        <v>842.32</v>
      </c>
      <c r="H8" s="472">
        <f t="shared" si="1"/>
        <v>5914.9687262652469</v>
      </c>
      <c r="I8" s="471">
        <v>752.67474177285555</v>
      </c>
      <c r="J8" s="471">
        <v>205.27492957441515</v>
      </c>
      <c r="K8" s="471">
        <v>5131.8732393603786</v>
      </c>
      <c r="L8" s="471">
        <v>2052.7492957441518</v>
      </c>
      <c r="M8" s="471">
        <f>'[19]19-20 Final_Type1,1B,2,3,3B,4'!K8</f>
        <v>2658</v>
      </c>
      <c r="N8" s="471">
        <f>'[19]19-20 Final_Type1,1B,2,3,3B,4'!N8</f>
        <v>3080</v>
      </c>
      <c r="O8" s="472">
        <f t="shared" si="2"/>
        <v>8152.6487262652472</v>
      </c>
      <c r="P8" s="471">
        <f>'2_State Distrib and Adjs'!AL8</f>
        <v>7473</v>
      </c>
      <c r="Q8" s="471">
        <f>'3_Levels 1&amp;2'!AM8+'3_Levels 1&amp;2'!AX8</f>
        <v>9483.6340239940018</v>
      </c>
    </row>
    <row r="9" spans="1:17" ht="16.149999999999999" customHeight="1" x14ac:dyDescent="0.2">
      <c r="A9" s="668">
        <v>3</v>
      </c>
      <c r="B9" s="467" t="s">
        <v>7</v>
      </c>
      <c r="C9" s="471">
        <v>2559.8665456090816</v>
      </c>
      <c r="D9" s="471">
        <v>673</v>
      </c>
      <c r="E9" s="471">
        <v>169.39990173307129</v>
      </c>
      <c r="F9" s="472">
        <f t="shared" si="3"/>
        <v>3402.2664473421528</v>
      </c>
      <c r="G9" s="471">
        <v>596.84</v>
      </c>
      <c r="H9" s="472">
        <f t="shared" si="1"/>
        <v>3999.1064473421529</v>
      </c>
      <c r="I9" s="471">
        <v>563.17064003399798</v>
      </c>
      <c r="J9" s="471">
        <v>153.59199273654488</v>
      </c>
      <c r="K9" s="471">
        <v>3839.7998184136222</v>
      </c>
      <c r="L9" s="471">
        <v>1535.919927365449</v>
      </c>
      <c r="M9" s="471">
        <f>'[19]19-20 Final_Type1,1B,2,3,3B,4'!K9</f>
        <v>5682</v>
      </c>
      <c r="N9" s="471">
        <f>'[19]19-20 Final_Type1,1B,2,3,3B,4'!N9</f>
        <v>6520</v>
      </c>
      <c r="O9" s="472">
        <f t="shared" si="2"/>
        <v>9922.2664473421537</v>
      </c>
      <c r="P9" s="471">
        <f>'2_State Distrib and Adjs'!AL9</f>
        <v>4793</v>
      </c>
      <c r="Q9" s="471">
        <f>'3_Levels 1&amp;2'!AM9+'3_Levels 1&amp;2'!AX9</f>
        <v>7888.5784098624263</v>
      </c>
    </row>
    <row r="10" spans="1:17" ht="16.149999999999999" customHeight="1" x14ac:dyDescent="0.2">
      <c r="A10" s="668">
        <v>4</v>
      </c>
      <c r="B10" s="467" t="s">
        <v>8</v>
      </c>
      <c r="C10" s="471">
        <v>3101.2393855401465</v>
      </c>
      <c r="D10" s="471">
        <v>1274</v>
      </c>
      <c r="E10" s="471">
        <v>169.3998094633217</v>
      </c>
      <c r="F10" s="472">
        <f t="shared" si="3"/>
        <v>4544.6391950034676</v>
      </c>
      <c r="G10" s="471">
        <v>585.76</v>
      </c>
      <c r="H10" s="472">
        <f t="shared" si="1"/>
        <v>5130.3991950034679</v>
      </c>
      <c r="I10" s="471">
        <v>682.27266481883237</v>
      </c>
      <c r="J10" s="471">
        <v>186.07436313240879</v>
      </c>
      <c r="K10" s="471">
        <v>4651.85907831022</v>
      </c>
      <c r="L10" s="471">
        <v>1860.743631324088</v>
      </c>
      <c r="M10" s="471">
        <f>'[19]19-20 Final_Type1,1B,2,3,3B,4'!K10</f>
        <v>4789</v>
      </c>
      <c r="N10" s="471">
        <f>'[19]19-20 Final_Type1,1B,2,3,3B,4'!N10</f>
        <v>4789</v>
      </c>
      <c r="O10" s="472">
        <f t="shared" si="2"/>
        <v>9333.6391950034667</v>
      </c>
      <c r="P10" s="471">
        <f>'2_State Distrib and Adjs'!AL10</f>
        <v>6792</v>
      </c>
      <c r="Q10" s="471">
        <f>'3_Levels 1&amp;2'!AM10+'3_Levels 1&amp;2'!AX10</f>
        <v>9693.2804096538584</v>
      </c>
    </row>
    <row r="11" spans="1:17" ht="16.149999999999999" customHeight="1" x14ac:dyDescent="0.2">
      <c r="A11" s="669">
        <v>5</v>
      </c>
      <c r="B11" s="468" t="s">
        <v>9</v>
      </c>
      <c r="C11" s="473">
        <v>3217.5408249343836</v>
      </c>
      <c r="D11" s="473">
        <v>754</v>
      </c>
      <c r="E11" s="473">
        <v>169.39992204248685</v>
      </c>
      <c r="F11" s="474">
        <f t="shared" si="3"/>
        <v>4140.9407469768703</v>
      </c>
      <c r="G11" s="473">
        <v>555.91</v>
      </c>
      <c r="H11" s="474">
        <f t="shared" si="1"/>
        <v>4696.8507469768701</v>
      </c>
      <c r="I11" s="473">
        <v>707.85898148556441</v>
      </c>
      <c r="J11" s="473">
        <v>193.05244949606299</v>
      </c>
      <c r="K11" s="473">
        <v>4826.3112374015755</v>
      </c>
      <c r="L11" s="473">
        <v>1930.5244949606297</v>
      </c>
      <c r="M11" s="473">
        <f>'[19]19-20 Final_Type1,1B,2,3,3B,4'!K11</f>
        <v>2227</v>
      </c>
      <c r="N11" s="473">
        <f>'[19]19-20 Final_Type1,1B,2,3,3B,4'!N11</f>
        <v>2227</v>
      </c>
      <c r="O11" s="474">
        <f t="shared" si="2"/>
        <v>6367.9407469768703</v>
      </c>
      <c r="P11" s="473">
        <f>'2_State Distrib and Adjs'!AL11</f>
        <v>6155</v>
      </c>
      <c r="Q11" s="473">
        <f>'3_Levels 1&amp;2'!AM11+'3_Levels 1&amp;2'!AX11</f>
        <v>7894.1332215942311</v>
      </c>
    </row>
    <row r="12" spans="1:17" ht="16.149999999999999" customHeight="1" x14ac:dyDescent="0.2">
      <c r="A12" s="667">
        <v>6</v>
      </c>
      <c r="B12" s="466" t="s">
        <v>10</v>
      </c>
      <c r="C12" s="469">
        <v>3075.141579527176</v>
      </c>
      <c r="D12" s="469">
        <v>1178</v>
      </c>
      <c r="E12" s="469">
        <v>169.39986175911525</v>
      </c>
      <c r="F12" s="470">
        <f t="shared" si="3"/>
        <v>4422.541441286291</v>
      </c>
      <c r="G12" s="469">
        <v>545.4799999999999</v>
      </c>
      <c r="H12" s="470">
        <f t="shared" si="1"/>
        <v>4968.0214412862906</v>
      </c>
      <c r="I12" s="469">
        <v>676.53114749597876</v>
      </c>
      <c r="J12" s="469">
        <v>184.50849477163055</v>
      </c>
      <c r="K12" s="469">
        <v>4612.7123692907644</v>
      </c>
      <c r="L12" s="469">
        <v>1845.0849477163058</v>
      </c>
      <c r="M12" s="469">
        <f>'[19]19-20 Final_Type1,1B,2,3,3B,4'!K12</f>
        <v>3516</v>
      </c>
      <c r="N12" s="469">
        <f>'[19]19-20 Final_Type1,1B,2,3,3B,4'!N12</f>
        <v>4262</v>
      </c>
      <c r="O12" s="470">
        <f t="shared" si="2"/>
        <v>8684.541441286292</v>
      </c>
      <c r="P12" s="469">
        <f>'2_State Distrib and Adjs'!AL12</f>
        <v>6333</v>
      </c>
      <c r="Q12" s="469">
        <f>'3_Levels 1&amp;2'!AM12+'3_Levels 1&amp;2'!AX12</f>
        <v>9116.9637929842756</v>
      </c>
    </row>
    <row r="13" spans="1:17" ht="16.149999999999999" customHeight="1" x14ac:dyDescent="0.2">
      <c r="A13" s="668">
        <v>7</v>
      </c>
      <c r="B13" s="467" t="s">
        <v>11</v>
      </c>
      <c r="C13" s="471">
        <v>1803.909197169226</v>
      </c>
      <c r="D13" s="471">
        <v>112</v>
      </c>
      <c r="E13" s="471">
        <v>169.39980824544583</v>
      </c>
      <c r="F13" s="472">
        <f t="shared" si="3"/>
        <v>2085.3090054146719</v>
      </c>
      <c r="G13" s="471">
        <v>756.91999999999985</v>
      </c>
      <c r="H13" s="472">
        <f t="shared" si="1"/>
        <v>2842.2290054146715</v>
      </c>
      <c r="I13" s="471">
        <v>396.86002337722971</v>
      </c>
      <c r="J13" s="471">
        <v>108.23455183015353</v>
      </c>
      <c r="K13" s="471">
        <v>2705.863795753839</v>
      </c>
      <c r="L13" s="471">
        <v>1082.3455183015355</v>
      </c>
      <c r="M13" s="471">
        <f>'[19]19-20 Final_Type1,1B,2,3,3B,4'!K13</f>
        <v>11234</v>
      </c>
      <c r="N13" s="471">
        <f>'[19]19-20 Final_Type1,1B,2,3,3B,4'!N13</f>
        <v>12278</v>
      </c>
      <c r="O13" s="472">
        <f t="shared" si="2"/>
        <v>14363.309005414672</v>
      </c>
      <c r="P13" s="471">
        <f>'2_State Distrib and Adjs'!AL13</f>
        <v>3844</v>
      </c>
      <c r="Q13" s="471">
        <f>'3_Levels 1&amp;2'!AM13+'3_Levels 1&amp;2'!AX13</f>
        <v>8630.2421093000958</v>
      </c>
    </row>
    <row r="14" spans="1:17" ht="16.149999999999999" customHeight="1" x14ac:dyDescent="0.2">
      <c r="A14" s="668">
        <v>8</v>
      </c>
      <c r="B14" s="467" t="s">
        <v>12</v>
      </c>
      <c r="C14" s="471">
        <v>2897.8456654597744</v>
      </c>
      <c r="D14" s="471">
        <v>988</v>
      </c>
      <c r="E14" s="471">
        <v>169.39991982896848</v>
      </c>
      <c r="F14" s="472">
        <f t="shared" si="3"/>
        <v>4055.2455852887429</v>
      </c>
      <c r="G14" s="471">
        <v>725.76</v>
      </c>
      <c r="H14" s="472">
        <f t="shared" si="1"/>
        <v>4781.0055852887426</v>
      </c>
      <c r="I14" s="471">
        <v>637.52604640115044</v>
      </c>
      <c r="J14" s="471">
        <v>173.87073992758647</v>
      </c>
      <c r="K14" s="471">
        <v>4346.7684981896618</v>
      </c>
      <c r="L14" s="471">
        <v>1738.7073992758646</v>
      </c>
      <c r="M14" s="471">
        <f>'[19]19-20 Final_Type1,1B,2,3,3B,4'!K14</f>
        <v>4289</v>
      </c>
      <c r="N14" s="471">
        <f>'[19]19-20 Final_Type1,1B,2,3,3B,4'!N14</f>
        <v>4871</v>
      </c>
      <c r="O14" s="472">
        <f t="shared" si="2"/>
        <v>8926.2455852887433</v>
      </c>
      <c r="P14" s="471">
        <f>'2_State Distrib and Adjs'!AL14</f>
        <v>5903</v>
      </c>
      <c r="Q14" s="471">
        <f>'3_Levels 1&amp;2'!AM14+'3_Levels 1&amp;2'!AX14</f>
        <v>8622.6556992695532</v>
      </c>
    </row>
    <row r="15" spans="1:17" ht="16.149999999999999" customHeight="1" x14ac:dyDescent="0.2">
      <c r="A15" s="668">
        <v>9</v>
      </c>
      <c r="B15" s="467" t="s">
        <v>13</v>
      </c>
      <c r="C15" s="471">
        <v>2743.1358404153384</v>
      </c>
      <c r="D15" s="471">
        <v>854</v>
      </c>
      <c r="E15" s="471">
        <v>169.39990139346602</v>
      </c>
      <c r="F15" s="472">
        <f t="shared" si="3"/>
        <v>3766.5357418088042</v>
      </c>
      <c r="G15" s="471">
        <v>744.76</v>
      </c>
      <c r="H15" s="472">
        <f t="shared" si="1"/>
        <v>4511.2957418088045</v>
      </c>
      <c r="I15" s="471">
        <v>603.48988489137446</v>
      </c>
      <c r="J15" s="471">
        <v>164.58815042492031</v>
      </c>
      <c r="K15" s="471">
        <v>4114.7037606230069</v>
      </c>
      <c r="L15" s="471">
        <v>1645.8815042492029</v>
      </c>
      <c r="M15" s="471">
        <f>'[19]19-20 Final_Type1,1B,2,3,3B,4'!K15</f>
        <v>4720</v>
      </c>
      <c r="N15" s="471">
        <f>'[19]19-20 Final_Type1,1B,2,3,3B,4'!N15</f>
        <v>5484</v>
      </c>
      <c r="O15" s="472">
        <f t="shared" si="2"/>
        <v>9250.5357418088042</v>
      </c>
      <c r="P15" s="471">
        <f>'2_State Distrib and Adjs'!AL15</f>
        <v>5537</v>
      </c>
      <c r="Q15" s="471">
        <f>'3_Levels 1&amp;2'!AM15+'3_Levels 1&amp;2'!AX15</f>
        <v>8415.8393824117084</v>
      </c>
    </row>
    <row r="16" spans="1:17" ht="16.149999999999999" customHeight="1" x14ac:dyDescent="0.2">
      <c r="A16" s="669">
        <v>10</v>
      </c>
      <c r="B16" s="468" t="s">
        <v>14</v>
      </c>
      <c r="C16" s="473">
        <v>2086.0872588634702</v>
      </c>
      <c r="D16" s="473">
        <v>337</v>
      </c>
      <c r="E16" s="473">
        <v>169.39989759344598</v>
      </c>
      <c r="F16" s="474">
        <f t="shared" si="3"/>
        <v>2592.4871564569162</v>
      </c>
      <c r="G16" s="473">
        <v>608.04000000000008</v>
      </c>
      <c r="H16" s="474">
        <f t="shared" si="1"/>
        <v>3200.5271564569161</v>
      </c>
      <c r="I16" s="473">
        <v>458.93919694996345</v>
      </c>
      <c r="J16" s="473">
        <v>125.16523553180819</v>
      </c>
      <c r="K16" s="473">
        <v>3129.1308882952053</v>
      </c>
      <c r="L16" s="473">
        <v>1251.6523553180818</v>
      </c>
      <c r="M16" s="473">
        <f>'[19]19-20 Final_Type1,1B,2,3,3B,4'!K16</f>
        <v>6437</v>
      </c>
      <c r="N16" s="473">
        <f>'[19]19-20 Final_Type1,1B,2,3,3B,4'!N16</f>
        <v>7255</v>
      </c>
      <c r="O16" s="474">
        <f t="shared" si="2"/>
        <v>9847.4871564569166</v>
      </c>
      <c r="P16" s="473">
        <f>'2_State Distrib and Adjs'!AL16</f>
        <v>4083</v>
      </c>
      <c r="Q16" s="473">
        <f>'3_Levels 1&amp;2'!AM16+'3_Levels 1&amp;2'!AX16</f>
        <v>8154.5704225776335</v>
      </c>
    </row>
    <row r="17" spans="1:17" ht="16.149999999999999" customHeight="1" x14ac:dyDescent="0.2">
      <c r="A17" s="667">
        <v>11</v>
      </c>
      <c r="B17" s="466" t="s">
        <v>15</v>
      </c>
      <c r="C17" s="469">
        <v>3308.7586840503332</v>
      </c>
      <c r="D17" s="469">
        <v>1571</v>
      </c>
      <c r="E17" s="469">
        <v>169.39974126778785</v>
      </c>
      <c r="F17" s="470">
        <f t="shared" si="3"/>
        <v>5049.1584253181218</v>
      </c>
      <c r="G17" s="469">
        <v>706.55</v>
      </c>
      <c r="H17" s="470">
        <f t="shared" si="1"/>
        <v>5755.708425318122</v>
      </c>
      <c r="I17" s="469">
        <v>727.92691049107339</v>
      </c>
      <c r="J17" s="469">
        <v>198.52552104302001</v>
      </c>
      <c r="K17" s="469">
        <v>4963.1380260755004</v>
      </c>
      <c r="L17" s="469">
        <v>1985.2552104302001</v>
      </c>
      <c r="M17" s="469">
        <f>'[19]19-20 Final_Type1,1B,2,3,3B,4'!K17</f>
        <v>2966</v>
      </c>
      <c r="N17" s="469">
        <f>'[19]19-20 Final_Type1,1B,2,3,3B,4'!N17</f>
        <v>3499</v>
      </c>
      <c r="O17" s="470">
        <f t="shared" si="2"/>
        <v>8548.1584253181209</v>
      </c>
      <c r="P17" s="469">
        <f>'2_State Distrib and Adjs'!AL17</f>
        <v>7908</v>
      </c>
      <c r="Q17" s="469">
        <f>'3_Levels 1&amp;2'!AM17+'3_Levels 1&amp;2'!AX17</f>
        <v>10617.838758085381</v>
      </c>
    </row>
    <row r="18" spans="1:17" ht="16.149999999999999" customHeight="1" x14ac:dyDescent="0.2">
      <c r="A18" s="668">
        <v>12</v>
      </c>
      <c r="B18" s="467" t="s">
        <v>16</v>
      </c>
      <c r="C18" s="471">
        <v>1003.7501175594118</v>
      </c>
      <c r="D18" s="471">
        <v>0</v>
      </c>
      <c r="E18" s="471">
        <v>169.4</v>
      </c>
      <c r="F18" s="472">
        <f t="shared" si="3"/>
        <v>1173.1501175594119</v>
      </c>
      <c r="G18" s="471">
        <v>1063.31</v>
      </c>
      <c r="H18" s="472">
        <f t="shared" si="1"/>
        <v>2236.4601175594116</v>
      </c>
      <c r="I18" s="471">
        <v>220.82502586307055</v>
      </c>
      <c r="J18" s="471">
        <v>60.225007053564696</v>
      </c>
      <c r="K18" s="471">
        <v>1505.6251763391174</v>
      </c>
      <c r="L18" s="471">
        <v>602.25007053564696</v>
      </c>
      <c r="M18" s="471">
        <f>'[19]19-20 Final_Type1,1B,2,3,3B,4'!K18</f>
        <v>7836</v>
      </c>
      <c r="N18" s="471">
        <f>'[19]19-20 Final_Type1,1B,2,3,3B,4'!N18</f>
        <v>7836</v>
      </c>
      <c r="O18" s="472">
        <f t="shared" si="2"/>
        <v>9009.1501175594112</v>
      </c>
      <c r="P18" s="471">
        <f>'2_State Distrib and Adjs'!AL18</f>
        <v>2783</v>
      </c>
      <c r="Q18" s="471">
        <f>'3_Levels 1&amp;2'!AM18+'3_Levels 1&amp;2'!AX18</f>
        <v>8282.0106463878328</v>
      </c>
    </row>
    <row r="19" spans="1:17" ht="16.149999999999999" customHeight="1" x14ac:dyDescent="0.2">
      <c r="A19" s="668">
        <v>13</v>
      </c>
      <c r="B19" s="467" t="s">
        <v>17</v>
      </c>
      <c r="C19" s="471">
        <v>3325.3743109386983</v>
      </c>
      <c r="D19" s="471">
        <v>1283</v>
      </c>
      <c r="E19" s="471">
        <v>169.4</v>
      </c>
      <c r="F19" s="472">
        <f t="shared" si="3"/>
        <v>4777.7743109386975</v>
      </c>
      <c r="G19" s="471">
        <v>749.43000000000006</v>
      </c>
      <c r="H19" s="472">
        <f t="shared" si="1"/>
        <v>5527.2043109386977</v>
      </c>
      <c r="I19" s="471">
        <v>731.58234840651357</v>
      </c>
      <c r="J19" s="471">
        <v>199.52245865632185</v>
      </c>
      <c r="K19" s="471">
        <v>4988.0614664080467</v>
      </c>
      <c r="L19" s="471">
        <v>1995.2245865632185</v>
      </c>
      <c r="M19" s="471">
        <f>'[19]19-20 Final_Type1,1B,2,3,3B,4'!K19</f>
        <v>2968</v>
      </c>
      <c r="N19" s="471">
        <f>'[19]19-20 Final_Type1,1B,2,3,3B,4'!N19</f>
        <v>3003</v>
      </c>
      <c r="O19" s="472">
        <f t="shared" si="2"/>
        <v>7780.7743109386975</v>
      </c>
      <c r="P19" s="471">
        <f>'2_State Distrib and Adjs'!AL19</f>
        <v>7497</v>
      </c>
      <c r="Q19" s="471">
        <f>'3_Levels 1&amp;2'!AM19+'3_Levels 1&amp;2'!AX19</f>
        <v>9581.8570750988147</v>
      </c>
    </row>
    <row r="20" spans="1:17" ht="16.149999999999999" customHeight="1" x14ac:dyDescent="0.2">
      <c r="A20" s="668">
        <v>14</v>
      </c>
      <c r="B20" s="467" t="s">
        <v>18</v>
      </c>
      <c r="C20" s="471">
        <v>2996.911485042513</v>
      </c>
      <c r="D20" s="471">
        <v>941</v>
      </c>
      <c r="E20" s="471">
        <v>169.3997702469845</v>
      </c>
      <c r="F20" s="472">
        <f t="shared" si="3"/>
        <v>4107.3112552894972</v>
      </c>
      <c r="G20" s="471">
        <v>809.9799999999999</v>
      </c>
      <c r="H20" s="472">
        <f t="shared" si="1"/>
        <v>4917.2912552894968</v>
      </c>
      <c r="I20" s="471">
        <v>659.32052670935263</v>
      </c>
      <c r="J20" s="471">
        <v>179.81468910255074</v>
      </c>
      <c r="K20" s="471">
        <v>4495.3672275637691</v>
      </c>
      <c r="L20" s="471">
        <v>1798.1468910255076</v>
      </c>
      <c r="M20" s="471">
        <f>'[19]19-20 Final_Type1,1B,2,3,3B,4'!K20</f>
        <v>3775</v>
      </c>
      <c r="N20" s="471">
        <f>'[19]19-20 Final_Type1,1B,2,3,3B,4'!N20</f>
        <v>4079</v>
      </c>
      <c r="O20" s="472">
        <f t="shared" si="2"/>
        <v>8186.3112552894972</v>
      </c>
      <c r="P20" s="471">
        <f>'2_State Distrib and Adjs'!AL20</f>
        <v>7241</v>
      </c>
      <c r="Q20" s="471">
        <f>'3_Levels 1&amp;2'!AM20+'3_Levels 1&amp;2'!AX20</f>
        <v>9820.2871797817352</v>
      </c>
    </row>
    <row r="21" spans="1:17" ht="16.149999999999999" customHeight="1" x14ac:dyDescent="0.2">
      <c r="A21" s="669">
        <v>15</v>
      </c>
      <c r="B21" s="468" t="s">
        <v>19</v>
      </c>
      <c r="C21" s="473">
        <v>3267.7439195032716</v>
      </c>
      <c r="D21" s="473">
        <v>1254</v>
      </c>
      <c r="E21" s="473">
        <v>100</v>
      </c>
      <c r="F21" s="474">
        <f t="shared" si="3"/>
        <v>4621.7439195032712</v>
      </c>
      <c r="G21" s="473">
        <v>553.79999999999995</v>
      </c>
      <c r="H21" s="474">
        <f t="shared" si="1"/>
        <v>5175.5439195032714</v>
      </c>
      <c r="I21" s="473">
        <v>718.90366229071969</v>
      </c>
      <c r="J21" s="473">
        <v>196.06463517019628</v>
      </c>
      <c r="K21" s="473">
        <v>4901.6158792549077</v>
      </c>
      <c r="L21" s="473">
        <v>1960.6463517019631</v>
      </c>
      <c r="M21" s="473">
        <f>'[19]19-20 Final_Type1,1B,2,3,3B,4'!K21</f>
        <v>3057</v>
      </c>
      <c r="N21" s="473">
        <f>'[19]19-20 Final_Type1,1B,2,3,3B,4'!N21</f>
        <v>3057</v>
      </c>
      <c r="O21" s="474">
        <f t="shared" si="2"/>
        <v>7678.7439195032712</v>
      </c>
      <c r="P21" s="473">
        <f>'2_State Distrib and Adjs'!AL21</f>
        <v>6976</v>
      </c>
      <c r="Q21" s="473">
        <f>'3_Levels 1&amp;2'!AM21+'3_Levels 1&amp;2'!AX21</f>
        <v>9323.3158295964131</v>
      </c>
    </row>
    <row r="22" spans="1:17" ht="16.149999999999999" customHeight="1" x14ac:dyDescent="0.2">
      <c r="A22" s="667">
        <v>16</v>
      </c>
      <c r="B22" s="466" t="s">
        <v>526</v>
      </c>
      <c r="C22" s="469">
        <v>1408.6330605820478</v>
      </c>
      <c r="D22" s="469">
        <v>0</v>
      </c>
      <c r="E22" s="469">
        <v>169.4</v>
      </c>
      <c r="F22" s="470">
        <f t="shared" si="3"/>
        <v>1578.0330605820479</v>
      </c>
      <c r="G22" s="469">
        <v>686.73</v>
      </c>
      <c r="H22" s="470">
        <f t="shared" si="1"/>
        <v>2264.7630605820477</v>
      </c>
      <c r="I22" s="469">
        <v>309.89927332805053</v>
      </c>
      <c r="J22" s="469">
        <v>84.517983634922871</v>
      </c>
      <c r="K22" s="469">
        <v>2112.9495908730719</v>
      </c>
      <c r="L22" s="469">
        <v>845.17983634922859</v>
      </c>
      <c r="M22" s="469">
        <f>'[19]19-20 Final_Type1,1B,2,3,3B,4'!K22</f>
        <v>12666</v>
      </c>
      <c r="N22" s="469">
        <f>'[19]19-20 Final_Type1,1B,2,3,3B,4'!N22</f>
        <v>14225</v>
      </c>
      <c r="O22" s="470">
        <f t="shared" si="2"/>
        <v>15803.033060582047</v>
      </c>
      <c r="P22" s="469">
        <f>'2_State Distrib and Adjs'!AL22</f>
        <v>2869</v>
      </c>
      <c r="Q22" s="469">
        <f>'3_Levels 1&amp;2'!AM22+'3_Levels 1&amp;2'!AX22</f>
        <v>7852.0809326424878</v>
      </c>
    </row>
    <row r="23" spans="1:17" ht="16.149999999999999" customHeight="1" x14ac:dyDescent="0.2">
      <c r="A23" s="668">
        <v>17</v>
      </c>
      <c r="B23" s="467" t="s">
        <v>21</v>
      </c>
      <c r="C23" s="471">
        <v>1983.2970471006045</v>
      </c>
      <c r="D23" s="471">
        <v>247</v>
      </c>
      <c r="E23" s="471">
        <v>403.51306291205719</v>
      </c>
      <c r="F23" s="472">
        <f t="shared" si="3"/>
        <v>2633.8101100126619</v>
      </c>
      <c r="G23" s="471">
        <v>801.48</v>
      </c>
      <c r="H23" s="472">
        <f t="shared" si="1"/>
        <v>3435.2901100126619</v>
      </c>
      <c r="I23" s="471">
        <v>436.32535036213295</v>
      </c>
      <c r="J23" s="471">
        <v>118.99782282603627</v>
      </c>
      <c r="K23" s="471">
        <v>2974.9455706509066</v>
      </c>
      <c r="L23" s="471">
        <v>1189.9782282603624</v>
      </c>
      <c r="M23" s="471">
        <f>'[19]19-20 Final_Type1,1B,2,3,3B,4'!K23</f>
        <v>6617</v>
      </c>
      <c r="N23" s="471">
        <f>'[19]19-20 Final_Type1,1B,2,3,3B,4'!N23</f>
        <v>7559</v>
      </c>
      <c r="O23" s="472">
        <f t="shared" si="2"/>
        <v>10192.810110012662</v>
      </c>
      <c r="P23" s="471">
        <f>'2_State Distrib and Adjs'!AL23</f>
        <v>4211</v>
      </c>
      <c r="Q23" s="471">
        <f>'3_Levels 1&amp;2'!AM23+'3_Levels 1&amp;2'!AX23</f>
        <v>8150.7008961895181</v>
      </c>
    </row>
    <row r="24" spans="1:17" ht="16.149999999999999" customHeight="1" x14ac:dyDescent="0.2">
      <c r="A24" s="668">
        <v>18</v>
      </c>
      <c r="B24" s="467" t="s">
        <v>22</v>
      </c>
      <c r="C24" s="471">
        <v>3077.911273557304</v>
      </c>
      <c r="D24" s="471">
        <v>1299</v>
      </c>
      <c r="E24" s="471">
        <v>169.39977728285078</v>
      </c>
      <c r="F24" s="472">
        <f t="shared" si="3"/>
        <v>4546.3110508401542</v>
      </c>
      <c r="G24" s="471">
        <v>845.94999999999993</v>
      </c>
      <c r="H24" s="472">
        <f t="shared" si="1"/>
        <v>5392.261050840154</v>
      </c>
      <c r="I24" s="471">
        <v>677.14048018260701</v>
      </c>
      <c r="J24" s="471">
        <v>184.67467641343825</v>
      </c>
      <c r="K24" s="471">
        <v>4616.8669103359562</v>
      </c>
      <c r="L24" s="471">
        <v>0</v>
      </c>
      <c r="M24" s="471">
        <f>'[19]19-20 Final_Type1,1B,2,3,3B,4'!K24</f>
        <v>2722</v>
      </c>
      <c r="N24" s="471">
        <f>'[19]19-20 Final_Type1,1B,2,3,3B,4'!N24</f>
        <v>2722</v>
      </c>
      <c r="O24" s="472">
        <f t="shared" si="2"/>
        <v>7268.3110508401542</v>
      </c>
      <c r="P24" s="471">
        <f>'2_State Distrib and Adjs'!AL24</f>
        <v>7210</v>
      </c>
      <c r="Q24" s="471">
        <f>'3_Levels 1&amp;2'!AM24+'3_Levels 1&amp;2'!AX24</f>
        <v>10018.317884187083</v>
      </c>
    </row>
    <row r="25" spans="1:17" ht="16.149999999999999" customHeight="1" x14ac:dyDescent="0.2">
      <c r="A25" s="668">
        <v>19</v>
      </c>
      <c r="B25" s="467" t="s">
        <v>23</v>
      </c>
      <c r="C25" s="471">
        <v>2696.9295737984139</v>
      </c>
      <c r="D25" s="471">
        <v>708</v>
      </c>
      <c r="E25" s="471">
        <v>169.39978506179474</v>
      </c>
      <c r="F25" s="472">
        <f t="shared" si="3"/>
        <v>3574.3293588602087</v>
      </c>
      <c r="G25" s="471">
        <v>905.43</v>
      </c>
      <c r="H25" s="472">
        <f t="shared" si="1"/>
        <v>4479.7593588602085</v>
      </c>
      <c r="I25" s="471">
        <v>593.32450623565103</v>
      </c>
      <c r="J25" s="471">
        <v>161.81577442790481</v>
      </c>
      <c r="K25" s="471">
        <v>4045.3943606976204</v>
      </c>
      <c r="L25" s="471">
        <v>1618.1577442790481</v>
      </c>
      <c r="M25" s="471">
        <f>'[19]19-20 Final_Type1,1B,2,3,3B,4'!K25</f>
        <v>4259</v>
      </c>
      <c r="N25" s="471">
        <f>'[19]19-20 Final_Type1,1B,2,3,3B,4'!N25</f>
        <v>4259</v>
      </c>
      <c r="O25" s="472">
        <f t="shared" si="2"/>
        <v>7833.3293588602082</v>
      </c>
      <c r="P25" s="471">
        <f>'2_State Distrib and Adjs'!AL25</f>
        <v>5907</v>
      </c>
      <c r="Q25" s="471">
        <f>'3_Levels 1&amp;2'!AM25+'3_Levels 1&amp;2'!AX25</f>
        <v>8644.4808436324547</v>
      </c>
    </row>
    <row r="26" spans="1:17" ht="16.149999999999999" customHeight="1" x14ac:dyDescent="0.2">
      <c r="A26" s="669">
        <v>20</v>
      </c>
      <c r="B26" s="468" t="s">
        <v>24</v>
      </c>
      <c r="C26" s="473">
        <v>3184.6164663530731</v>
      </c>
      <c r="D26" s="473">
        <v>949</v>
      </c>
      <c r="E26" s="473">
        <v>100</v>
      </c>
      <c r="F26" s="474">
        <f t="shared" si="3"/>
        <v>4233.6164663530726</v>
      </c>
      <c r="G26" s="473">
        <v>586.16999999999996</v>
      </c>
      <c r="H26" s="474">
        <f t="shared" si="1"/>
        <v>4819.7864663530727</v>
      </c>
      <c r="I26" s="473">
        <v>700.61562259767607</v>
      </c>
      <c r="J26" s="473">
        <v>191.07698798118435</v>
      </c>
      <c r="K26" s="473">
        <v>4776.9246995296089</v>
      </c>
      <c r="L26" s="473">
        <v>1910.7698798118433</v>
      </c>
      <c r="M26" s="473">
        <f>'[19]19-20 Final_Type1,1B,2,3,3B,4'!K26</f>
        <v>2595</v>
      </c>
      <c r="N26" s="473">
        <f>'[19]19-20 Final_Type1,1B,2,3,3B,4'!N26</f>
        <v>2683</v>
      </c>
      <c r="O26" s="474">
        <f t="shared" si="2"/>
        <v>6916.6164663530726</v>
      </c>
      <c r="P26" s="473">
        <f>'2_State Distrib and Adjs'!AL26</f>
        <v>6299</v>
      </c>
      <c r="Q26" s="473">
        <f>'3_Levels 1&amp;2'!AM26+'3_Levels 1&amp;2'!AX26</f>
        <v>8404.2197593153869</v>
      </c>
    </row>
    <row r="27" spans="1:17" ht="16.149999999999999" customHeight="1" x14ac:dyDescent="0.2">
      <c r="A27" s="667">
        <v>21</v>
      </c>
      <c r="B27" s="466" t="s">
        <v>25</v>
      </c>
      <c r="C27" s="469">
        <v>3273.8041660388762</v>
      </c>
      <c r="D27" s="469">
        <v>974</v>
      </c>
      <c r="E27" s="469">
        <v>169.39986468200271</v>
      </c>
      <c r="F27" s="470">
        <f t="shared" si="3"/>
        <v>4417.204030720879</v>
      </c>
      <c r="G27" s="469">
        <v>610.35</v>
      </c>
      <c r="H27" s="470">
        <f t="shared" si="1"/>
        <v>5027.5540307208794</v>
      </c>
      <c r="I27" s="469">
        <v>720.23691652855268</v>
      </c>
      <c r="J27" s="469">
        <v>196.42824996233259</v>
      </c>
      <c r="K27" s="469">
        <v>4910.7062490583139</v>
      </c>
      <c r="L27" s="469">
        <v>1964.2824996233255</v>
      </c>
      <c r="M27" s="469">
        <f>'[19]19-20 Final_Type1,1B,2,3,3B,4'!K27</f>
        <v>1812</v>
      </c>
      <c r="N27" s="469">
        <f>'[19]19-20 Final_Type1,1B,2,3,3B,4'!N27</f>
        <v>2666</v>
      </c>
      <c r="O27" s="470">
        <f t="shared" si="2"/>
        <v>7083.204030720879</v>
      </c>
      <c r="P27" s="469">
        <f>'2_State Distrib and Adjs'!AL27</f>
        <v>7017</v>
      </c>
      <c r="Q27" s="469">
        <f>'3_Levels 1&amp;2'!AM27+'3_Levels 1&amp;2'!AX27</f>
        <v>9013.7568064952648</v>
      </c>
    </row>
    <row r="28" spans="1:17" ht="16.149999999999999" customHeight="1" x14ac:dyDescent="0.2">
      <c r="A28" s="668">
        <v>22</v>
      </c>
      <c r="B28" s="467" t="s">
        <v>26</v>
      </c>
      <c r="C28" s="471">
        <v>3586.7145805180512</v>
      </c>
      <c r="D28" s="471">
        <v>1039</v>
      </c>
      <c r="E28" s="471">
        <v>169.4</v>
      </c>
      <c r="F28" s="472">
        <f t="shared" si="3"/>
        <v>4795.1145805180513</v>
      </c>
      <c r="G28" s="471">
        <v>496.36</v>
      </c>
      <c r="H28" s="472">
        <f t="shared" si="1"/>
        <v>5291.474580518051</v>
      </c>
      <c r="I28" s="471">
        <v>789.07720771397135</v>
      </c>
      <c r="J28" s="471">
        <v>215.20287483108305</v>
      </c>
      <c r="K28" s="471">
        <v>5380.0718707770775</v>
      </c>
      <c r="L28" s="471">
        <v>2152.0287483108305</v>
      </c>
      <c r="M28" s="471">
        <f>'[19]19-20 Final_Type1,1B,2,3,3B,4'!K28</f>
        <v>1206</v>
      </c>
      <c r="N28" s="471">
        <f>'[19]19-20 Final_Type1,1B,2,3,3B,4'!N28</f>
        <v>2015</v>
      </c>
      <c r="O28" s="472">
        <f t="shared" si="2"/>
        <v>6810.1145805180513</v>
      </c>
      <c r="P28" s="471">
        <f>'2_State Distrib and Adjs'!AL28</f>
        <v>7507</v>
      </c>
      <c r="Q28" s="471">
        <f>'3_Levels 1&amp;2'!AM28+'3_Levels 1&amp;2'!AX28</f>
        <v>8966.678524871355</v>
      </c>
    </row>
    <row r="29" spans="1:17" ht="16.149999999999999" customHeight="1" x14ac:dyDescent="0.2">
      <c r="A29" s="668">
        <v>23</v>
      </c>
      <c r="B29" s="467" t="s">
        <v>27</v>
      </c>
      <c r="C29" s="471">
        <v>2947.6183090328946</v>
      </c>
      <c r="D29" s="471">
        <v>1058</v>
      </c>
      <c r="E29" s="471">
        <v>169.39988563025898</v>
      </c>
      <c r="F29" s="472">
        <f t="shared" si="3"/>
        <v>4175.0181946631537</v>
      </c>
      <c r="G29" s="471">
        <v>688.58</v>
      </c>
      <c r="H29" s="472">
        <f t="shared" si="1"/>
        <v>4863.5981946631537</v>
      </c>
      <c r="I29" s="471">
        <v>648.47602798723688</v>
      </c>
      <c r="J29" s="471">
        <v>176.8570985419737</v>
      </c>
      <c r="K29" s="471">
        <v>4421.427463549343</v>
      </c>
      <c r="L29" s="471">
        <v>1768.5709854197369</v>
      </c>
      <c r="M29" s="471">
        <f>'[19]19-20 Final_Type1,1B,2,3,3B,4'!K29</f>
        <v>2667</v>
      </c>
      <c r="N29" s="471">
        <f>'[19]19-20 Final_Type1,1B,2,3,3B,4'!N29</f>
        <v>3704</v>
      </c>
      <c r="O29" s="472">
        <f t="shared" si="2"/>
        <v>7879.0181946631537</v>
      </c>
      <c r="P29" s="471">
        <f>'2_State Distrib and Adjs'!AL29</f>
        <v>6124</v>
      </c>
      <c r="Q29" s="471">
        <f>'3_Levels 1&amp;2'!AM29+'3_Levels 1&amp;2'!AX29</f>
        <v>8906.389789232906</v>
      </c>
    </row>
    <row r="30" spans="1:17" ht="16.149999999999999" customHeight="1" x14ac:dyDescent="0.2">
      <c r="A30" s="668">
        <v>24</v>
      </c>
      <c r="B30" s="467" t="s">
        <v>28</v>
      </c>
      <c r="C30" s="471">
        <v>1384.1873673518264</v>
      </c>
      <c r="D30" s="471">
        <v>0</v>
      </c>
      <c r="E30" s="471">
        <v>463.27859495060375</v>
      </c>
      <c r="F30" s="472">
        <f t="shared" si="3"/>
        <v>1847.4659623024302</v>
      </c>
      <c r="G30" s="471">
        <v>854.24999999999989</v>
      </c>
      <c r="H30" s="472">
        <f t="shared" si="1"/>
        <v>2701.7159623024299</v>
      </c>
      <c r="I30" s="471">
        <v>304.5212208174018</v>
      </c>
      <c r="J30" s="471">
        <v>83.051242041109575</v>
      </c>
      <c r="K30" s="471">
        <v>2076.2810510277395</v>
      </c>
      <c r="L30" s="471">
        <v>830.51242041109583</v>
      </c>
      <c r="M30" s="471">
        <f>'[19]19-20 Final_Type1,1B,2,3,3B,4'!K30</f>
        <v>13013</v>
      </c>
      <c r="N30" s="471">
        <f>'[19]19-20 Final_Type1,1B,2,3,3B,4'!N30</f>
        <v>13711</v>
      </c>
      <c r="O30" s="472">
        <f t="shared" si="2"/>
        <v>15558.465962302431</v>
      </c>
      <c r="P30" s="471">
        <f>'2_State Distrib and Adjs'!AL30</f>
        <v>3333</v>
      </c>
      <c r="Q30" s="471">
        <f>'3_Levels 1&amp;2'!AM30+'3_Levels 1&amp;2'!AX30</f>
        <v>8299.1035455543351</v>
      </c>
    </row>
    <row r="31" spans="1:17" ht="16.149999999999999" customHeight="1" x14ac:dyDescent="0.2">
      <c r="A31" s="669">
        <v>25</v>
      </c>
      <c r="B31" s="468" t="s">
        <v>29</v>
      </c>
      <c r="C31" s="473">
        <v>2573.2162586261902</v>
      </c>
      <c r="D31" s="473">
        <v>788</v>
      </c>
      <c r="E31" s="473">
        <v>169.39991083370487</v>
      </c>
      <c r="F31" s="474">
        <f t="shared" si="3"/>
        <v>3530.616169459895</v>
      </c>
      <c r="G31" s="473">
        <v>653.73</v>
      </c>
      <c r="H31" s="474">
        <f t="shared" si="1"/>
        <v>4184.3461694598955</v>
      </c>
      <c r="I31" s="473">
        <v>566.10757689776187</v>
      </c>
      <c r="J31" s="473">
        <v>154.39297551757144</v>
      </c>
      <c r="K31" s="473">
        <v>3859.8243879392858</v>
      </c>
      <c r="L31" s="473">
        <v>1543.9297551757143</v>
      </c>
      <c r="M31" s="473">
        <f>'[19]19-20 Final_Type1,1B,2,3,3B,4'!K31</f>
        <v>4752</v>
      </c>
      <c r="N31" s="473">
        <f>'[19]19-20 Final_Type1,1B,2,3,3B,4'!N31</f>
        <v>4752</v>
      </c>
      <c r="O31" s="474">
        <f t="shared" si="2"/>
        <v>8282.6161694598959</v>
      </c>
      <c r="P31" s="473">
        <f>'2_State Distrib and Adjs'!AL31</f>
        <v>5496</v>
      </c>
      <c r="Q31" s="473">
        <f>'3_Levels 1&amp;2'!AM31+'3_Levels 1&amp;2'!AX31</f>
        <v>9074.4512483281324</v>
      </c>
    </row>
    <row r="32" spans="1:17" ht="16.149999999999999" customHeight="1" x14ac:dyDescent="0.2">
      <c r="A32" s="667">
        <v>26</v>
      </c>
      <c r="B32" s="466" t="s">
        <v>30</v>
      </c>
      <c r="C32" s="469">
        <v>2196.3969359215798</v>
      </c>
      <c r="D32" s="469">
        <v>432</v>
      </c>
      <c r="E32" s="469">
        <v>400.59415669578902</v>
      </c>
      <c r="F32" s="470">
        <f t="shared" si="3"/>
        <v>3028.9910926173688</v>
      </c>
      <c r="G32" s="469">
        <v>836.83</v>
      </c>
      <c r="H32" s="470">
        <f t="shared" si="1"/>
        <v>3865.8210926173688</v>
      </c>
      <c r="I32" s="469">
        <v>483.20732590274747</v>
      </c>
      <c r="J32" s="469">
        <v>131.78381615529477</v>
      </c>
      <c r="K32" s="469">
        <v>3294.5954038823697</v>
      </c>
      <c r="L32" s="469">
        <v>1317.8381615529479</v>
      </c>
      <c r="M32" s="469">
        <f>'[19]19-20 Final_Type1,1B,2,3,3B,4'!K32</f>
        <v>4804</v>
      </c>
      <c r="N32" s="469">
        <f>'[19]19-20 Final_Type1,1B,2,3,3B,4'!N32</f>
        <v>5313</v>
      </c>
      <c r="O32" s="470">
        <f t="shared" si="2"/>
        <v>8341.9910926173688</v>
      </c>
      <c r="P32" s="469">
        <f>'2_State Distrib and Adjs'!AL32</f>
        <v>4826</v>
      </c>
      <c r="Q32" s="469">
        <f>'3_Levels 1&amp;2'!AM32+'3_Levels 1&amp;2'!AX32</f>
        <v>8543.7164514436754</v>
      </c>
    </row>
    <row r="33" spans="1:17" ht="16.149999999999999" customHeight="1" x14ac:dyDescent="0.2">
      <c r="A33" s="668">
        <v>27</v>
      </c>
      <c r="B33" s="467" t="s">
        <v>31</v>
      </c>
      <c r="C33" s="471">
        <v>3140.1486950847293</v>
      </c>
      <c r="D33" s="471">
        <v>1243</v>
      </c>
      <c r="E33" s="471">
        <v>169.39981916817359</v>
      </c>
      <c r="F33" s="472">
        <f t="shared" si="3"/>
        <v>4552.5485142529033</v>
      </c>
      <c r="G33" s="471">
        <v>693.06</v>
      </c>
      <c r="H33" s="472">
        <f t="shared" si="1"/>
        <v>5245.6085142529028</v>
      </c>
      <c r="I33" s="471">
        <v>690.83271291864048</v>
      </c>
      <c r="J33" s="471">
        <v>188.4089217050838</v>
      </c>
      <c r="K33" s="471">
        <v>4710.2230426270944</v>
      </c>
      <c r="L33" s="471">
        <v>1884.0892170508378</v>
      </c>
      <c r="M33" s="471">
        <f>'[19]19-20 Final_Type1,1B,2,3,3B,4'!K33</f>
        <v>2946</v>
      </c>
      <c r="N33" s="471">
        <f>'[19]19-20 Final_Type1,1B,2,3,3B,4'!N33</f>
        <v>3604</v>
      </c>
      <c r="O33" s="472">
        <f t="shared" si="2"/>
        <v>8156.5485142529033</v>
      </c>
      <c r="P33" s="471">
        <f>'2_State Distrib and Adjs'!AL33</f>
        <v>6677</v>
      </c>
      <c r="Q33" s="471">
        <f>'3_Levels 1&amp;2'!AM33+'3_Levels 1&amp;2'!AX33</f>
        <v>9244.9526943942128</v>
      </c>
    </row>
    <row r="34" spans="1:17" ht="16.149999999999999" customHeight="1" x14ac:dyDescent="0.2">
      <c r="A34" s="668">
        <v>28</v>
      </c>
      <c r="B34" s="467" t="s">
        <v>32</v>
      </c>
      <c r="C34" s="471">
        <v>2208.8742053815499</v>
      </c>
      <c r="D34" s="471">
        <v>414</v>
      </c>
      <c r="E34" s="471">
        <v>230.6629023843864</v>
      </c>
      <c r="F34" s="472">
        <f t="shared" si="3"/>
        <v>2853.5371077659365</v>
      </c>
      <c r="G34" s="471">
        <v>694.4</v>
      </c>
      <c r="H34" s="472">
        <f t="shared" si="1"/>
        <v>3547.9371077659366</v>
      </c>
      <c r="I34" s="471">
        <v>485.95232518394096</v>
      </c>
      <c r="J34" s="471">
        <v>132.53245232289296</v>
      </c>
      <c r="K34" s="471">
        <v>3313.3113080723251</v>
      </c>
      <c r="L34" s="471">
        <v>1325.3245232289298</v>
      </c>
      <c r="M34" s="471">
        <f>'[19]19-20 Final_Type1,1B,2,3,3B,4'!K34</f>
        <v>5259</v>
      </c>
      <c r="N34" s="471">
        <f>'[19]19-20 Final_Type1,1B,2,3,3B,4'!N34</f>
        <v>5787</v>
      </c>
      <c r="O34" s="472">
        <f t="shared" si="2"/>
        <v>8640.5371077659365</v>
      </c>
      <c r="P34" s="471">
        <f>'2_State Distrib and Adjs'!AL34</f>
        <v>4304</v>
      </c>
      <c r="Q34" s="471">
        <f>'3_Levels 1&amp;2'!AM34+'3_Levels 1&amp;2'!AX34</f>
        <v>7851.1201503667107</v>
      </c>
    </row>
    <row r="35" spans="1:17" ht="16.149999999999999" customHeight="1" x14ac:dyDescent="0.2">
      <c r="A35" s="668">
        <v>29</v>
      </c>
      <c r="B35" s="467" t="s">
        <v>33</v>
      </c>
      <c r="C35" s="471">
        <v>2621.0326110849596</v>
      </c>
      <c r="D35" s="471">
        <v>736</v>
      </c>
      <c r="E35" s="471">
        <v>169.39988525530694</v>
      </c>
      <c r="F35" s="472">
        <f t="shared" si="3"/>
        <v>3526.4324963402664</v>
      </c>
      <c r="G35" s="471">
        <v>754.94999999999993</v>
      </c>
      <c r="H35" s="472">
        <f t="shared" si="1"/>
        <v>4281.3824963402667</v>
      </c>
      <c r="I35" s="471">
        <v>576.6271744386911</v>
      </c>
      <c r="J35" s="471">
        <v>157.26195666509756</v>
      </c>
      <c r="K35" s="471">
        <v>3931.5489166274392</v>
      </c>
      <c r="L35" s="471">
        <v>1572.6195666509761</v>
      </c>
      <c r="M35" s="471">
        <f>'[19]19-20 Final_Type1,1B,2,3,3B,4'!K35</f>
        <v>4287</v>
      </c>
      <c r="N35" s="471">
        <f>'[19]19-20 Final_Type1,1B,2,3,3B,4'!N35</f>
        <v>5006</v>
      </c>
      <c r="O35" s="472">
        <f t="shared" si="2"/>
        <v>8532.4324963402669</v>
      </c>
      <c r="P35" s="471">
        <f>'2_State Distrib and Adjs'!AL35</f>
        <v>5168</v>
      </c>
      <c r="Q35" s="471">
        <f>'3_Levels 1&amp;2'!AM35+'3_Levels 1&amp;2'!AX35</f>
        <v>8101.5394635685598</v>
      </c>
    </row>
    <row r="36" spans="1:17" ht="16.149999999999999" customHeight="1" x14ac:dyDescent="0.2">
      <c r="A36" s="669">
        <v>30</v>
      </c>
      <c r="B36" s="468" t="s">
        <v>34</v>
      </c>
      <c r="C36" s="473">
        <v>3183.8173503735707</v>
      </c>
      <c r="D36" s="473">
        <v>1287</v>
      </c>
      <c r="E36" s="473">
        <v>169.40008074283406</v>
      </c>
      <c r="F36" s="474">
        <f t="shared" si="3"/>
        <v>4640.2174311164044</v>
      </c>
      <c r="G36" s="473">
        <v>727.17</v>
      </c>
      <c r="H36" s="474">
        <f t="shared" si="1"/>
        <v>5367.3874311164045</v>
      </c>
      <c r="I36" s="473">
        <v>700.43981708218553</v>
      </c>
      <c r="J36" s="473">
        <v>191.02904102241422</v>
      </c>
      <c r="K36" s="473">
        <v>4775.7260255603551</v>
      </c>
      <c r="L36" s="473">
        <v>1910.2904102241421</v>
      </c>
      <c r="M36" s="473">
        <f>'[19]19-20 Final_Type1,1B,2,3,3B,4'!K36</f>
        <v>3646</v>
      </c>
      <c r="N36" s="473">
        <f>'[19]19-20 Final_Type1,1B,2,3,3B,4'!N36</f>
        <v>4982</v>
      </c>
      <c r="O36" s="474">
        <f t="shared" si="2"/>
        <v>9622.2174311164054</v>
      </c>
      <c r="P36" s="473">
        <f>'2_State Distrib and Adjs'!AL36</f>
        <v>6848</v>
      </c>
      <c r="Q36" s="473">
        <f>'3_Levels 1&amp;2'!AM36+'3_Levels 1&amp;2'!AX36</f>
        <v>9331.5241421073879</v>
      </c>
    </row>
    <row r="37" spans="1:17" ht="16.149999999999999" customHeight="1" x14ac:dyDescent="0.2">
      <c r="A37" s="667">
        <v>31</v>
      </c>
      <c r="B37" s="466" t="s">
        <v>35</v>
      </c>
      <c r="C37" s="469">
        <v>2429.6741082538188</v>
      </c>
      <c r="D37" s="469">
        <v>650</v>
      </c>
      <c r="E37" s="469">
        <v>169.3998385794996</v>
      </c>
      <c r="F37" s="470">
        <f t="shared" si="3"/>
        <v>3249.0739468333186</v>
      </c>
      <c r="G37" s="469">
        <v>620.83000000000004</v>
      </c>
      <c r="H37" s="470">
        <f t="shared" si="1"/>
        <v>3869.9039468333185</v>
      </c>
      <c r="I37" s="469">
        <v>534.5283038158401</v>
      </c>
      <c r="J37" s="469">
        <v>145.78044649522911</v>
      </c>
      <c r="K37" s="469">
        <v>3644.5111623807284</v>
      </c>
      <c r="L37" s="469">
        <v>1457.804464952291</v>
      </c>
      <c r="M37" s="469">
        <f>'[19]19-20 Final_Type1,1B,2,3,3B,4'!K37</f>
        <v>5327</v>
      </c>
      <c r="N37" s="469">
        <f>'[19]19-20 Final_Type1,1B,2,3,3B,4'!N37</f>
        <v>6062</v>
      </c>
      <c r="O37" s="470">
        <f t="shared" si="2"/>
        <v>9311.0739468333195</v>
      </c>
      <c r="P37" s="469">
        <f>'2_State Distrib and Adjs'!AL37</f>
        <v>5056</v>
      </c>
      <c r="Q37" s="469">
        <f>'3_Levels 1&amp;2'!AM37+'3_Levels 1&amp;2'!AX37</f>
        <v>8803.9603147699763</v>
      </c>
    </row>
    <row r="38" spans="1:17" ht="16.149999999999999" customHeight="1" x14ac:dyDescent="0.2">
      <c r="A38" s="668">
        <v>32</v>
      </c>
      <c r="B38" s="467" t="s">
        <v>36</v>
      </c>
      <c r="C38" s="471">
        <v>3327.985650770675</v>
      </c>
      <c r="D38" s="471">
        <v>1222</v>
      </c>
      <c r="E38" s="471">
        <v>169.39990577519532</v>
      </c>
      <c r="F38" s="472">
        <f t="shared" si="3"/>
        <v>4719.3855565458707</v>
      </c>
      <c r="G38" s="471">
        <v>559.77</v>
      </c>
      <c r="H38" s="472">
        <f t="shared" si="1"/>
        <v>5279.1555565458711</v>
      </c>
      <c r="I38" s="471">
        <v>732.15684316954844</v>
      </c>
      <c r="J38" s="471">
        <v>199.67913904624046</v>
      </c>
      <c r="K38" s="471">
        <v>4991.9784761560113</v>
      </c>
      <c r="L38" s="471">
        <v>1996.7913904624047</v>
      </c>
      <c r="M38" s="471">
        <f>'[19]19-20 Final_Type1,1B,2,3,3B,4'!K38</f>
        <v>2226</v>
      </c>
      <c r="N38" s="471">
        <f>'[19]19-20 Final_Type1,1B,2,3,3B,4'!N38</f>
        <v>2637</v>
      </c>
      <c r="O38" s="472">
        <f t="shared" si="2"/>
        <v>7356.3855565458707</v>
      </c>
      <c r="P38" s="471">
        <f>'2_State Distrib and Adjs'!AL38</f>
        <v>6469</v>
      </c>
      <c r="Q38" s="471">
        <f>'3_Levels 1&amp;2'!AM38+'3_Levels 1&amp;2'!AX38</f>
        <v>8577.3814714773671</v>
      </c>
    </row>
    <row r="39" spans="1:17" ht="16.149999999999999" customHeight="1" x14ac:dyDescent="0.2">
      <c r="A39" s="668">
        <v>33</v>
      </c>
      <c r="B39" s="467" t="s">
        <v>37</v>
      </c>
      <c r="C39" s="471">
        <v>2920.3299666160651</v>
      </c>
      <c r="D39" s="471">
        <v>1074</v>
      </c>
      <c r="E39" s="471">
        <v>169.39986910994764</v>
      </c>
      <c r="F39" s="472">
        <f t="shared" si="3"/>
        <v>4163.7298357260124</v>
      </c>
      <c r="G39" s="471">
        <v>655.31000000000006</v>
      </c>
      <c r="H39" s="472">
        <f t="shared" si="1"/>
        <v>4819.0398357260128</v>
      </c>
      <c r="I39" s="471">
        <v>642.47259265553441</v>
      </c>
      <c r="J39" s="471">
        <v>175.21979799696391</v>
      </c>
      <c r="K39" s="471">
        <v>4380.4949499240975</v>
      </c>
      <c r="L39" s="471">
        <v>1752.1979799696389</v>
      </c>
      <c r="M39" s="471">
        <f>'[19]19-20 Final_Type1,1B,2,3,3B,4'!K39</f>
        <v>2241</v>
      </c>
      <c r="N39" s="471">
        <f>'[19]19-20 Final_Type1,1B,2,3,3B,4'!N39</f>
        <v>3977</v>
      </c>
      <c r="O39" s="472">
        <f t="shared" si="2"/>
        <v>8140.7298357260124</v>
      </c>
      <c r="P39" s="471">
        <f>'2_State Distrib and Adjs'!AL39</f>
        <v>6742</v>
      </c>
      <c r="Q39" s="471">
        <f>'3_Levels 1&amp;2'!AM39+'3_Levels 1&amp;2'!AX39</f>
        <v>9697.9948429319375</v>
      </c>
    </row>
    <row r="40" spans="1:17" ht="16.149999999999999" customHeight="1" x14ac:dyDescent="0.2">
      <c r="A40" s="668">
        <v>34</v>
      </c>
      <c r="B40" s="467" t="s">
        <v>38</v>
      </c>
      <c r="C40" s="471">
        <v>3219.2298000801879</v>
      </c>
      <c r="D40" s="471">
        <v>1265</v>
      </c>
      <c r="E40" s="471">
        <v>169.39989192110241</v>
      </c>
      <c r="F40" s="472">
        <f t="shared" si="3"/>
        <v>4653.6296920012901</v>
      </c>
      <c r="G40" s="471">
        <v>644.11000000000013</v>
      </c>
      <c r="H40" s="472">
        <f t="shared" si="1"/>
        <v>5297.7396920012907</v>
      </c>
      <c r="I40" s="471">
        <v>708.23055601764145</v>
      </c>
      <c r="J40" s="471">
        <v>193.15378800481128</v>
      </c>
      <c r="K40" s="471">
        <v>4828.8447001202821</v>
      </c>
      <c r="L40" s="471">
        <v>1931.5378800481124</v>
      </c>
      <c r="M40" s="471">
        <f>'[19]19-20 Final_Type1,1B,2,3,3B,4'!K40</f>
        <v>2828</v>
      </c>
      <c r="N40" s="471">
        <f>'[19]19-20 Final_Type1,1B,2,3,3B,4'!N40</f>
        <v>3226</v>
      </c>
      <c r="O40" s="472">
        <f t="shared" si="2"/>
        <v>7879.6296920012901</v>
      </c>
      <c r="P40" s="471">
        <f>'2_State Distrib and Adjs'!AL40</f>
        <v>7133</v>
      </c>
      <c r="Q40" s="471">
        <f>'3_Levels 1&amp;2'!AM40+'3_Levels 1&amp;2'!AX40</f>
        <v>9662.9807619562271</v>
      </c>
    </row>
    <row r="41" spans="1:17" ht="16.149999999999999" customHeight="1" x14ac:dyDescent="0.2">
      <c r="A41" s="669">
        <v>35</v>
      </c>
      <c r="B41" s="468" t="s">
        <v>39</v>
      </c>
      <c r="C41" s="473">
        <v>2769.8038958148181</v>
      </c>
      <c r="D41" s="473">
        <v>917</v>
      </c>
      <c r="E41" s="473">
        <v>169.39993104637131</v>
      </c>
      <c r="F41" s="474">
        <f t="shared" si="3"/>
        <v>3856.2038268611896</v>
      </c>
      <c r="G41" s="473">
        <v>537.96</v>
      </c>
      <c r="H41" s="474">
        <f t="shared" si="1"/>
        <v>4394.1638268611896</v>
      </c>
      <c r="I41" s="473">
        <v>609.35685707926007</v>
      </c>
      <c r="J41" s="473">
        <v>166.18823374888908</v>
      </c>
      <c r="K41" s="473">
        <v>4154.7058437222277</v>
      </c>
      <c r="L41" s="473">
        <v>1661.8823374888907</v>
      </c>
      <c r="M41" s="473">
        <f>'[19]19-20 Final_Type1,1B,2,3,3B,4'!K41</f>
        <v>4063</v>
      </c>
      <c r="N41" s="473">
        <f>'[19]19-20 Final_Type1,1B,2,3,3B,4'!N41</f>
        <v>4408</v>
      </c>
      <c r="O41" s="474">
        <f t="shared" si="2"/>
        <v>8264.2038268611905</v>
      </c>
      <c r="P41" s="473">
        <f>'2_State Distrib and Adjs'!AL41</f>
        <v>5609</v>
      </c>
      <c r="Q41" s="473">
        <f>'3_Levels 1&amp;2'!AM41+'3_Levels 1&amp;2'!AX41</f>
        <v>8833.0821272194444</v>
      </c>
    </row>
    <row r="42" spans="1:17" ht="16.149999999999999" customHeight="1" x14ac:dyDescent="0.2">
      <c r="A42" s="667">
        <v>36</v>
      </c>
      <c r="B42" s="466" t="s">
        <v>515</v>
      </c>
      <c r="C42" s="469">
        <v>2109.1405255064433</v>
      </c>
      <c r="D42" s="469">
        <v>366</v>
      </c>
      <c r="E42" s="469">
        <v>169.39989221815046</v>
      </c>
      <c r="F42" s="470">
        <f t="shared" si="3"/>
        <v>2644.5404177245937</v>
      </c>
      <c r="G42" s="469">
        <v>746.03</v>
      </c>
      <c r="H42" s="470">
        <f t="shared" si="1"/>
        <v>3390.5704177245934</v>
      </c>
      <c r="I42" s="469">
        <v>464.01091561141754</v>
      </c>
      <c r="J42" s="469">
        <v>126.54843153038659</v>
      </c>
      <c r="K42" s="469">
        <v>3163.7107882596647</v>
      </c>
      <c r="L42" s="469">
        <v>1265.484315303866</v>
      </c>
      <c r="M42" s="469">
        <f>'[19]19-20 Final_Type1,1B,2,3,3B,4'!K42</f>
        <v>5702</v>
      </c>
      <c r="N42" s="469">
        <f>'[19]19-20 Final_Type1,1B,2,3,3B,4'!N42</f>
        <v>6588</v>
      </c>
      <c r="O42" s="470">
        <f t="shared" si="2"/>
        <v>9232.5404177245946</v>
      </c>
      <c r="P42" s="469">
        <f>'2_State Distrib and Adjs'!AL42</f>
        <v>4356</v>
      </c>
      <c r="Q42" s="469">
        <f>'3_Levels 1&amp;2'!AM42+'3_Levels 1&amp;2'!AX42</f>
        <v>8391.5668786376373</v>
      </c>
    </row>
    <row r="43" spans="1:17" ht="16.149999999999999" customHeight="1" x14ac:dyDescent="0.2">
      <c r="A43" s="668">
        <v>37</v>
      </c>
      <c r="B43" s="467" t="s">
        <v>41</v>
      </c>
      <c r="C43" s="471">
        <v>3151.882535810686</v>
      </c>
      <c r="D43" s="471">
        <v>1210</v>
      </c>
      <c r="E43" s="471">
        <v>169.39989367357788</v>
      </c>
      <c r="F43" s="472">
        <f t="shared" si="3"/>
        <v>4531.282429484264</v>
      </c>
      <c r="G43" s="471">
        <v>653.61</v>
      </c>
      <c r="H43" s="472">
        <f t="shared" si="1"/>
        <v>5184.8924294842636</v>
      </c>
      <c r="I43" s="471">
        <v>693.41415787835092</v>
      </c>
      <c r="J43" s="471">
        <v>189.11295214864117</v>
      </c>
      <c r="K43" s="471">
        <v>4727.823803716029</v>
      </c>
      <c r="L43" s="471">
        <v>1891.1295214864115</v>
      </c>
      <c r="M43" s="471">
        <f>'[19]19-20 Final_Type1,1B,2,3,3B,4'!K43</f>
        <v>3056</v>
      </c>
      <c r="N43" s="471">
        <f>'[19]19-20 Final_Type1,1B,2,3,3B,4'!N43</f>
        <v>3962</v>
      </c>
      <c r="O43" s="472">
        <f t="shared" si="2"/>
        <v>8493.2824294842649</v>
      </c>
      <c r="P43" s="471">
        <f>'2_State Distrib and Adjs'!AL43</f>
        <v>6468</v>
      </c>
      <c r="Q43" s="471">
        <f>'3_Levels 1&amp;2'!AM43+'3_Levels 1&amp;2'!AX43</f>
        <v>8950.0462254120139</v>
      </c>
    </row>
    <row r="44" spans="1:17" ht="16.149999999999999" customHeight="1" x14ac:dyDescent="0.2">
      <c r="A44" s="668">
        <v>38</v>
      </c>
      <c r="B44" s="467" t="s">
        <v>42</v>
      </c>
      <c r="C44" s="471">
        <v>1003.7500055184549</v>
      </c>
      <c r="D44" s="471">
        <v>0</v>
      </c>
      <c r="E44" s="471">
        <v>423.48264335304708</v>
      </c>
      <c r="F44" s="472">
        <f t="shared" si="3"/>
        <v>1427.2326488715021</v>
      </c>
      <c r="G44" s="471">
        <v>829.92000000000007</v>
      </c>
      <c r="H44" s="472">
        <f t="shared" si="1"/>
        <v>2257.1526488715022</v>
      </c>
      <c r="I44" s="471">
        <v>220.82500121406008</v>
      </c>
      <c r="J44" s="471">
        <v>60.225000331107282</v>
      </c>
      <c r="K44" s="471">
        <v>1505.6250082776824</v>
      </c>
      <c r="L44" s="471">
        <v>602.25000331107287</v>
      </c>
      <c r="M44" s="471">
        <f>'[19]19-20 Final_Type1,1B,2,3,3B,4'!K44</f>
        <v>10963</v>
      </c>
      <c r="N44" s="471">
        <f>'[19]19-20 Final_Type1,1B,2,3,3B,4'!N44</f>
        <v>10963</v>
      </c>
      <c r="O44" s="472">
        <f t="shared" si="2"/>
        <v>12390.232648871503</v>
      </c>
      <c r="P44" s="471">
        <f>'2_State Distrib and Adjs'!AL44</f>
        <v>2810</v>
      </c>
      <c r="Q44" s="471">
        <f>'3_Levels 1&amp;2'!AM44+'3_Levels 1&amp;2'!AX44</f>
        <v>8749.4810902545651</v>
      </c>
    </row>
    <row r="45" spans="1:17" ht="16.149999999999999" customHeight="1" x14ac:dyDescent="0.2">
      <c r="A45" s="668">
        <v>39</v>
      </c>
      <c r="B45" s="467" t="s">
        <v>43</v>
      </c>
      <c r="C45" s="471">
        <v>1670.6950488697696</v>
      </c>
      <c r="D45" s="471">
        <v>0</v>
      </c>
      <c r="E45" s="471">
        <v>293.42131398013748</v>
      </c>
      <c r="F45" s="472">
        <f t="shared" si="3"/>
        <v>1964.1163628499071</v>
      </c>
      <c r="G45" s="471">
        <v>779.66</v>
      </c>
      <c r="H45" s="472">
        <f t="shared" si="1"/>
        <v>2743.7763628499069</v>
      </c>
      <c r="I45" s="471">
        <v>367.55291075134926</v>
      </c>
      <c r="J45" s="471">
        <v>100.24170293218617</v>
      </c>
      <c r="K45" s="471">
        <v>2506.0425733046545</v>
      </c>
      <c r="L45" s="471">
        <v>1002.4170293218617</v>
      </c>
      <c r="M45" s="471">
        <f>'[19]19-20 Final_Type1,1B,2,3,3B,4'!K45</f>
        <v>5628</v>
      </c>
      <c r="N45" s="471">
        <f>'[19]19-20 Final_Type1,1B,2,3,3B,4'!N45</f>
        <v>5628</v>
      </c>
      <c r="O45" s="472">
        <f t="shared" si="2"/>
        <v>7592.1163628499071</v>
      </c>
      <c r="P45" s="471">
        <f>'2_State Distrib and Adjs'!AL45</f>
        <v>3755</v>
      </c>
      <c r="Q45" s="471">
        <f>'3_Levels 1&amp;2'!AM45+'3_Levels 1&amp;2'!AX45</f>
        <v>8716.3889610389615</v>
      </c>
    </row>
    <row r="46" spans="1:17" ht="16.149999999999999" customHeight="1" x14ac:dyDescent="0.2">
      <c r="A46" s="669">
        <v>40</v>
      </c>
      <c r="B46" s="468" t="s">
        <v>44</v>
      </c>
      <c r="C46" s="473">
        <v>2974.0308564341449</v>
      </c>
      <c r="D46" s="473">
        <v>1064</v>
      </c>
      <c r="E46" s="473">
        <v>169.3999091940976</v>
      </c>
      <c r="F46" s="474">
        <f t="shared" si="3"/>
        <v>4207.4307656282426</v>
      </c>
      <c r="G46" s="473">
        <v>700.2700000000001</v>
      </c>
      <c r="H46" s="474">
        <f t="shared" si="1"/>
        <v>4907.7007656282431</v>
      </c>
      <c r="I46" s="473">
        <v>654.28678841551198</v>
      </c>
      <c r="J46" s="473">
        <v>178.44185138604871</v>
      </c>
      <c r="K46" s="473">
        <v>4461.0462846512182</v>
      </c>
      <c r="L46" s="473">
        <v>1784.4185138604873</v>
      </c>
      <c r="M46" s="473">
        <f>'[19]19-20 Final_Type1,1B,2,3,3B,4'!K46</f>
        <v>3801</v>
      </c>
      <c r="N46" s="473">
        <f>'[19]19-20 Final_Type1,1B,2,3,3B,4'!N46</f>
        <v>4197</v>
      </c>
      <c r="O46" s="474">
        <f t="shared" si="2"/>
        <v>8404.4307656282435</v>
      </c>
      <c r="P46" s="473">
        <f>'2_State Distrib and Adjs'!AL46</f>
        <v>6119</v>
      </c>
      <c r="Q46" s="473">
        <f>'3_Levels 1&amp;2'!AM46+'3_Levels 1&amp;2'!AX46</f>
        <v>8804.577900113507</v>
      </c>
    </row>
    <row r="47" spans="1:17" ht="16.149999999999999" customHeight="1" x14ac:dyDescent="0.2">
      <c r="A47" s="667">
        <v>41</v>
      </c>
      <c r="B47" s="466" t="s">
        <v>45</v>
      </c>
      <c r="C47" s="469">
        <v>1686.253436793723</v>
      </c>
      <c r="D47" s="469">
        <v>5</v>
      </c>
      <c r="E47" s="469">
        <v>169.39985538684022</v>
      </c>
      <c r="F47" s="470">
        <f t="shared" si="3"/>
        <v>1860.6532921805633</v>
      </c>
      <c r="G47" s="469">
        <v>886.22</v>
      </c>
      <c r="H47" s="470">
        <f t="shared" si="1"/>
        <v>2746.8732921805631</v>
      </c>
      <c r="I47" s="469">
        <v>370.97575609461904</v>
      </c>
      <c r="J47" s="469">
        <v>101.17520620762335</v>
      </c>
      <c r="K47" s="469">
        <v>2529.3801551905844</v>
      </c>
      <c r="L47" s="469">
        <v>1011.7520620762338</v>
      </c>
      <c r="M47" s="469">
        <f>'[19]19-20 Final_Type1,1B,2,3,3B,4'!K47</f>
        <v>11199</v>
      </c>
      <c r="N47" s="469">
        <f>'[19]19-20 Final_Type1,1B,2,3,3B,4'!N47</f>
        <v>12831</v>
      </c>
      <c r="O47" s="470">
        <f t="shared" si="2"/>
        <v>14691.653292180563</v>
      </c>
      <c r="P47" s="469">
        <f>'2_State Distrib and Adjs'!AL47</f>
        <v>3792</v>
      </c>
      <c r="Q47" s="469">
        <f>'3_Levels 1&amp;2'!AM47+'3_Levels 1&amp;2'!AX47</f>
        <v>8874.8428994938549</v>
      </c>
    </row>
    <row r="48" spans="1:17" ht="16.149999999999999" customHeight="1" x14ac:dyDescent="0.2">
      <c r="A48" s="668">
        <v>42</v>
      </c>
      <c r="B48" s="467" t="s">
        <v>46</v>
      </c>
      <c r="C48" s="471">
        <v>2621.4146905280695</v>
      </c>
      <c r="D48" s="471">
        <v>845</v>
      </c>
      <c r="E48" s="471">
        <v>169.39978173881411</v>
      </c>
      <c r="F48" s="472">
        <f t="shared" si="3"/>
        <v>3635.8144722668835</v>
      </c>
      <c r="G48" s="471">
        <v>534.28</v>
      </c>
      <c r="H48" s="472">
        <f t="shared" si="1"/>
        <v>4170.0944722668837</v>
      </c>
      <c r="I48" s="471">
        <v>576.71123191617517</v>
      </c>
      <c r="J48" s="471">
        <v>157.28488143168417</v>
      </c>
      <c r="K48" s="471">
        <v>3932.1220357921043</v>
      </c>
      <c r="L48" s="471">
        <v>1572.8488143168413</v>
      </c>
      <c r="M48" s="471">
        <f>'[19]19-20 Final_Type1,1B,2,3,3B,4'!K48</f>
        <v>3775</v>
      </c>
      <c r="N48" s="471">
        <f>'[19]19-20 Final_Type1,1B,2,3,3B,4'!N48</f>
        <v>4802</v>
      </c>
      <c r="O48" s="472">
        <f t="shared" si="2"/>
        <v>8437.814472266884</v>
      </c>
      <c r="P48" s="471">
        <f>'2_State Distrib and Adjs'!AL48</f>
        <v>5582</v>
      </c>
      <c r="Q48" s="471">
        <f>'3_Levels 1&amp;2'!AM48+'3_Levels 1&amp;2'!AX48</f>
        <v>9280.0423099308828</v>
      </c>
    </row>
    <row r="49" spans="1:17" ht="16.149999999999999" customHeight="1" x14ac:dyDescent="0.2">
      <c r="A49" s="668">
        <v>43</v>
      </c>
      <c r="B49" s="467" t="s">
        <v>47</v>
      </c>
      <c r="C49" s="471">
        <v>3113.3174254114469</v>
      </c>
      <c r="D49" s="471">
        <v>1272</v>
      </c>
      <c r="E49" s="471">
        <v>169.39990150209309</v>
      </c>
      <c r="F49" s="472">
        <f t="shared" si="3"/>
        <v>4554.7173269135401</v>
      </c>
      <c r="G49" s="471">
        <v>574.6099999999999</v>
      </c>
      <c r="H49" s="472">
        <f t="shared" si="1"/>
        <v>5129.3273269135398</v>
      </c>
      <c r="I49" s="471">
        <v>684.92983359051823</v>
      </c>
      <c r="J49" s="471">
        <v>186.79904552468682</v>
      </c>
      <c r="K49" s="471">
        <v>4669.9761381171702</v>
      </c>
      <c r="L49" s="471">
        <v>1867.9904552468679</v>
      </c>
      <c r="M49" s="471">
        <f>'[19]19-20 Final_Type1,1B,2,3,3B,4'!K49</f>
        <v>3560</v>
      </c>
      <c r="N49" s="471">
        <f>'[19]19-20 Final_Type1,1B,2,3,3B,4'!N49</f>
        <v>4380</v>
      </c>
      <c r="O49" s="472">
        <f t="shared" si="2"/>
        <v>8934.7173269135401</v>
      </c>
      <c r="P49" s="471">
        <f>'2_State Distrib and Adjs'!AL49</f>
        <v>6744</v>
      </c>
      <c r="Q49" s="471">
        <f>'3_Levels 1&amp;2'!AM49+'3_Levels 1&amp;2'!AX49</f>
        <v>9609.9371213986706</v>
      </c>
    </row>
    <row r="50" spans="1:17" ht="16.149999999999999" customHeight="1" x14ac:dyDescent="0.2">
      <c r="A50" s="668">
        <v>44</v>
      </c>
      <c r="B50" s="467" t="s">
        <v>48</v>
      </c>
      <c r="C50" s="471">
        <v>2945.6201210411</v>
      </c>
      <c r="D50" s="471">
        <v>1017</v>
      </c>
      <c r="E50" s="471">
        <v>169.39983844911146</v>
      </c>
      <c r="F50" s="472">
        <f t="shared" si="3"/>
        <v>4132.0199594902115</v>
      </c>
      <c r="G50" s="471">
        <v>663.16000000000008</v>
      </c>
      <c r="H50" s="472">
        <f t="shared" si="1"/>
        <v>4795.1799594902113</v>
      </c>
      <c r="I50" s="471">
        <v>648.03642662904201</v>
      </c>
      <c r="J50" s="471">
        <v>176.73720726246603</v>
      </c>
      <c r="K50" s="471">
        <v>4418.43018156165</v>
      </c>
      <c r="L50" s="471">
        <v>1767.3720726246599</v>
      </c>
      <c r="M50" s="471">
        <f>'[19]19-20 Final_Type1,1B,2,3,3B,4'!K50</f>
        <v>3791</v>
      </c>
      <c r="N50" s="471">
        <f>'[19]19-20 Final_Type1,1B,2,3,3B,4'!N50</f>
        <v>3791</v>
      </c>
      <c r="O50" s="472">
        <f t="shared" si="2"/>
        <v>7923.0199594902115</v>
      </c>
      <c r="P50" s="471">
        <f>'2_State Distrib and Adjs'!AL50</f>
        <v>5899</v>
      </c>
      <c r="Q50" s="471">
        <f>'3_Levels 1&amp;2'!AM50+'3_Levels 1&amp;2'!AX50</f>
        <v>8580.6088206785134</v>
      </c>
    </row>
    <row r="51" spans="1:17" ht="16.149999999999999" customHeight="1" x14ac:dyDescent="0.2">
      <c r="A51" s="669">
        <v>45</v>
      </c>
      <c r="B51" s="468" t="s">
        <v>49</v>
      </c>
      <c r="C51" s="473">
        <v>1465.7318678793561</v>
      </c>
      <c r="D51" s="473">
        <v>0</v>
      </c>
      <c r="E51" s="473">
        <v>408.05277213972869</v>
      </c>
      <c r="F51" s="474">
        <f t="shared" si="3"/>
        <v>1873.7846400190847</v>
      </c>
      <c r="G51" s="473">
        <v>753.96000000000015</v>
      </c>
      <c r="H51" s="474">
        <f t="shared" si="1"/>
        <v>2627.7446400190847</v>
      </c>
      <c r="I51" s="473">
        <v>322.46101093345834</v>
      </c>
      <c r="J51" s="473">
        <v>87.94391207276135</v>
      </c>
      <c r="K51" s="473">
        <v>2198.5978018190344</v>
      </c>
      <c r="L51" s="473">
        <v>879.43912072761373</v>
      </c>
      <c r="M51" s="473">
        <f>'[19]19-20 Final_Type1,1B,2,3,3B,4'!K51</f>
        <v>12883</v>
      </c>
      <c r="N51" s="473">
        <f>'[19]19-20 Final_Type1,1B,2,3,3B,4'!N51</f>
        <v>14336</v>
      </c>
      <c r="O51" s="474">
        <f t="shared" si="2"/>
        <v>16209.784640019085</v>
      </c>
      <c r="P51" s="473">
        <f>'2_State Distrib and Adjs'!AL51</f>
        <v>3180</v>
      </c>
      <c r="Q51" s="473">
        <f>'3_Levels 1&amp;2'!AM51+'3_Levels 1&amp;2'!AX51</f>
        <v>7811.5488430723217</v>
      </c>
    </row>
    <row r="52" spans="1:17" ht="16.149999999999999" customHeight="1" x14ac:dyDescent="0.2">
      <c r="A52" s="667">
        <v>46</v>
      </c>
      <c r="B52" s="466" t="s">
        <v>50</v>
      </c>
      <c r="C52" s="469">
        <v>3386.7458027958114</v>
      </c>
      <c r="D52" s="469">
        <v>1387</v>
      </c>
      <c r="E52" s="469">
        <v>169.4</v>
      </c>
      <c r="F52" s="470">
        <f t="shared" si="3"/>
        <v>4943.1458027958106</v>
      </c>
      <c r="G52" s="469">
        <v>728.06</v>
      </c>
      <c r="H52" s="470">
        <f t="shared" si="1"/>
        <v>5671.2058027958101</v>
      </c>
      <c r="I52" s="469">
        <v>745.08407661507852</v>
      </c>
      <c r="J52" s="469">
        <v>203.20474816774868</v>
      </c>
      <c r="K52" s="469">
        <v>5080.1187041937164</v>
      </c>
      <c r="L52" s="469">
        <v>2032.0474816774863</v>
      </c>
      <c r="M52" s="469">
        <f>'[19]19-20 Final_Type1,1B,2,3,3B,4'!K52</f>
        <v>1756</v>
      </c>
      <c r="N52" s="469">
        <f>'[19]19-20 Final_Type1,1B,2,3,3B,4'!N52</f>
        <v>2984</v>
      </c>
      <c r="O52" s="470">
        <f t="shared" si="2"/>
        <v>7927.1458027958106</v>
      </c>
      <c r="P52" s="469">
        <f>'2_State Distrib and Adjs'!AL52</f>
        <v>8145</v>
      </c>
      <c r="Q52" s="469">
        <f>'3_Levels 1&amp;2'!AM52+'3_Levels 1&amp;2'!AX52</f>
        <v>10349.566861924686</v>
      </c>
    </row>
    <row r="53" spans="1:17" ht="16.149999999999999" customHeight="1" x14ac:dyDescent="0.2">
      <c r="A53" s="668">
        <v>47</v>
      </c>
      <c r="B53" s="467" t="s">
        <v>51</v>
      </c>
      <c r="C53" s="471">
        <v>1367.024347460615</v>
      </c>
      <c r="D53" s="471">
        <v>0</v>
      </c>
      <c r="E53" s="471">
        <v>398.00899128968814</v>
      </c>
      <c r="F53" s="472">
        <f t="shared" si="3"/>
        <v>1765.0333387503031</v>
      </c>
      <c r="G53" s="471">
        <v>910.76</v>
      </c>
      <c r="H53" s="472">
        <f t="shared" si="1"/>
        <v>2675.7933387503031</v>
      </c>
      <c r="I53" s="471">
        <v>300.74535644133522</v>
      </c>
      <c r="J53" s="471">
        <v>82.021460847636888</v>
      </c>
      <c r="K53" s="471">
        <v>2050.536521190922</v>
      </c>
      <c r="L53" s="471">
        <v>820.21460847636888</v>
      </c>
      <c r="M53" s="471">
        <f>'[19]19-20 Final_Type1,1B,2,3,3B,4'!K53</f>
        <v>13410</v>
      </c>
      <c r="N53" s="471">
        <f>'[19]19-20 Final_Type1,1B,2,3,3B,4'!N53</f>
        <v>15068</v>
      </c>
      <c r="O53" s="472">
        <f t="shared" si="2"/>
        <v>16833.033338750301</v>
      </c>
      <c r="P53" s="471">
        <f>'2_State Distrib and Adjs'!AL53</f>
        <v>3405</v>
      </c>
      <c r="Q53" s="471">
        <f>'3_Levels 1&amp;2'!AM53+'3_Levels 1&amp;2'!AX53</f>
        <v>8649.5976538353461</v>
      </c>
    </row>
    <row r="54" spans="1:17" ht="16.149999999999999" customHeight="1" x14ac:dyDescent="0.2">
      <c r="A54" s="668">
        <v>48</v>
      </c>
      <c r="B54" s="467" t="s">
        <v>527</v>
      </c>
      <c r="C54" s="471">
        <v>2415.5599052566981</v>
      </c>
      <c r="D54" s="471">
        <v>640</v>
      </c>
      <c r="E54" s="471">
        <v>169.39982862039417</v>
      </c>
      <c r="F54" s="472">
        <f t="shared" si="3"/>
        <v>3224.9597338770923</v>
      </c>
      <c r="G54" s="471">
        <v>871.07</v>
      </c>
      <c r="H54" s="472">
        <f t="shared" si="1"/>
        <v>4096.0297338770924</v>
      </c>
      <c r="I54" s="471">
        <v>531.42317915647345</v>
      </c>
      <c r="J54" s="471">
        <v>144.93359431540185</v>
      </c>
      <c r="K54" s="471">
        <v>3623.3398578850465</v>
      </c>
      <c r="L54" s="471">
        <v>1449.3359431540189</v>
      </c>
      <c r="M54" s="471">
        <f>'[19]19-20 Final_Type1,1B,2,3,3B,4'!K54</f>
        <v>5928</v>
      </c>
      <c r="N54" s="471">
        <f>'[19]19-20 Final_Type1,1B,2,3,3B,4'!N54</f>
        <v>7208</v>
      </c>
      <c r="O54" s="472">
        <f t="shared" si="2"/>
        <v>10432.959733877093</v>
      </c>
      <c r="P54" s="471">
        <f>'2_State Distrib and Adjs'!AL54</f>
        <v>5280</v>
      </c>
      <c r="Q54" s="471">
        <f>'3_Levels 1&amp;2'!AM54+'3_Levels 1&amp;2'!AX54</f>
        <v>8823.0869751499558</v>
      </c>
    </row>
    <row r="55" spans="1:17" ht="16.149999999999999" customHeight="1" x14ac:dyDescent="0.2">
      <c r="A55" s="668">
        <v>49</v>
      </c>
      <c r="B55" s="467" t="s">
        <v>52</v>
      </c>
      <c r="C55" s="471">
        <v>3029.7636248947388</v>
      </c>
      <c r="D55" s="471">
        <v>787</v>
      </c>
      <c r="E55" s="471">
        <v>169.39987982574732</v>
      </c>
      <c r="F55" s="472">
        <f t="shared" si="3"/>
        <v>3986.1635047204859</v>
      </c>
      <c r="G55" s="471">
        <v>574.43999999999994</v>
      </c>
      <c r="H55" s="472">
        <f t="shared" si="1"/>
        <v>4560.6035047204859</v>
      </c>
      <c r="I55" s="471">
        <v>666.54799747684262</v>
      </c>
      <c r="J55" s="471">
        <v>181.78581749368436</v>
      </c>
      <c r="K55" s="471">
        <v>4544.6454373421093</v>
      </c>
      <c r="L55" s="471">
        <v>1817.8581749368434</v>
      </c>
      <c r="M55" s="471">
        <f>'[19]19-20 Final_Type1,1B,2,3,3B,4'!K55</f>
        <v>2796</v>
      </c>
      <c r="N55" s="471">
        <f>'[19]19-20 Final_Type1,1B,2,3,3B,4'!N55</f>
        <v>2796</v>
      </c>
      <c r="O55" s="472">
        <f t="shared" si="2"/>
        <v>6782.1635047204854</v>
      </c>
      <c r="P55" s="471">
        <f>'2_State Distrib and Adjs'!AL55</f>
        <v>5940</v>
      </c>
      <c r="Q55" s="471">
        <f>'3_Levels 1&amp;2'!AM55+'3_Levels 1&amp;2'!AX55</f>
        <v>8141.9314105452904</v>
      </c>
    </row>
    <row r="56" spans="1:17" ht="16.149999999999999" customHeight="1" x14ac:dyDescent="0.2">
      <c r="A56" s="669">
        <v>50</v>
      </c>
      <c r="B56" s="468" t="s">
        <v>53</v>
      </c>
      <c r="C56" s="473">
        <v>2894.532843775999</v>
      </c>
      <c r="D56" s="473">
        <v>989</v>
      </c>
      <c r="E56" s="473">
        <v>169.39989413788541</v>
      </c>
      <c r="F56" s="474">
        <f t="shared" si="3"/>
        <v>4052.9327379138845</v>
      </c>
      <c r="G56" s="473">
        <v>634.46</v>
      </c>
      <c r="H56" s="474">
        <f t="shared" si="1"/>
        <v>4687.392737913884</v>
      </c>
      <c r="I56" s="473">
        <v>636.79722563071971</v>
      </c>
      <c r="J56" s="473">
        <v>173.67197062655993</v>
      </c>
      <c r="K56" s="473">
        <v>4341.799265663999</v>
      </c>
      <c r="L56" s="473">
        <v>1736.7197062655994</v>
      </c>
      <c r="M56" s="473">
        <f>'[19]19-20 Final_Type1,1B,2,3,3B,4'!K56</f>
        <v>2772</v>
      </c>
      <c r="N56" s="473">
        <f>'[19]19-20 Final_Type1,1B,2,3,3B,4'!N56</f>
        <v>3827</v>
      </c>
      <c r="O56" s="474">
        <f t="shared" si="2"/>
        <v>7879.9327379138849</v>
      </c>
      <c r="P56" s="473">
        <f>'2_State Distrib and Adjs'!AL56</f>
        <v>5825</v>
      </c>
      <c r="Q56" s="473">
        <f>'3_Levels 1&amp;2'!AM56+'3_Levels 1&amp;2'!AX56</f>
        <v>8654.4847320365225</v>
      </c>
    </row>
    <row r="57" spans="1:17" ht="16.149999999999999" customHeight="1" x14ac:dyDescent="0.2">
      <c r="A57" s="667">
        <v>51</v>
      </c>
      <c r="B57" s="466" t="s">
        <v>54</v>
      </c>
      <c r="C57" s="469">
        <v>2779.0412206250144</v>
      </c>
      <c r="D57" s="469">
        <v>957</v>
      </c>
      <c r="E57" s="469">
        <v>169.39985486211901</v>
      </c>
      <c r="F57" s="470">
        <f t="shared" si="3"/>
        <v>3905.4410754871333</v>
      </c>
      <c r="G57" s="469">
        <v>706.66</v>
      </c>
      <c r="H57" s="470">
        <f t="shared" si="1"/>
        <v>4612.1010754871331</v>
      </c>
      <c r="I57" s="469">
        <v>611.38906853750325</v>
      </c>
      <c r="J57" s="469">
        <v>166.74247323750089</v>
      </c>
      <c r="K57" s="469">
        <v>4168.5618309375222</v>
      </c>
      <c r="L57" s="469">
        <v>1667.4247323750087</v>
      </c>
      <c r="M57" s="469">
        <f>'[19]19-20 Final_Type1,1B,2,3,3B,4'!K57</f>
        <v>4116</v>
      </c>
      <c r="N57" s="469">
        <f>'[19]19-20 Final_Type1,1B,2,3,3B,4'!N57</f>
        <v>4548</v>
      </c>
      <c r="O57" s="470">
        <f t="shared" si="2"/>
        <v>8453.4410754871333</v>
      </c>
      <c r="P57" s="469">
        <f>'2_State Distrib and Adjs'!AL57</f>
        <v>5972</v>
      </c>
      <c r="Q57" s="469">
        <f>'3_Levels 1&amp;2'!AM57+'3_Levels 1&amp;2'!AX57</f>
        <v>9136.9046492501202</v>
      </c>
    </row>
    <row r="58" spans="1:17" ht="16.149999999999999" customHeight="1" x14ac:dyDescent="0.2">
      <c r="A58" s="668">
        <v>52</v>
      </c>
      <c r="B58" s="467" t="s">
        <v>55</v>
      </c>
      <c r="C58" s="471">
        <v>2775.2798333470696</v>
      </c>
      <c r="D58" s="471">
        <v>939</v>
      </c>
      <c r="E58" s="471">
        <v>169.39988864733019</v>
      </c>
      <c r="F58" s="472">
        <f t="shared" si="3"/>
        <v>3883.6797219943996</v>
      </c>
      <c r="G58" s="471">
        <v>658.37</v>
      </c>
      <c r="H58" s="472">
        <f t="shared" si="1"/>
        <v>4542.0497219944</v>
      </c>
      <c r="I58" s="471">
        <v>610.56156333635522</v>
      </c>
      <c r="J58" s="471">
        <v>166.5167900008241</v>
      </c>
      <c r="K58" s="471">
        <v>4162.9197500206037</v>
      </c>
      <c r="L58" s="471">
        <v>1665.1679000082415</v>
      </c>
      <c r="M58" s="471">
        <f>'[19]19-20 Final_Type1,1B,2,3,3B,4'!K58</f>
        <v>5265</v>
      </c>
      <c r="N58" s="471">
        <f>'[19]19-20 Final_Type1,1B,2,3,3B,4'!N58</f>
        <v>6096</v>
      </c>
      <c r="O58" s="472">
        <f t="shared" si="2"/>
        <v>9979.6797219944001</v>
      </c>
      <c r="P58" s="471">
        <f>'2_State Distrib and Adjs'!AL58</f>
        <v>5841</v>
      </c>
      <c r="Q58" s="471">
        <f>'3_Levels 1&amp;2'!AM58+'3_Levels 1&amp;2'!AX58</f>
        <v>9000.4864854976404</v>
      </c>
    </row>
    <row r="59" spans="1:17" ht="16.149999999999999" customHeight="1" x14ac:dyDescent="0.2">
      <c r="A59" s="668">
        <v>53</v>
      </c>
      <c r="B59" s="467" t="s">
        <v>56</v>
      </c>
      <c r="C59" s="471">
        <v>3083.0533529059203</v>
      </c>
      <c r="D59" s="471">
        <v>808</v>
      </c>
      <c r="E59" s="471">
        <v>169.39991786025976</v>
      </c>
      <c r="F59" s="472">
        <f t="shared" si="3"/>
        <v>4060.4532707661801</v>
      </c>
      <c r="G59" s="471">
        <v>689.74</v>
      </c>
      <c r="H59" s="472">
        <f t="shared" si="1"/>
        <v>4750.1932707661799</v>
      </c>
      <c r="I59" s="471">
        <v>678.2717376393025</v>
      </c>
      <c r="J59" s="471">
        <v>184.98320117435523</v>
      </c>
      <c r="K59" s="471">
        <v>4624.5800293588809</v>
      </c>
      <c r="L59" s="471">
        <v>1849.8320117435521</v>
      </c>
      <c r="M59" s="471">
        <f>'[19]19-20 Final_Type1,1B,2,3,3B,4'!K59</f>
        <v>2596</v>
      </c>
      <c r="N59" s="471">
        <f>'[19]19-20 Final_Type1,1B,2,3,3B,4'!N59</f>
        <v>2693</v>
      </c>
      <c r="O59" s="472">
        <f t="shared" si="2"/>
        <v>6753.4532707661801</v>
      </c>
      <c r="P59" s="471">
        <f>'2_State Distrib and Adjs'!AL59</f>
        <v>5983</v>
      </c>
      <c r="Q59" s="471">
        <f>'3_Levels 1&amp;2'!AM59+'3_Levels 1&amp;2'!AX59</f>
        <v>7942.1319708403926</v>
      </c>
    </row>
    <row r="60" spans="1:17" ht="16.149999999999999" customHeight="1" x14ac:dyDescent="0.2">
      <c r="A60" s="668">
        <v>54</v>
      </c>
      <c r="B60" s="467" t="s">
        <v>57</v>
      </c>
      <c r="C60" s="471">
        <v>2577.2782125063359</v>
      </c>
      <c r="D60" s="471">
        <v>915</v>
      </c>
      <c r="E60" s="471">
        <v>169.3991769547325</v>
      </c>
      <c r="F60" s="472">
        <f t="shared" si="3"/>
        <v>3661.6773894610683</v>
      </c>
      <c r="G60" s="471">
        <v>951.45</v>
      </c>
      <c r="H60" s="472">
        <f t="shared" si="1"/>
        <v>4613.1273894610686</v>
      </c>
      <c r="I60" s="471">
        <v>567.00120675139397</v>
      </c>
      <c r="J60" s="471">
        <v>154.63669275038015</v>
      </c>
      <c r="K60" s="471">
        <v>3865.9173187595043</v>
      </c>
      <c r="L60" s="471">
        <v>1546.3669275038017</v>
      </c>
      <c r="M60" s="471">
        <f>'[19]19-20 Final_Type1,1B,2,3,3B,4'!K60</f>
        <v>6300</v>
      </c>
      <c r="N60" s="471">
        <f>'[19]19-20 Final_Type1,1B,2,3,3B,4'!N60</f>
        <v>6300</v>
      </c>
      <c r="O60" s="472">
        <f t="shared" si="2"/>
        <v>9961.6773894610687</v>
      </c>
      <c r="P60" s="471">
        <f>'2_State Distrib and Adjs'!AL60</f>
        <v>6607</v>
      </c>
      <c r="Q60" s="471">
        <f>'3_Levels 1&amp;2'!AM60+'3_Levels 1&amp;2'!AX60</f>
        <v>10473.672222222223</v>
      </c>
    </row>
    <row r="61" spans="1:17" ht="16.149999999999999" customHeight="1" x14ac:dyDescent="0.2">
      <c r="A61" s="669">
        <v>55</v>
      </c>
      <c r="B61" s="468" t="s">
        <v>58</v>
      </c>
      <c r="C61" s="473">
        <v>2699.8502491488894</v>
      </c>
      <c r="D61" s="473">
        <v>830</v>
      </c>
      <c r="E61" s="473">
        <v>169.39988063264698</v>
      </c>
      <c r="F61" s="474">
        <f t="shared" si="3"/>
        <v>3699.2501297815365</v>
      </c>
      <c r="G61" s="473">
        <v>795.14</v>
      </c>
      <c r="H61" s="474">
        <f t="shared" si="1"/>
        <v>4494.3901297815364</v>
      </c>
      <c r="I61" s="473">
        <v>593.96705481275569</v>
      </c>
      <c r="J61" s="473">
        <v>161.99101494893338</v>
      </c>
      <c r="K61" s="473">
        <v>4049.7753737233338</v>
      </c>
      <c r="L61" s="473">
        <v>1619.9101494893337</v>
      </c>
      <c r="M61" s="473">
        <f>'[19]19-20 Final_Type1,1B,2,3,3B,4'!K61</f>
        <v>3978</v>
      </c>
      <c r="N61" s="473">
        <f>'[19]19-20 Final_Type1,1B,2,3,3B,4'!N61</f>
        <v>3978</v>
      </c>
      <c r="O61" s="474">
        <f t="shared" si="2"/>
        <v>7677.2501297815361</v>
      </c>
      <c r="P61" s="473">
        <f>'2_State Distrib and Adjs'!AL61</f>
        <v>5554</v>
      </c>
      <c r="Q61" s="473">
        <f>'3_Levels 1&amp;2'!AM61+'3_Levels 1&amp;2'!AX61</f>
        <v>8488.8722470904213</v>
      </c>
    </row>
    <row r="62" spans="1:17" ht="16.149999999999999" customHeight="1" x14ac:dyDescent="0.2">
      <c r="A62" s="667">
        <v>56</v>
      </c>
      <c r="B62" s="466" t="s">
        <v>59</v>
      </c>
      <c r="C62" s="469">
        <v>3083.3126441282175</v>
      </c>
      <c r="D62" s="469">
        <v>1244</v>
      </c>
      <c r="E62" s="469">
        <v>169.4</v>
      </c>
      <c r="F62" s="470">
        <f t="shared" si="3"/>
        <v>4496.7126441282171</v>
      </c>
      <c r="G62" s="469">
        <v>614.66000000000008</v>
      </c>
      <c r="H62" s="470">
        <f t="shared" si="1"/>
        <v>5111.372644128217</v>
      </c>
      <c r="I62" s="469">
        <v>678.328781708208</v>
      </c>
      <c r="J62" s="469">
        <v>184.99875864769305</v>
      </c>
      <c r="K62" s="469">
        <v>4624.9689661923267</v>
      </c>
      <c r="L62" s="469">
        <v>1849.9875864769308</v>
      </c>
      <c r="M62" s="469">
        <f>'[19]19-20 Final_Type1,1B,2,3,3B,4'!K62</f>
        <v>3423</v>
      </c>
      <c r="N62" s="469">
        <f>'[19]19-20 Final_Type1,1B,2,3,3B,4'!N62</f>
        <v>4217</v>
      </c>
      <c r="O62" s="470">
        <f t="shared" si="2"/>
        <v>8713.7126441282162</v>
      </c>
      <c r="P62" s="469">
        <f>'2_State Distrib and Adjs'!AL62</f>
        <v>7077</v>
      </c>
      <c r="Q62" s="469">
        <f>'3_Levels 1&amp;2'!AM62+'3_Levels 1&amp;2'!AX62</f>
        <v>9570.5786577181207</v>
      </c>
    </row>
    <row r="63" spans="1:17" ht="16.149999999999999" customHeight="1" x14ac:dyDescent="0.2">
      <c r="A63" s="668">
        <v>57</v>
      </c>
      <c r="B63" s="467" t="s">
        <v>60</v>
      </c>
      <c r="C63" s="471">
        <v>3102.1275790419945</v>
      </c>
      <c r="D63" s="471">
        <v>857</v>
      </c>
      <c r="E63" s="471">
        <v>169.39993523316062</v>
      </c>
      <c r="F63" s="472">
        <f t="shared" si="3"/>
        <v>4128.5275142751552</v>
      </c>
      <c r="G63" s="471">
        <v>764.51</v>
      </c>
      <c r="H63" s="472">
        <f t="shared" si="1"/>
        <v>4893.0375142751554</v>
      </c>
      <c r="I63" s="471">
        <v>682.46806738923874</v>
      </c>
      <c r="J63" s="471">
        <v>186.12765474251967</v>
      </c>
      <c r="K63" s="471">
        <v>4653.1913685629916</v>
      </c>
      <c r="L63" s="471">
        <v>1861.2765474251967</v>
      </c>
      <c r="M63" s="471">
        <f>'[19]19-20 Final_Type1,1B,2,3,3B,4'!K63</f>
        <v>2601</v>
      </c>
      <c r="N63" s="471">
        <f>'[19]19-20 Final_Type1,1B,2,3,3B,4'!N63</f>
        <v>2601</v>
      </c>
      <c r="O63" s="472">
        <f t="shared" si="2"/>
        <v>6729.5275142751552</v>
      </c>
      <c r="P63" s="471">
        <f>'2_State Distrib and Adjs'!AL63</f>
        <v>6038</v>
      </c>
      <c r="Q63" s="471">
        <f>'3_Levels 1&amp;2'!AM63+'3_Levels 1&amp;2'!AX63</f>
        <v>7930.6146761658028</v>
      </c>
    </row>
    <row r="64" spans="1:17" ht="16.149999999999999" customHeight="1" x14ac:dyDescent="0.2">
      <c r="A64" s="668">
        <v>58</v>
      </c>
      <c r="B64" s="467" t="s">
        <v>61</v>
      </c>
      <c r="C64" s="471">
        <v>3409.6731671662214</v>
      </c>
      <c r="D64" s="471">
        <v>1167</v>
      </c>
      <c r="E64" s="471">
        <v>169.39992573338284</v>
      </c>
      <c r="F64" s="472">
        <f t="shared" si="3"/>
        <v>4746.0730928996045</v>
      </c>
      <c r="G64" s="471">
        <v>697.04</v>
      </c>
      <c r="H64" s="472">
        <f t="shared" si="1"/>
        <v>5443.1130928996045</v>
      </c>
      <c r="I64" s="471">
        <v>750.12809677656878</v>
      </c>
      <c r="J64" s="471">
        <v>204.5803900299733</v>
      </c>
      <c r="K64" s="471">
        <v>5114.5097507493319</v>
      </c>
      <c r="L64" s="471">
        <v>2045.803900299733</v>
      </c>
      <c r="M64" s="471">
        <f>'[19]19-20 Final_Type1,1B,2,3,3B,4'!K64</f>
        <v>1924</v>
      </c>
      <c r="N64" s="471">
        <f>'[19]19-20 Final_Type1,1B,2,3,3B,4'!N64</f>
        <v>2405</v>
      </c>
      <c r="O64" s="472">
        <f t="shared" si="2"/>
        <v>7151.0730928996045</v>
      </c>
      <c r="P64" s="471">
        <f>'2_State Distrib and Adjs'!AL64</f>
        <v>6732</v>
      </c>
      <c r="Q64" s="471">
        <f>'3_Levels 1&amp;2'!AM64+'3_Levels 1&amp;2'!AX64</f>
        <v>8446.5168634732017</v>
      </c>
    </row>
    <row r="65" spans="1:17" ht="16.149999999999999" customHeight="1" x14ac:dyDescent="0.2">
      <c r="A65" s="668">
        <v>59</v>
      </c>
      <c r="B65" s="467" t="s">
        <v>62</v>
      </c>
      <c r="C65" s="471">
        <v>3588.6280502736904</v>
      </c>
      <c r="D65" s="471">
        <v>737</v>
      </c>
      <c r="E65" s="471">
        <v>169.39996026226902</v>
      </c>
      <c r="F65" s="472">
        <f t="shared" si="3"/>
        <v>4495.0280105359589</v>
      </c>
      <c r="G65" s="471">
        <v>689.52</v>
      </c>
      <c r="H65" s="472">
        <f t="shared" si="1"/>
        <v>5184.5480105359584</v>
      </c>
      <c r="I65" s="471">
        <v>789.4981710602118</v>
      </c>
      <c r="J65" s="471">
        <v>215.31768301642143</v>
      </c>
      <c r="K65" s="471">
        <v>5382.9420754105349</v>
      </c>
      <c r="L65" s="471">
        <v>2153.1768301642142</v>
      </c>
      <c r="M65" s="471">
        <f>'[19]19-20 Final_Type1,1B,2,3,3B,4'!K65</f>
        <v>1366</v>
      </c>
      <c r="N65" s="471">
        <f>'[19]19-20 Final_Type1,1B,2,3,3B,4'!N65</f>
        <v>1574</v>
      </c>
      <c r="O65" s="472">
        <f t="shared" si="2"/>
        <v>6069.0280105359589</v>
      </c>
      <c r="P65" s="471">
        <f>'2_State Distrib and Adjs'!AL65</f>
        <v>7322</v>
      </c>
      <c r="Q65" s="471">
        <f>'3_Levels 1&amp;2'!AM65+'3_Levels 1&amp;2'!AX65</f>
        <v>8217.7514762567062</v>
      </c>
    </row>
    <row r="66" spans="1:17" ht="16.149999999999999" customHeight="1" x14ac:dyDescent="0.2">
      <c r="A66" s="669">
        <v>60</v>
      </c>
      <c r="B66" s="468" t="s">
        <v>63</v>
      </c>
      <c r="C66" s="473">
        <v>2962.4963404667069</v>
      </c>
      <c r="D66" s="473">
        <v>1103</v>
      </c>
      <c r="E66" s="473">
        <v>169.39986604152713</v>
      </c>
      <c r="F66" s="474">
        <f t="shared" si="3"/>
        <v>4234.8962065082342</v>
      </c>
      <c r="G66" s="473">
        <v>594.04</v>
      </c>
      <c r="H66" s="474">
        <f t="shared" si="1"/>
        <v>4828.9362065082341</v>
      </c>
      <c r="I66" s="473">
        <v>651.74919490267541</v>
      </c>
      <c r="J66" s="473">
        <v>177.74978042800237</v>
      </c>
      <c r="K66" s="473">
        <v>4443.7445107000594</v>
      </c>
      <c r="L66" s="473">
        <v>1777.497804280024</v>
      </c>
      <c r="M66" s="473">
        <f>'[19]19-20 Final_Type1,1B,2,3,3B,4'!K66</f>
        <v>3346</v>
      </c>
      <c r="N66" s="473">
        <f>'[19]19-20 Final_Type1,1B,2,3,3B,4'!N66</f>
        <v>4239</v>
      </c>
      <c r="O66" s="474">
        <f t="shared" si="2"/>
        <v>8473.8962065082342</v>
      </c>
      <c r="P66" s="473">
        <f>'2_State Distrib and Adjs'!AL66</f>
        <v>6225</v>
      </c>
      <c r="Q66" s="473">
        <f>'3_Levels 1&amp;2'!AM66+'3_Levels 1&amp;2'!AX66</f>
        <v>9190.3055793703952</v>
      </c>
    </row>
    <row r="67" spans="1:17" ht="16.149999999999999" customHeight="1" x14ac:dyDescent="0.2">
      <c r="A67" s="667">
        <v>61</v>
      </c>
      <c r="B67" s="466" t="s">
        <v>64</v>
      </c>
      <c r="C67" s="469">
        <v>1779.7947162343278</v>
      </c>
      <c r="D67" s="469">
        <v>87</v>
      </c>
      <c r="E67" s="469">
        <v>169.39988998899889</v>
      </c>
      <c r="F67" s="470">
        <f t="shared" si="3"/>
        <v>2036.1946062233267</v>
      </c>
      <c r="G67" s="469">
        <v>833.70999999999992</v>
      </c>
      <c r="H67" s="470">
        <f t="shared" si="1"/>
        <v>2869.9046062233265</v>
      </c>
      <c r="I67" s="469">
        <v>391.55483757155218</v>
      </c>
      <c r="J67" s="469">
        <v>106.78768297405969</v>
      </c>
      <c r="K67" s="469">
        <v>2669.692074351492</v>
      </c>
      <c r="L67" s="469">
        <v>1067.8768297405968</v>
      </c>
      <c r="M67" s="469">
        <f>'[19]19-20 Final_Type1,1B,2,3,3B,4'!K67</f>
        <v>8998</v>
      </c>
      <c r="N67" s="469">
        <f>'[19]19-20 Final_Type1,1B,2,3,3B,4'!N67</f>
        <v>10841</v>
      </c>
      <c r="O67" s="470">
        <f t="shared" si="2"/>
        <v>12877.194606223327</v>
      </c>
      <c r="P67" s="469">
        <f>'2_State Distrib and Adjs'!AL67</f>
        <v>3777</v>
      </c>
      <c r="Q67" s="469">
        <f>'3_Levels 1&amp;2'!AM67+'3_Levels 1&amp;2'!AX67</f>
        <v>8368.0957865786568</v>
      </c>
    </row>
    <row r="68" spans="1:17" ht="16.149999999999999" customHeight="1" x14ac:dyDescent="0.2">
      <c r="A68" s="668">
        <v>62</v>
      </c>
      <c r="B68" s="467" t="s">
        <v>65</v>
      </c>
      <c r="C68" s="471">
        <v>3359.6440852771948</v>
      </c>
      <c r="D68" s="471">
        <v>876</v>
      </c>
      <c r="E68" s="471">
        <v>169.39979705733131</v>
      </c>
      <c r="F68" s="472">
        <f t="shared" si="3"/>
        <v>4405.0438823345257</v>
      </c>
      <c r="G68" s="471">
        <v>516.08000000000004</v>
      </c>
      <c r="H68" s="472">
        <f t="shared" si="1"/>
        <v>4921.1238823345257</v>
      </c>
      <c r="I68" s="471">
        <v>739.12169876098289</v>
      </c>
      <c r="J68" s="471">
        <v>201.57864511663166</v>
      </c>
      <c r="K68" s="471">
        <v>5039.4661279157926</v>
      </c>
      <c r="L68" s="471">
        <v>2015.7864511663165</v>
      </c>
      <c r="M68" s="471">
        <f>'[19]19-20 Final_Type1,1B,2,3,3B,4'!K68</f>
        <v>2314</v>
      </c>
      <c r="N68" s="471">
        <f>'[19]19-20 Final_Type1,1B,2,3,3B,4'!N68</f>
        <v>2314</v>
      </c>
      <c r="O68" s="472">
        <f t="shared" si="2"/>
        <v>6719.0438823345257</v>
      </c>
      <c r="P68" s="471">
        <f>'2_State Distrib and Adjs'!AL68</f>
        <v>6802</v>
      </c>
      <c r="Q68" s="471">
        <f>'3_Levels 1&amp;2'!AM68+'3_Levels 1&amp;2'!AX68</f>
        <v>8527.1602638254699</v>
      </c>
    </row>
    <row r="69" spans="1:17" ht="16.149999999999999" customHeight="1" x14ac:dyDescent="0.2">
      <c r="A69" s="668">
        <v>63</v>
      </c>
      <c r="B69" s="467" t="s">
        <v>66</v>
      </c>
      <c r="C69" s="471">
        <v>2061.3793221245082</v>
      </c>
      <c r="D69" s="471">
        <v>341</v>
      </c>
      <c r="E69" s="471">
        <v>421.43478260869563</v>
      </c>
      <c r="F69" s="472">
        <f t="shared" si="3"/>
        <v>2823.8141047332037</v>
      </c>
      <c r="G69" s="471">
        <v>756.79</v>
      </c>
      <c r="H69" s="472">
        <f t="shared" si="1"/>
        <v>3580.6041047332037</v>
      </c>
      <c r="I69" s="471">
        <v>453.50345086739173</v>
      </c>
      <c r="J69" s="471">
        <v>123.68275932747046</v>
      </c>
      <c r="K69" s="471">
        <v>3092.0689831867621</v>
      </c>
      <c r="L69" s="471">
        <v>1236.8275932747047</v>
      </c>
      <c r="M69" s="471">
        <f>'[19]19-20 Final_Type1,1B,2,3,3B,4'!K69</f>
        <v>9585</v>
      </c>
      <c r="N69" s="471">
        <f>'[19]19-20 Final_Type1,1B,2,3,3B,4'!N69</f>
        <v>9580</v>
      </c>
      <c r="O69" s="472">
        <f t="shared" si="2"/>
        <v>12403.814104733203</v>
      </c>
      <c r="P69" s="471">
        <f>'2_State Distrib and Adjs'!AL69</f>
        <v>4675</v>
      </c>
      <c r="Q69" s="471">
        <f>'3_Levels 1&amp;2'!AM69+'3_Levels 1&amp;2'!AX69</f>
        <v>8996.9544990548202</v>
      </c>
    </row>
    <row r="70" spans="1:17" ht="16.149999999999999" customHeight="1" x14ac:dyDescent="0.2">
      <c r="A70" s="668">
        <v>64</v>
      </c>
      <c r="B70" s="467" t="s">
        <v>67</v>
      </c>
      <c r="C70" s="471">
        <v>3202.4190101585973</v>
      </c>
      <c r="D70" s="471">
        <v>1240</v>
      </c>
      <c r="E70" s="471">
        <v>169.3999044433827</v>
      </c>
      <c r="F70" s="472">
        <f t="shared" si="3"/>
        <v>4611.8189146019804</v>
      </c>
      <c r="G70" s="471">
        <v>592.66</v>
      </c>
      <c r="H70" s="472">
        <f t="shared" si="1"/>
        <v>5204.4789146019803</v>
      </c>
      <c r="I70" s="471">
        <v>704.53218223489137</v>
      </c>
      <c r="J70" s="471">
        <v>192.14514060951581</v>
      </c>
      <c r="K70" s="471">
        <v>4803.6285152378969</v>
      </c>
      <c r="L70" s="471">
        <v>1921.4514060951583</v>
      </c>
      <c r="M70" s="471">
        <f>'[19]19-20 Final_Type1,1B,2,3,3B,4'!K70</f>
        <v>2943</v>
      </c>
      <c r="N70" s="471">
        <f>'[19]19-20 Final_Type1,1B,2,3,3B,4'!N70</f>
        <v>3466</v>
      </c>
      <c r="O70" s="472">
        <f t="shared" si="2"/>
        <v>8077.8189146019804</v>
      </c>
      <c r="P70" s="471">
        <f>'2_State Distrib and Adjs'!AL70</f>
        <v>7122</v>
      </c>
      <c r="Q70" s="471">
        <f>'3_Levels 1&amp;2'!AM70+'3_Levels 1&amp;2'!AX70</f>
        <v>9727.9971906354513</v>
      </c>
    </row>
    <row r="71" spans="1:17" ht="16.149999999999999" customHeight="1" x14ac:dyDescent="0.2">
      <c r="A71" s="669">
        <v>65</v>
      </c>
      <c r="B71" s="468" t="s">
        <v>528</v>
      </c>
      <c r="C71" s="473">
        <v>2626.3564285250668</v>
      </c>
      <c r="D71" s="473">
        <v>836</v>
      </c>
      <c r="E71" s="473">
        <v>169.39987413467588</v>
      </c>
      <c r="F71" s="474">
        <f t="shared" si="3"/>
        <v>3631.7563026597427</v>
      </c>
      <c r="G71" s="473">
        <v>829.12</v>
      </c>
      <c r="H71" s="474">
        <f t="shared" ref="H71:H76" si="4">SUM(F71:G71)</f>
        <v>4460.8763026597426</v>
      </c>
      <c r="I71" s="473">
        <v>577.79841427551469</v>
      </c>
      <c r="J71" s="473">
        <v>157.581385711504</v>
      </c>
      <c r="K71" s="473">
        <v>3939.5346427875998</v>
      </c>
      <c r="L71" s="473">
        <v>1575.8138571150398</v>
      </c>
      <c r="M71" s="473">
        <f>'[19]19-20 Final_Type1,1B,2,3,3B,4'!K71</f>
        <v>5035</v>
      </c>
      <c r="N71" s="473">
        <f>'[19]19-20 Final_Type1,1B,2,3,3B,4'!N71</f>
        <v>5430</v>
      </c>
      <c r="O71" s="474">
        <f t="shared" ref="O71:O76" si="5">F71+N71</f>
        <v>9061.7563026597418</v>
      </c>
      <c r="P71" s="473">
        <f>'2_State Distrib and Adjs'!AL71</f>
        <v>5807</v>
      </c>
      <c r="Q71" s="473">
        <f>'3_Levels 1&amp;2'!AM71+'3_Levels 1&amp;2'!AX71</f>
        <v>9143.4234235368167</v>
      </c>
    </row>
    <row r="72" spans="1:17" ht="16.149999999999999" customHeight="1" x14ac:dyDescent="0.2">
      <c r="A72" s="668">
        <v>66</v>
      </c>
      <c r="B72" s="467" t="s">
        <v>529</v>
      </c>
      <c r="C72" s="469">
        <v>2978.4963884929684</v>
      </c>
      <c r="D72" s="469">
        <v>1348</v>
      </c>
      <c r="E72" s="469">
        <v>169.39968487394958</v>
      </c>
      <c r="F72" s="470">
        <f>SUM(C72:E72)</f>
        <v>4495.8960733669182</v>
      </c>
      <c r="G72" s="469">
        <v>730.06</v>
      </c>
      <c r="H72" s="470">
        <f t="shared" si="4"/>
        <v>5225.9560733669186</v>
      </c>
      <c r="I72" s="469">
        <v>655.26920546845304</v>
      </c>
      <c r="J72" s="469">
        <v>178.70978330957811</v>
      </c>
      <c r="K72" s="469">
        <v>4467.7445827394531</v>
      </c>
      <c r="L72" s="469">
        <v>1787.097833095781</v>
      </c>
      <c r="M72" s="469">
        <f>'[19]19-20 Final_Type1,1B,2,3,3B,4'!K72</f>
        <v>4441</v>
      </c>
      <c r="N72" s="469">
        <f>'[19]19-20 Final_Type1,1B,2,3,3B,4'!N72</f>
        <v>4441</v>
      </c>
      <c r="O72" s="470">
        <f t="shared" si="5"/>
        <v>8936.8960733669192</v>
      </c>
      <c r="P72" s="469">
        <f>'2_State Distrib and Adjs'!AL72</f>
        <v>7548</v>
      </c>
      <c r="Q72" s="469">
        <f>'3_Levels 1&amp;2'!AM72+'3_Levels 1&amp;2'!AX72</f>
        <v>11075.208361344539</v>
      </c>
    </row>
    <row r="73" spans="1:17" ht="16.149999999999999" customHeight="1" x14ac:dyDescent="0.2">
      <c r="A73" s="668">
        <v>67</v>
      </c>
      <c r="B73" s="467" t="s">
        <v>2</v>
      </c>
      <c r="C73" s="471">
        <v>2932.618619073261</v>
      </c>
      <c r="D73" s="471">
        <v>1017</v>
      </c>
      <c r="E73" s="471">
        <v>169.39985272459498</v>
      </c>
      <c r="F73" s="472">
        <f>SUM(C73:E73)</f>
        <v>4119.0184717978564</v>
      </c>
      <c r="G73" s="471">
        <v>715.61</v>
      </c>
      <c r="H73" s="472">
        <f t="shared" si="4"/>
        <v>4834.628471797856</v>
      </c>
      <c r="I73" s="471">
        <v>645.17609619611733</v>
      </c>
      <c r="J73" s="471">
        <v>175.95711714439565</v>
      </c>
      <c r="K73" s="471">
        <v>4398.9279286098908</v>
      </c>
      <c r="L73" s="471">
        <v>1759.5711714439565</v>
      </c>
      <c r="M73" s="471">
        <f>'[19]19-20 Final_Type1,1B,2,3,3B,4'!K73</f>
        <v>4161</v>
      </c>
      <c r="N73" s="471">
        <f>'[19]19-20 Final_Type1,1B,2,3,3B,4'!N73</f>
        <v>6041</v>
      </c>
      <c r="O73" s="472">
        <f t="shared" si="5"/>
        <v>10160.018471797855</v>
      </c>
      <c r="P73" s="471">
        <f>'2_State Distrib and Adjs'!AL73</f>
        <v>5973</v>
      </c>
      <c r="Q73" s="471">
        <f>'3_Levels 1&amp;2'!AM73+'3_Levels 1&amp;2'!AX73</f>
        <v>8660.052680412371</v>
      </c>
    </row>
    <row r="74" spans="1:17" ht="16.149999999999999" customHeight="1" x14ac:dyDescent="0.2">
      <c r="A74" s="668">
        <v>68</v>
      </c>
      <c r="B74" s="467" t="s">
        <v>530</v>
      </c>
      <c r="C74" s="471">
        <v>3291.3178197524294</v>
      </c>
      <c r="D74" s="471">
        <v>1324</v>
      </c>
      <c r="E74" s="471">
        <v>169.4</v>
      </c>
      <c r="F74" s="472">
        <f>SUM(C74:E74)</f>
        <v>4784.717819752429</v>
      </c>
      <c r="G74" s="471">
        <v>798.7</v>
      </c>
      <c r="H74" s="472">
        <f t="shared" si="4"/>
        <v>5583.4178197524288</v>
      </c>
      <c r="I74" s="471">
        <v>724.08992034553432</v>
      </c>
      <c r="J74" s="471">
        <v>197.47906918514576</v>
      </c>
      <c r="K74" s="471">
        <v>4936.9767296286436</v>
      </c>
      <c r="L74" s="471">
        <v>1974.7906918514573</v>
      </c>
      <c r="M74" s="471">
        <f>'[19]19-20 Final_Type1,1B,2,3,3B,4'!K74</f>
        <v>3066</v>
      </c>
      <c r="N74" s="471">
        <f>'[19]19-20 Final_Type1,1B,2,3,3B,4'!N74</f>
        <v>3066</v>
      </c>
      <c r="O74" s="472">
        <f t="shared" si="5"/>
        <v>7850.717819752429</v>
      </c>
      <c r="P74" s="471">
        <f>'2_State Distrib and Adjs'!AL74</f>
        <v>7659</v>
      </c>
      <c r="Q74" s="471">
        <f>'3_Levels 1&amp;2'!AM74+'3_Levels 1&amp;2'!AX74</f>
        <v>9631.6081267217633</v>
      </c>
    </row>
    <row r="75" spans="1:17" ht="16.149999999999999" customHeight="1" x14ac:dyDescent="0.2">
      <c r="A75" s="669">
        <v>69</v>
      </c>
      <c r="B75" s="468" t="s">
        <v>74</v>
      </c>
      <c r="C75" s="475">
        <v>3293.1300531920097</v>
      </c>
      <c r="D75" s="475">
        <v>1314</v>
      </c>
      <c r="E75" s="475">
        <v>169.39987271955877</v>
      </c>
      <c r="F75" s="476">
        <f>SUM(C75:E75)</f>
        <v>4776.5299259115682</v>
      </c>
      <c r="G75" s="475">
        <v>705.67</v>
      </c>
      <c r="H75" s="476">
        <f t="shared" si="4"/>
        <v>5482.1999259115682</v>
      </c>
      <c r="I75" s="475">
        <v>724.48861170224222</v>
      </c>
      <c r="J75" s="475">
        <v>197.58780319152058</v>
      </c>
      <c r="K75" s="475">
        <v>4939.6950797880154</v>
      </c>
      <c r="L75" s="475">
        <v>1975.8780319152058</v>
      </c>
      <c r="M75" s="475">
        <f>'[19]19-20 Final_Type1,1B,2,3,3B,4'!K75</f>
        <v>2676</v>
      </c>
      <c r="N75" s="475">
        <f>'[19]19-20 Final_Type1,1B,2,3,3B,4'!N75</f>
        <v>3829</v>
      </c>
      <c r="O75" s="476">
        <f t="shared" si="5"/>
        <v>8605.5299259115673</v>
      </c>
      <c r="P75" s="475">
        <f>'2_State Distrib and Adjs'!AL75</f>
        <v>6780</v>
      </c>
      <c r="Q75" s="475">
        <f>'3_Levels 1&amp;2'!AM75+'3_Levels 1&amp;2'!AX75</f>
        <v>8983.2278574459051</v>
      </c>
    </row>
    <row r="76" spans="1:17" ht="16.149999999999999" customHeight="1" thickBot="1" x14ac:dyDescent="0.25">
      <c r="A76" s="1105"/>
      <c r="B76" s="1105" t="s">
        <v>531</v>
      </c>
      <c r="C76" s="1106">
        <v>2608.8614340953504</v>
      </c>
      <c r="D76" s="1106">
        <v>728</v>
      </c>
      <c r="E76" s="1106">
        <v>212.75038027391469</v>
      </c>
      <c r="F76" s="1178">
        <f>SUM(C76:E76)</f>
        <v>3549.6118143692652</v>
      </c>
      <c r="G76" s="1106">
        <v>706.16</v>
      </c>
      <c r="H76" s="1178">
        <f t="shared" si="4"/>
        <v>4255.7718143692655</v>
      </c>
      <c r="I76" s="1106">
        <v>569.60967937788098</v>
      </c>
      <c r="J76" s="1106">
        <v>158.62710748085348</v>
      </c>
      <c r="K76" s="1106">
        <v>3935.2023104669443</v>
      </c>
      <c r="L76" s="1106">
        <v>1525.492171506211</v>
      </c>
      <c r="M76" s="1106">
        <f>'[19]19-20 Final_Type1,1B,2,3,3B,4'!K76</f>
        <v>4780</v>
      </c>
      <c r="N76" s="1106">
        <f>'[19]19-20 Final_Type1,1B,2,3,3B,4'!N76</f>
        <v>5423</v>
      </c>
      <c r="O76" s="1178">
        <f t="shared" si="5"/>
        <v>8972.6118143692656</v>
      </c>
      <c r="P76" s="1106">
        <f>'2_State Distrib and Adjs'!AL76</f>
        <v>5386</v>
      </c>
      <c r="Q76" s="1106">
        <f>'3_Levels 1&amp;2'!AM76+'3_Levels 1&amp;2'!AX76</f>
        <v>8521.3829481652883</v>
      </c>
    </row>
    <row r="77" spans="1:17" ht="9.6" customHeight="1" thickTop="1" x14ac:dyDescent="0.2">
      <c r="A77" s="461"/>
      <c r="B77" s="462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1"/>
      <c r="O77" s="463"/>
      <c r="P77" s="462"/>
      <c r="Q77" s="462"/>
    </row>
    <row r="78" spans="1:17" ht="16.149999999999999" customHeight="1" x14ac:dyDescent="0.2">
      <c r="A78" s="462"/>
      <c r="B78" s="462"/>
      <c r="C78" s="461" t="s">
        <v>544</v>
      </c>
      <c r="D78" s="463"/>
      <c r="E78" s="463"/>
      <c r="F78" s="463"/>
      <c r="G78" s="463"/>
      <c r="H78" s="463"/>
      <c r="I78" s="463"/>
      <c r="J78" s="463"/>
      <c r="K78" s="463"/>
      <c r="L78" s="463"/>
      <c r="M78" s="464"/>
      <c r="N78" s="461"/>
      <c r="O78" s="463"/>
      <c r="P78" s="462"/>
      <c r="Q78" s="462"/>
    </row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68" fitToWidth="0" orientation="portrait" r:id="rId2"/>
  <headerFooter alignWithMargins="0">
    <oddHeader>&amp;L&amp;"Arial,Bold"&amp;18Table 9: FY2019-20 Budget Letter
&amp;K000000Per Pupil Summary</oddHeader>
    <oddFooter>&amp;R&amp;P</oddFooter>
  </headerFooter>
  <colBreaks count="2" manualBreakCount="2">
    <brk id="8" max="77" man="1"/>
    <brk id="14" max="7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9" style="21" bestFit="1" customWidth="1"/>
    <col min="2" max="2" width="8.85546875" style="21" bestFit="1" customWidth="1"/>
    <col min="3" max="3" width="37.7109375" style="20" bestFit="1" customWidth="1"/>
    <col min="4" max="4" width="14" style="18" customWidth="1"/>
    <col min="5" max="16384" width="9.140625" style="18"/>
  </cols>
  <sheetData>
    <row r="1" spans="1:4" ht="70.5" customHeight="1" x14ac:dyDescent="0.2">
      <c r="A1" s="1575" t="s">
        <v>79</v>
      </c>
      <c r="B1" s="1575"/>
      <c r="C1" s="1575"/>
      <c r="D1" s="890" t="s">
        <v>525</v>
      </c>
    </row>
    <row r="2" spans="1:4" ht="17.25" customHeight="1" x14ac:dyDescent="0.2">
      <c r="A2" s="829"/>
      <c r="B2" s="831"/>
      <c r="C2" s="830"/>
      <c r="D2" s="558">
        <v>1</v>
      </c>
    </row>
    <row r="3" spans="1:4" s="727" customFormat="1" ht="24.75" customHeight="1" x14ac:dyDescent="0.2">
      <c r="A3" s="724"/>
      <c r="B3" s="725"/>
      <c r="C3" s="729"/>
      <c r="D3" s="730" t="s">
        <v>733</v>
      </c>
    </row>
    <row r="4" spans="1:4" s="727" customFormat="1" ht="24.75" hidden="1" customHeight="1" x14ac:dyDescent="0.2">
      <c r="A4" s="724"/>
      <c r="B4" s="725"/>
      <c r="C4" s="729"/>
      <c r="D4" s="730" t="s">
        <v>811</v>
      </c>
    </row>
    <row r="5" spans="1:4" s="19" customFormat="1" ht="17.25" customHeight="1" x14ac:dyDescent="0.2">
      <c r="A5" s="559">
        <v>318001</v>
      </c>
      <c r="B5" s="560">
        <v>318001</v>
      </c>
      <c r="C5" s="561" t="s">
        <v>246</v>
      </c>
      <c r="D5" s="893">
        <v>605.97</v>
      </c>
    </row>
    <row r="6" spans="1:4" s="19" customFormat="1" ht="17.25" customHeight="1" x14ac:dyDescent="0.2">
      <c r="A6" s="565">
        <v>319001</v>
      </c>
      <c r="B6" s="253">
        <v>319001</v>
      </c>
      <c r="C6" s="563" t="s">
        <v>247</v>
      </c>
      <c r="D6" s="894">
        <v>699.9</v>
      </c>
    </row>
    <row r="7" spans="1:4" ht="17.25" customHeight="1" x14ac:dyDescent="0.2">
      <c r="A7" s="565">
        <v>321001</v>
      </c>
      <c r="B7" s="253">
        <v>321001</v>
      </c>
      <c r="C7" s="563" t="s">
        <v>335</v>
      </c>
      <c r="D7" s="894">
        <v>716.3</v>
      </c>
    </row>
    <row r="8" spans="1:4" ht="17.25" customHeight="1" x14ac:dyDescent="0.2">
      <c r="A8" s="565">
        <v>329001</v>
      </c>
      <c r="B8" s="253">
        <v>329001</v>
      </c>
      <c r="C8" s="563" t="s">
        <v>336</v>
      </c>
      <c r="D8" s="894">
        <v>598.4</v>
      </c>
    </row>
    <row r="9" spans="1:4" ht="17.25" customHeight="1" x14ac:dyDescent="0.2">
      <c r="A9" s="566">
        <v>331001</v>
      </c>
      <c r="B9" s="567">
        <v>331001</v>
      </c>
      <c r="C9" s="568" t="s">
        <v>337</v>
      </c>
      <c r="D9" s="895">
        <v>714.81</v>
      </c>
    </row>
    <row r="10" spans="1:4" ht="17.25" customHeight="1" x14ac:dyDescent="0.2">
      <c r="A10" s="559">
        <v>333001</v>
      </c>
      <c r="B10" s="560">
        <v>333001</v>
      </c>
      <c r="C10" s="561" t="s">
        <v>329</v>
      </c>
      <c r="D10" s="893">
        <v>536.12</v>
      </c>
    </row>
    <row r="11" spans="1:4" ht="17.25" customHeight="1" x14ac:dyDescent="0.2">
      <c r="A11" s="565">
        <v>336001</v>
      </c>
      <c r="B11" s="253">
        <v>336001</v>
      </c>
      <c r="C11" s="563" t="s">
        <v>331</v>
      </c>
      <c r="D11" s="894">
        <v>527.02</v>
      </c>
    </row>
    <row r="12" spans="1:4" ht="17.25" customHeight="1" x14ac:dyDescent="0.2">
      <c r="A12" s="565">
        <v>337001</v>
      </c>
      <c r="B12" s="253">
        <v>337001</v>
      </c>
      <c r="C12" s="563" t="s">
        <v>338</v>
      </c>
      <c r="D12" s="894">
        <v>788.9</v>
      </c>
    </row>
    <row r="13" spans="1:4" ht="17.25" customHeight="1" x14ac:dyDescent="0.2">
      <c r="A13" s="565">
        <v>340001</v>
      </c>
      <c r="B13" s="253">
        <v>340001</v>
      </c>
      <c r="C13" s="563" t="s">
        <v>332</v>
      </c>
      <c r="D13" s="894">
        <v>659.21</v>
      </c>
    </row>
    <row r="14" spans="1:4" ht="17.25" customHeight="1" x14ac:dyDescent="0.2">
      <c r="A14" s="566">
        <v>396211</v>
      </c>
      <c r="B14" s="567" t="s">
        <v>469</v>
      </c>
      <c r="C14" s="568" t="s">
        <v>895</v>
      </c>
      <c r="D14" s="895">
        <v>744.76</v>
      </c>
    </row>
    <row r="15" spans="1:4" ht="17.25" customHeight="1" x14ac:dyDescent="0.2">
      <c r="A15" s="559" t="s">
        <v>472</v>
      </c>
      <c r="B15" s="560" t="s">
        <v>298</v>
      </c>
      <c r="C15" s="561" t="s">
        <v>349</v>
      </c>
      <c r="D15" s="893">
        <v>801.48</v>
      </c>
    </row>
    <row r="16" spans="1:4" ht="17.25" customHeight="1" x14ac:dyDescent="0.2">
      <c r="A16" s="565">
        <v>396212</v>
      </c>
      <c r="B16" s="253" t="s">
        <v>475</v>
      </c>
      <c r="C16" s="563" t="s">
        <v>351</v>
      </c>
      <c r="D16" s="894">
        <v>801.48</v>
      </c>
    </row>
    <row r="17" spans="1:4" ht="17.25" customHeight="1" x14ac:dyDescent="0.2">
      <c r="A17" s="565" t="s">
        <v>473</v>
      </c>
      <c r="B17" s="253" t="s">
        <v>327</v>
      </c>
      <c r="C17" s="563" t="s">
        <v>350</v>
      </c>
      <c r="D17" s="894">
        <v>801.48</v>
      </c>
    </row>
    <row r="18" spans="1:4" ht="17.25" customHeight="1" x14ac:dyDescent="0.2">
      <c r="A18" s="565" t="s">
        <v>471</v>
      </c>
      <c r="B18" s="253" t="s">
        <v>297</v>
      </c>
      <c r="C18" s="563" t="s">
        <v>348</v>
      </c>
      <c r="D18" s="894">
        <v>801.48</v>
      </c>
    </row>
    <row r="19" spans="1:4" ht="17.25" customHeight="1" x14ac:dyDescent="0.2">
      <c r="A19" s="566" t="s">
        <v>369</v>
      </c>
      <c r="B19" s="567" t="s">
        <v>369</v>
      </c>
      <c r="C19" s="568" t="s">
        <v>355</v>
      </c>
      <c r="D19" s="895">
        <v>801.48</v>
      </c>
    </row>
    <row r="20" spans="1:4" ht="17.25" customHeight="1" x14ac:dyDescent="0.2">
      <c r="A20" s="565" t="s">
        <v>370</v>
      </c>
      <c r="B20" s="253" t="s">
        <v>370</v>
      </c>
      <c r="C20" s="563" t="s">
        <v>356</v>
      </c>
      <c r="D20" s="894">
        <v>801.48</v>
      </c>
    </row>
    <row r="21" spans="1:4" ht="17.25" customHeight="1" x14ac:dyDescent="0.2">
      <c r="A21" s="566" t="s">
        <v>470</v>
      </c>
      <c r="B21" s="567">
        <v>389002</v>
      </c>
      <c r="C21" s="568" t="s">
        <v>353</v>
      </c>
      <c r="D21" s="895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&amp;L&amp;"Arial,Bold"&amp;18&amp;K000000Table 4:  FY2019-20 Budget Letter 
Level 4 Supplementary Allocations - &amp;KFF0000Simulation</oddHeader>
    <oddFooter>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.140625" defaultRowHeight="12.75" x14ac:dyDescent="0.2"/>
  <cols>
    <col min="1" max="1" width="3" style="439" bestFit="1" customWidth="1"/>
    <col min="2" max="2" width="18.5703125" style="439" bestFit="1" customWidth="1"/>
    <col min="3" max="3" width="14.42578125" style="441" bestFit="1" customWidth="1"/>
    <col min="4" max="4" width="13.28515625" style="441" customWidth="1"/>
    <col min="5" max="5" width="13.7109375" style="441" customWidth="1"/>
    <col min="6" max="6" width="10.42578125" style="441" customWidth="1"/>
    <col min="7" max="7" width="14.42578125" style="441" customWidth="1"/>
    <col min="8" max="8" width="10" style="441" bestFit="1" customWidth="1"/>
    <col min="9" max="9" width="11.7109375" style="441" bestFit="1" customWidth="1"/>
    <col min="10" max="10" width="12.28515625" style="441" customWidth="1"/>
    <col min="11" max="11" width="12.7109375" style="441" customWidth="1"/>
    <col min="12" max="12" width="10.7109375" style="441" customWidth="1"/>
    <col min="13" max="13" width="11.7109375" style="441" customWidth="1"/>
    <col min="14" max="14" width="9.5703125" style="441" customWidth="1"/>
    <col min="15" max="15" width="10.42578125" style="441" customWidth="1"/>
    <col min="16" max="16" width="11.7109375" style="441" bestFit="1" customWidth="1"/>
    <col min="17" max="17" width="9.5703125" style="441" customWidth="1"/>
    <col min="18" max="20" width="10.5703125" style="441" bestFit="1" customWidth="1"/>
    <col min="21" max="21" width="12.7109375" style="441" bestFit="1" customWidth="1"/>
    <col min="22" max="22" width="10.5703125" style="441" bestFit="1" customWidth="1"/>
    <col min="23" max="23" width="10.7109375" style="441" bestFit="1" customWidth="1"/>
    <col min="24" max="24" width="10.140625" style="441" customWidth="1"/>
    <col min="25" max="25" width="10.42578125" style="441" bestFit="1" customWidth="1"/>
    <col min="26" max="26" width="11.7109375" style="441" bestFit="1" customWidth="1"/>
    <col min="27" max="27" width="8.7109375" style="441" customWidth="1"/>
    <col min="28" max="28" width="10.7109375" style="441" bestFit="1" customWidth="1"/>
    <col min="29" max="29" width="9.42578125" style="441" customWidth="1"/>
    <col min="30" max="30" width="10.42578125" style="441" bestFit="1" customWidth="1"/>
    <col min="31" max="32" width="11.7109375" style="441" bestFit="1" customWidth="1"/>
    <col min="33" max="33" width="10.7109375" style="441" bestFit="1" customWidth="1"/>
    <col min="34" max="34" width="2.5703125" style="441" customWidth="1"/>
    <col min="35" max="35" width="14.42578125" style="441" bestFit="1" customWidth="1"/>
    <col min="36" max="36" width="3.7109375" style="440" bestFit="1" customWidth="1"/>
    <col min="37" max="37" width="14.42578125" style="441" bestFit="1" customWidth="1"/>
    <col min="38" max="38" width="3.7109375" style="440" bestFit="1" customWidth="1"/>
    <col min="39" max="16384" width="9.140625" style="439"/>
  </cols>
  <sheetData>
    <row r="1" spans="1:38" s="108" customFormat="1" ht="22.5" customHeight="1" x14ac:dyDescent="0.2">
      <c r="A1" s="1581" t="s">
        <v>79</v>
      </c>
      <c r="B1" s="1582"/>
      <c r="C1" s="1585" t="s">
        <v>1256</v>
      </c>
      <c r="D1" s="1585" t="s">
        <v>523</v>
      </c>
      <c r="E1" s="1586" t="s">
        <v>522</v>
      </c>
      <c r="F1" s="1587"/>
      <c r="G1" s="1587"/>
      <c r="H1" s="1588"/>
      <c r="I1" s="1589" t="s">
        <v>921</v>
      </c>
      <c r="J1" s="1590"/>
      <c r="K1" s="1590"/>
      <c r="L1" s="1590"/>
      <c r="M1" s="1591"/>
      <c r="N1" s="1592" t="s">
        <v>521</v>
      </c>
      <c r="O1" s="1593"/>
      <c r="P1" s="1593"/>
      <c r="Q1" s="1593"/>
      <c r="R1" s="1594"/>
      <c r="S1" s="1595" t="s">
        <v>520</v>
      </c>
      <c r="T1" s="1596"/>
      <c r="U1" s="1596"/>
      <c r="V1" s="1596"/>
      <c r="W1" s="1597"/>
      <c r="X1" s="1598" t="s">
        <v>519</v>
      </c>
      <c r="Y1" s="1599"/>
      <c r="Z1" s="1599"/>
      <c r="AA1" s="1599"/>
      <c r="AB1" s="1600"/>
      <c r="AC1" s="1589" t="s">
        <v>518</v>
      </c>
      <c r="AD1" s="1590"/>
      <c r="AE1" s="1590"/>
      <c r="AF1" s="1590"/>
      <c r="AG1" s="1591"/>
      <c r="AH1" s="460"/>
      <c r="AI1" s="1577" t="s">
        <v>1259</v>
      </c>
      <c r="AJ1" s="1577"/>
      <c r="AK1" s="1577" t="s">
        <v>1259</v>
      </c>
      <c r="AL1" s="1577"/>
    </row>
    <row r="2" spans="1:38" s="458" customFormat="1" ht="77.25" customHeight="1" x14ac:dyDescent="0.2">
      <c r="A2" s="1583"/>
      <c r="B2" s="1584"/>
      <c r="C2" s="1585"/>
      <c r="D2" s="1585"/>
      <c r="E2" s="487" t="s">
        <v>1194</v>
      </c>
      <c r="F2" s="487" t="s">
        <v>559</v>
      </c>
      <c r="G2" s="487" t="s">
        <v>560</v>
      </c>
      <c r="H2" s="487" t="s">
        <v>561</v>
      </c>
      <c r="I2" s="486" t="s">
        <v>562</v>
      </c>
      <c r="J2" s="486" t="s">
        <v>559</v>
      </c>
      <c r="K2" s="486" t="s">
        <v>560</v>
      </c>
      <c r="L2" s="486" t="s">
        <v>1257</v>
      </c>
      <c r="M2" s="486" t="s">
        <v>81</v>
      </c>
      <c r="N2" s="485" t="s">
        <v>562</v>
      </c>
      <c r="O2" s="485" t="s">
        <v>559</v>
      </c>
      <c r="P2" s="485" t="s">
        <v>560</v>
      </c>
      <c r="Q2" s="485" t="s">
        <v>1258</v>
      </c>
      <c r="R2" s="485" t="s">
        <v>81</v>
      </c>
      <c r="S2" s="488" t="s">
        <v>562</v>
      </c>
      <c r="T2" s="488" t="s">
        <v>559</v>
      </c>
      <c r="U2" s="488" t="s">
        <v>560</v>
      </c>
      <c r="V2" s="488" t="s">
        <v>1257</v>
      </c>
      <c r="W2" s="488" t="s">
        <v>81</v>
      </c>
      <c r="X2" s="484" t="s">
        <v>562</v>
      </c>
      <c r="Y2" s="484" t="s">
        <v>559</v>
      </c>
      <c r="Z2" s="484" t="s">
        <v>560</v>
      </c>
      <c r="AA2" s="484" t="s">
        <v>1257</v>
      </c>
      <c r="AB2" s="484" t="s">
        <v>81</v>
      </c>
      <c r="AC2" s="486" t="s">
        <v>562</v>
      </c>
      <c r="AD2" s="486" t="s">
        <v>559</v>
      </c>
      <c r="AE2" s="486" t="s">
        <v>560</v>
      </c>
      <c r="AF2" s="486" t="s">
        <v>1257</v>
      </c>
      <c r="AG2" s="486" t="s">
        <v>81</v>
      </c>
      <c r="AH2" s="459"/>
      <c r="AI2" s="1577"/>
      <c r="AJ2" s="1577"/>
      <c r="AK2" s="1577"/>
      <c r="AL2" s="1577"/>
    </row>
    <row r="3" spans="1:38" s="458" customFormat="1" ht="15.6" hidden="1" customHeight="1" x14ac:dyDescent="0.2">
      <c r="A3" s="542"/>
      <c r="B3" s="543"/>
      <c r="C3" s="544"/>
      <c r="D3" s="544"/>
      <c r="E3" s="487"/>
      <c r="F3" s="487"/>
      <c r="G3" s="487"/>
      <c r="H3" s="487"/>
      <c r="I3" s="486"/>
      <c r="J3" s="486"/>
      <c r="K3" s="486"/>
      <c r="L3" s="486"/>
      <c r="M3" s="486"/>
      <c r="N3" s="485"/>
      <c r="O3" s="485"/>
      <c r="P3" s="485"/>
      <c r="Q3" s="485"/>
      <c r="R3" s="485"/>
      <c r="S3" s="488"/>
      <c r="T3" s="488"/>
      <c r="U3" s="488"/>
      <c r="V3" s="488"/>
      <c r="W3" s="488"/>
      <c r="X3" s="484"/>
      <c r="Y3" s="484"/>
      <c r="Z3" s="484"/>
      <c r="AA3" s="484"/>
      <c r="AB3" s="484"/>
      <c r="AC3" s="486"/>
      <c r="AD3" s="486"/>
      <c r="AE3" s="486"/>
      <c r="AF3" s="486"/>
      <c r="AG3" s="486"/>
      <c r="AH3" s="459"/>
      <c r="AI3" s="541"/>
      <c r="AJ3" s="541"/>
      <c r="AK3" s="541"/>
      <c r="AL3" s="541"/>
    </row>
    <row r="4" spans="1:38" s="454" customFormat="1" ht="14.25" customHeight="1" x14ac:dyDescent="0.2">
      <c r="A4" s="457"/>
      <c r="B4" s="457"/>
      <c r="C4" s="456">
        <v>1</v>
      </c>
      <c r="D4" s="456">
        <f t="shared" ref="D4:AG4" si="0">C4+1</f>
        <v>2</v>
      </c>
      <c r="E4" s="456">
        <f t="shared" si="0"/>
        <v>3</v>
      </c>
      <c r="F4" s="456">
        <f t="shared" si="0"/>
        <v>4</v>
      </c>
      <c r="G4" s="456">
        <f t="shared" si="0"/>
        <v>5</v>
      </c>
      <c r="H4" s="456">
        <f t="shared" si="0"/>
        <v>6</v>
      </c>
      <c r="I4" s="456">
        <f t="shared" si="0"/>
        <v>7</v>
      </c>
      <c r="J4" s="456">
        <f t="shared" si="0"/>
        <v>8</v>
      </c>
      <c r="K4" s="456">
        <f t="shared" si="0"/>
        <v>9</v>
      </c>
      <c r="L4" s="456">
        <f t="shared" si="0"/>
        <v>10</v>
      </c>
      <c r="M4" s="456">
        <f t="shared" si="0"/>
        <v>11</v>
      </c>
      <c r="N4" s="456">
        <f t="shared" si="0"/>
        <v>12</v>
      </c>
      <c r="O4" s="456">
        <f t="shared" si="0"/>
        <v>13</v>
      </c>
      <c r="P4" s="456">
        <f t="shared" si="0"/>
        <v>14</v>
      </c>
      <c r="Q4" s="456">
        <f t="shared" si="0"/>
        <v>15</v>
      </c>
      <c r="R4" s="456">
        <f t="shared" si="0"/>
        <v>16</v>
      </c>
      <c r="S4" s="456">
        <f t="shared" si="0"/>
        <v>17</v>
      </c>
      <c r="T4" s="456">
        <f t="shared" si="0"/>
        <v>18</v>
      </c>
      <c r="U4" s="456">
        <f t="shared" si="0"/>
        <v>19</v>
      </c>
      <c r="V4" s="456">
        <f t="shared" si="0"/>
        <v>20</v>
      </c>
      <c r="W4" s="456">
        <f t="shared" si="0"/>
        <v>21</v>
      </c>
      <c r="X4" s="456">
        <f t="shared" si="0"/>
        <v>22</v>
      </c>
      <c r="Y4" s="456">
        <f t="shared" si="0"/>
        <v>23</v>
      </c>
      <c r="Z4" s="456">
        <f t="shared" si="0"/>
        <v>24</v>
      </c>
      <c r="AA4" s="456">
        <f t="shared" si="0"/>
        <v>25</v>
      </c>
      <c r="AB4" s="456">
        <f t="shared" si="0"/>
        <v>26</v>
      </c>
      <c r="AC4" s="456">
        <f t="shared" si="0"/>
        <v>27</v>
      </c>
      <c r="AD4" s="456">
        <f t="shared" si="0"/>
        <v>28</v>
      </c>
      <c r="AE4" s="456">
        <f t="shared" si="0"/>
        <v>29</v>
      </c>
      <c r="AF4" s="456">
        <f t="shared" si="0"/>
        <v>30</v>
      </c>
      <c r="AG4" s="456">
        <f t="shared" si="0"/>
        <v>31</v>
      </c>
      <c r="AH4" s="455"/>
      <c r="AI4" s="1578" t="s">
        <v>517</v>
      </c>
      <c r="AJ4" s="1579"/>
      <c r="AK4" s="1578" t="s">
        <v>516</v>
      </c>
      <c r="AL4" s="1579"/>
    </row>
    <row r="5" spans="1:38" s="454" customFormat="1" ht="14.25" hidden="1" customHeight="1" x14ac:dyDescent="0.2">
      <c r="A5" s="457"/>
      <c r="B5" s="457"/>
      <c r="C5" s="548" t="s">
        <v>288</v>
      </c>
      <c r="D5" s="548" t="s">
        <v>233</v>
      </c>
      <c r="E5" s="548" t="s">
        <v>234</v>
      </c>
      <c r="F5" s="548" t="s">
        <v>707</v>
      </c>
      <c r="G5" s="548" t="s">
        <v>708</v>
      </c>
      <c r="H5" s="548" t="s">
        <v>709</v>
      </c>
      <c r="I5" s="548" t="s">
        <v>235</v>
      </c>
      <c r="J5" s="548" t="s">
        <v>710</v>
      </c>
      <c r="K5" s="548" t="s">
        <v>711</v>
      </c>
      <c r="L5" s="548" t="s">
        <v>712</v>
      </c>
      <c r="M5" s="548" t="s">
        <v>713</v>
      </c>
      <c r="N5" s="548" t="s">
        <v>236</v>
      </c>
      <c r="O5" s="548" t="s">
        <v>714</v>
      </c>
      <c r="P5" s="548" t="s">
        <v>715</v>
      </c>
      <c r="Q5" s="548" t="s">
        <v>716</v>
      </c>
      <c r="R5" s="548" t="s">
        <v>717</v>
      </c>
      <c r="S5" s="548" t="s">
        <v>237</v>
      </c>
      <c r="T5" s="548" t="s">
        <v>718</v>
      </c>
      <c r="U5" s="548" t="s">
        <v>719</v>
      </c>
      <c r="V5" s="548" t="s">
        <v>720</v>
      </c>
      <c r="W5" s="548" t="s">
        <v>721</v>
      </c>
      <c r="X5" s="548" t="s">
        <v>359</v>
      </c>
      <c r="Y5" s="548" t="s">
        <v>722</v>
      </c>
      <c r="Z5" s="548" t="s">
        <v>723</v>
      </c>
      <c r="AA5" s="548" t="s">
        <v>724</v>
      </c>
      <c r="AB5" s="548" t="s">
        <v>725</v>
      </c>
      <c r="AC5" s="548" t="s">
        <v>238</v>
      </c>
      <c r="AD5" s="548" t="s">
        <v>726</v>
      </c>
      <c r="AE5" s="548" t="s">
        <v>727</v>
      </c>
      <c r="AF5" s="548" t="s">
        <v>234</v>
      </c>
      <c r="AG5" s="548" t="s">
        <v>728</v>
      </c>
      <c r="AH5" s="455"/>
      <c r="AI5" s="1578"/>
      <c r="AJ5" s="1579"/>
      <c r="AK5" s="1578"/>
      <c r="AL5" s="1579"/>
    </row>
    <row r="6" spans="1:38" s="452" customFormat="1" ht="25.5" hidden="1" x14ac:dyDescent="0.2">
      <c r="A6" s="457"/>
      <c r="B6" s="457"/>
      <c r="C6" s="548" t="s">
        <v>603</v>
      </c>
      <c r="D6" s="548" t="s">
        <v>603</v>
      </c>
      <c r="E6" s="548" t="s">
        <v>603</v>
      </c>
      <c r="F6" s="548" t="s">
        <v>604</v>
      </c>
      <c r="G6" s="548" t="s">
        <v>604</v>
      </c>
      <c r="H6" s="548" t="s">
        <v>604</v>
      </c>
      <c r="I6" s="548" t="s">
        <v>603</v>
      </c>
      <c r="J6" s="548" t="s">
        <v>604</v>
      </c>
      <c r="K6" s="548" t="s">
        <v>604</v>
      </c>
      <c r="L6" s="548" t="s">
        <v>603</v>
      </c>
      <c r="M6" s="548" t="s">
        <v>604</v>
      </c>
      <c r="N6" s="548" t="s">
        <v>603</v>
      </c>
      <c r="O6" s="548" t="s">
        <v>604</v>
      </c>
      <c r="P6" s="548" t="s">
        <v>604</v>
      </c>
      <c r="Q6" s="548" t="s">
        <v>603</v>
      </c>
      <c r="R6" s="548" t="s">
        <v>604</v>
      </c>
      <c r="S6" s="548" t="s">
        <v>603</v>
      </c>
      <c r="T6" s="548" t="s">
        <v>604</v>
      </c>
      <c r="U6" s="548" t="s">
        <v>604</v>
      </c>
      <c r="V6" s="548" t="s">
        <v>603</v>
      </c>
      <c r="W6" s="548" t="s">
        <v>604</v>
      </c>
      <c r="X6" s="548" t="s">
        <v>603</v>
      </c>
      <c r="Y6" s="548" t="s">
        <v>604</v>
      </c>
      <c r="Z6" s="548" t="s">
        <v>604</v>
      </c>
      <c r="AA6" s="548" t="s">
        <v>603</v>
      </c>
      <c r="AB6" s="548" t="s">
        <v>604</v>
      </c>
      <c r="AC6" s="548" t="s">
        <v>603</v>
      </c>
      <c r="AD6" s="548" t="s">
        <v>604</v>
      </c>
      <c r="AE6" s="548" t="s">
        <v>604</v>
      </c>
      <c r="AF6" s="548" t="s">
        <v>603</v>
      </c>
      <c r="AG6" s="548" t="s">
        <v>604</v>
      </c>
      <c r="AH6" s="453"/>
      <c r="AI6" s="1579"/>
      <c r="AJ6" s="1579"/>
      <c r="AK6" s="1579"/>
      <c r="AL6" s="1579"/>
    </row>
    <row r="7" spans="1:38" s="450" customFormat="1" ht="16.149999999999999" customHeight="1" x14ac:dyDescent="0.2">
      <c r="A7" s="1036">
        <v>1</v>
      </c>
      <c r="B7" s="1036" t="s">
        <v>5</v>
      </c>
      <c r="C7" s="1037">
        <f>'3_Levels 1&amp;2'!U7</f>
        <v>38640940</v>
      </c>
      <c r="D7" s="1038">
        <f>'3_Levels 1&amp;2'!P7</f>
        <v>12740.19</v>
      </c>
      <c r="E7" s="1038">
        <f>'3_Levels 1&amp;2'!C7</f>
        <v>9444</v>
      </c>
      <c r="F7" s="1039">
        <f t="shared" ref="F7:F38" si="1">E7/D7</f>
        <v>0.74127622900443402</v>
      </c>
      <c r="G7" s="1040">
        <f t="shared" ref="G7:G38" si="2">C7*F7</f>
        <v>28643610.288386595</v>
      </c>
      <c r="H7" s="1037">
        <f t="shared" ref="H7:H38" si="3">G7/E7</f>
        <v>3032.9955832683813</v>
      </c>
      <c r="I7" s="1038">
        <f>'3_Levels 1&amp;2'!E7</f>
        <v>1449.36</v>
      </c>
      <c r="J7" s="1039">
        <f t="shared" ref="J7:J38" si="4">I7/D7</f>
        <v>0.11376282457325988</v>
      </c>
      <c r="K7" s="1040">
        <f t="shared" ref="K7:K38" si="5">C7*J7</f>
        <v>4395902.4785658605</v>
      </c>
      <c r="L7" s="1038">
        <f>'3_Levels 1&amp;2'!D7</f>
        <v>6588</v>
      </c>
      <c r="M7" s="1037">
        <f t="shared" ref="M7:M38" si="6">IFERROR(K7/L7,0)</f>
        <v>667.25902831904375</v>
      </c>
      <c r="N7" s="1038">
        <f>'3_Levels 1&amp;2'!G7</f>
        <v>256.23</v>
      </c>
      <c r="O7" s="1039">
        <f t="shared" ref="O7:O38" si="7">N7/D7</f>
        <v>2.0111944955295016E-2</v>
      </c>
      <c r="P7" s="1040">
        <f t="shared" ref="P7:P38" si="8">C7*O7</f>
        <v>777144.45830085746</v>
      </c>
      <c r="Q7" s="1038">
        <f>'3_Levels 1&amp;2'!F7</f>
        <v>4270.5</v>
      </c>
      <c r="R7" s="1037">
        <f t="shared" ref="R7:R38" si="9">IFERROR(P7/Q7,0)</f>
        <v>181.97973499610291</v>
      </c>
      <c r="S7" s="1038">
        <f>'3_Levels 1&amp;2'!I7</f>
        <v>1548</v>
      </c>
      <c r="T7" s="1039">
        <f t="shared" ref="T7:T38" si="10">S7/D7</f>
        <v>0.12150525227645741</v>
      </c>
      <c r="U7" s="1040">
        <f t="shared" ref="U7:U38" si="11">C7*T7</f>
        <v>4695077.1628994541</v>
      </c>
      <c r="V7" s="1038">
        <f>'3_Levels 1&amp;2'!H7</f>
        <v>1032</v>
      </c>
      <c r="W7" s="1037">
        <f t="shared" ref="W7:W38" si="12">IFERROR(U7/V7,0)</f>
        <v>4549.4933749025722</v>
      </c>
      <c r="X7" s="1038">
        <f>'3_Levels 1&amp;2'!K7</f>
        <v>42.6</v>
      </c>
      <c r="Y7" s="1039">
        <f t="shared" ref="Y7:Y38" si="13">X7/D7</f>
        <v>3.3437491905536731E-3</v>
      </c>
      <c r="Z7" s="1040">
        <f t="shared" ref="Z7:Z38" si="14">C7*Y7</f>
        <v>129205.61184723306</v>
      </c>
      <c r="AA7" s="1038">
        <f>'3_Levels 1&amp;2'!J7</f>
        <v>71</v>
      </c>
      <c r="AB7" s="1037">
        <f t="shared" ref="AB7:AB38" si="15">IFERROR(Z7/AA7,0)</f>
        <v>1819.7973499610289</v>
      </c>
      <c r="AC7" s="1038">
        <f>'3_Levels 1&amp;2'!N7</f>
        <v>0</v>
      </c>
      <c r="AD7" s="1039">
        <f t="shared" ref="AD7:AD38" si="16">AC7/D7</f>
        <v>0</v>
      </c>
      <c r="AE7" s="1040">
        <f t="shared" ref="AE7:AE38" si="17">C7*AD7</f>
        <v>0</v>
      </c>
      <c r="AF7" s="1038">
        <f t="shared" ref="AF7:AF38" si="18">E7</f>
        <v>9444</v>
      </c>
      <c r="AG7" s="1037">
        <f t="shared" ref="AG7:AG38" si="19">IFERROR(AE7/AF7,0)</f>
        <v>0</v>
      </c>
      <c r="AH7" s="1041"/>
      <c r="AI7" s="1042">
        <f t="shared" ref="AI7:AI38" si="20">AE7+Z7+U7+P7+K7+G7</f>
        <v>38640940</v>
      </c>
      <c r="AJ7" s="1043">
        <f t="shared" ref="AJ7:AJ38" si="21">C7-AI7</f>
        <v>0</v>
      </c>
      <c r="AK7" s="1042">
        <f t="shared" ref="AK7:AK38" si="22">(E7*H7)+(L7*M7)+(Q7*R7)+(V7*W7)+(AA7*AB7)+(AF7*AG7)</f>
        <v>38640940.000000007</v>
      </c>
      <c r="AL7" s="1043">
        <f t="shared" ref="AL7:AL38" si="23">C7-AK7</f>
        <v>0</v>
      </c>
    </row>
    <row r="8" spans="1:38" s="450" customFormat="1" ht="16.149999999999999" customHeight="1" x14ac:dyDescent="0.2">
      <c r="A8" s="1036">
        <v>2</v>
      </c>
      <c r="B8" s="1036" t="s">
        <v>6</v>
      </c>
      <c r="C8" s="1037">
        <f>'3_Levels 1&amp;2'!U8</f>
        <v>19927862</v>
      </c>
      <c r="D8" s="1038">
        <f>'3_Levels 1&amp;2'!P8</f>
        <v>5824.7333099999996</v>
      </c>
      <c r="E8" s="1038">
        <f>'3_Levels 1&amp;2'!C8</f>
        <v>4001</v>
      </c>
      <c r="F8" s="1039">
        <f t="shared" si="1"/>
        <v>0.68689840153385495</v>
      </c>
      <c r="G8" s="1040">
        <f t="shared" si="2"/>
        <v>13688416.55378725</v>
      </c>
      <c r="H8" s="1037">
        <f t="shared" si="3"/>
        <v>3421.2488262402526</v>
      </c>
      <c r="I8" s="1038">
        <f>'3_Levels 1&amp;2'!E8</f>
        <v>591.14</v>
      </c>
      <c r="J8" s="1039">
        <f t="shared" si="4"/>
        <v>0.10148790829360736</v>
      </c>
      <c r="K8" s="1040">
        <f t="shared" si="5"/>
        <v>2022437.031143663</v>
      </c>
      <c r="L8" s="1038">
        <f>'3_Levels 1&amp;2'!D8</f>
        <v>2687</v>
      </c>
      <c r="M8" s="1037">
        <f t="shared" si="6"/>
        <v>752.67474177285555</v>
      </c>
      <c r="N8" s="1038">
        <f>'3_Levels 1&amp;2'!G8</f>
        <v>118.86</v>
      </c>
      <c r="O8" s="1039">
        <f t="shared" si="7"/>
        <v>2.0406084480458386E-2</v>
      </c>
      <c r="P8" s="1040">
        <f t="shared" si="8"/>
        <v>406649.63548691641</v>
      </c>
      <c r="Q8" s="1038">
        <f>'3_Levels 1&amp;2'!F8</f>
        <v>1981</v>
      </c>
      <c r="R8" s="1037">
        <f t="shared" si="9"/>
        <v>205.27492957441515</v>
      </c>
      <c r="S8" s="1038">
        <f>'3_Levels 1&amp;2'!I8</f>
        <v>717</v>
      </c>
      <c r="T8" s="1039">
        <f t="shared" si="10"/>
        <v>0.12309576453381005</v>
      </c>
      <c r="U8" s="1040">
        <f t="shared" si="11"/>
        <v>2453035.4084142609</v>
      </c>
      <c r="V8" s="1038">
        <f>'3_Levels 1&amp;2'!H8</f>
        <v>478</v>
      </c>
      <c r="W8" s="1037">
        <f t="shared" si="12"/>
        <v>5131.8732393603786</v>
      </c>
      <c r="X8" s="1038">
        <f>'3_Levels 1&amp;2'!K8</f>
        <v>23.4</v>
      </c>
      <c r="Y8" s="1039">
        <f t="shared" si="13"/>
        <v>4.0173513111452655E-3</v>
      </c>
      <c r="Z8" s="1040">
        <f t="shared" si="14"/>
        <v>80057.222534021916</v>
      </c>
      <c r="AA8" s="1038">
        <f>'3_Levels 1&amp;2'!J8</f>
        <v>39</v>
      </c>
      <c r="AB8" s="1037">
        <f t="shared" si="15"/>
        <v>2052.7492957441518</v>
      </c>
      <c r="AC8" s="1038">
        <f>'3_Levels 1&amp;2'!N8</f>
        <v>373.33331000000004</v>
      </c>
      <c r="AD8" s="1039">
        <f t="shared" si="16"/>
        <v>6.4094489847124014E-2</v>
      </c>
      <c r="AE8" s="1040">
        <f t="shared" si="17"/>
        <v>1277266.1486338885</v>
      </c>
      <c r="AF8" s="1038">
        <f t="shared" si="18"/>
        <v>4001</v>
      </c>
      <c r="AG8" s="1037">
        <f t="shared" si="19"/>
        <v>319.23672797647799</v>
      </c>
      <c r="AH8" s="1041"/>
      <c r="AI8" s="1044">
        <f t="shared" si="20"/>
        <v>19927862</v>
      </c>
      <c r="AJ8" s="1043">
        <f t="shared" si="21"/>
        <v>0</v>
      </c>
      <c r="AK8" s="1044">
        <f t="shared" si="22"/>
        <v>19927862.000000004</v>
      </c>
      <c r="AL8" s="1043">
        <f t="shared" si="23"/>
        <v>0</v>
      </c>
    </row>
    <row r="9" spans="1:38" s="450" customFormat="1" ht="16.149999999999999" customHeight="1" x14ac:dyDescent="0.2">
      <c r="A9" s="1036">
        <v>3</v>
      </c>
      <c r="B9" s="1036" t="s">
        <v>7</v>
      </c>
      <c r="C9" s="1037">
        <f>'3_Levels 1&amp;2'!U9</f>
        <v>75053700</v>
      </c>
      <c r="D9" s="1038">
        <f>'3_Levels 1&amp;2'!P9</f>
        <v>29319.38</v>
      </c>
      <c r="E9" s="1038">
        <f>'3_Levels 1&amp;2'!C9</f>
        <v>22388</v>
      </c>
      <c r="F9" s="1039">
        <f t="shared" si="1"/>
        <v>0.76359049884410923</v>
      </c>
      <c r="G9" s="1040">
        <f t="shared" si="2"/>
        <v>57310292.223096125</v>
      </c>
      <c r="H9" s="1037">
        <f t="shared" si="3"/>
        <v>2559.8665456090816</v>
      </c>
      <c r="I9" s="1038">
        <f>'3_Levels 1&amp;2'!E9</f>
        <v>2496.7800000000002</v>
      </c>
      <c r="J9" s="1039">
        <f t="shared" si="4"/>
        <v>8.515800811613343E-2</v>
      </c>
      <c r="K9" s="1040">
        <f t="shared" si="5"/>
        <v>6391423.5937458435</v>
      </c>
      <c r="L9" s="1038">
        <f>'3_Levels 1&amp;2'!D9</f>
        <v>11349</v>
      </c>
      <c r="M9" s="1037">
        <f t="shared" si="6"/>
        <v>563.17064003399798</v>
      </c>
      <c r="N9" s="1038">
        <f>'3_Levels 1&amp;2'!G9</f>
        <v>711.6</v>
      </c>
      <c r="O9" s="1039">
        <f t="shared" si="7"/>
        <v>2.4270636009356267E-2</v>
      </c>
      <c r="P9" s="1040">
        <f t="shared" si="8"/>
        <v>1821601.0338554224</v>
      </c>
      <c r="Q9" s="1038">
        <f>'3_Levels 1&amp;2'!F9</f>
        <v>11860</v>
      </c>
      <c r="R9" s="1037">
        <f t="shared" si="9"/>
        <v>153.59199273654488</v>
      </c>
      <c r="S9" s="1038">
        <f>'3_Levels 1&amp;2'!I9</f>
        <v>3399</v>
      </c>
      <c r="T9" s="1039">
        <f t="shared" si="10"/>
        <v>0.11593014586256599</v>
      </c>
      <c r="U9" s="1040">
        <f t="shared" si="11"/>
        <v>8700986.3885252681</v>
      </c>
      <c r="V9" s="1038">
        <f>'3_Levels 1&amp;2'!H9</f>
        <v>2266</v>
      </c>
      <c r="W9" s="1037">
        <f t="shared" si="12"/>
        <v>3839.7998184136222</v>
      </c>
      <c r="X9" s="1038">
        <f>'3_Levels 1&amp;2'!K9</f>
        <v>324</v>
      </c>
      <c r="Y9" s="1039">
        <f t="shared" si="13"/>
        <v>1.1050711167835063E-2</v>
      </c>
      <c r="Z9" s="1040">
        <f t="shared" si="14"/>
        <v>829396.76077734248</v>
      </c>
      <c r="AA9" s="1038">
        <f>'3_Levels 1&amp;2'!J9</f>
        <v>540</v>
      </c>
      <c r="AB9" s="1037">
        <f t="shared" si="15"/>
        <v>1535.919927365449</v>
      </c>
      <c r="AC9" s="1038">
        <f>'3_Levels 1&amp;2'!N9</f>
        <v>0</v>
      </c>
      <c r="AD9" s="1039">
        <f t="shared" si="16"/>
        <v>0</v>
      </c>
      <c r="AE9" s="1040">
        <f t="shared" si="17"/>
        <v>0</v>
      </c>
      <c r="AF9" s="1038">
        <f t="shared" si="18"/>
        <v>22388</v>
      </c>
      <c r="AG9" s="1037">
        <f t="shared" si="19"/>
        <v>0</v>
      </c>
      <c r="AH9" s="1041"/>
      <c r="AI9" s="1044">
        <f t="shared" si="20"/>
        <v>75053700</v>
      </c>
      <c r="AJ9" s="1043">
        <f t="shared" si="21"/>
        <v>0</v>
      </c>
      <c r="AK9" s="1044">
        <f t="shared" si="22"/>
        <v>75053699.999999985</v>
      </c>
      <c r="AL9" s="1043">
        <f t="shared" si="23"/>
        <v>0</v>
      </c>
    </row>
    <row r="10" spans="1:38" s="450" customFormat="1" ht="16.149999999999999" customHeight="1" x14ac:dyDescent="0.2">
      <c r="A10" s="1036">
        <v>4</v>
      </c>
      <c r="B10" s="1036" t="s">
        <v>8</v>
      </c>
      <c r="C10" s="1037">
        <f>'3_Levels 1&amp;2'!U10</f>
        <v>14975260</v>
      </c>
      <c r="D10" s="1038">
        <f>'3_Levels 1&amp;2'!P10</f>
        <v>4828.7984699999997</v>
      </c>
      <c r="E10" s="1038">
        <f>'3_Levels 1&amp;2'!C10</f>
        <v>3149</v>
      </c>
      <c r="F10" s="1039">
        <f t="shared" si="1"/>
        <v>0.65212909993321799</v>
      </c>
      <c r="G10" s="1040">
        <f t="shared" si="2"/>
        <v>9765802.825065922</v>
      </c>
      <c r="H10" s="1037">
        <f t="shared" si="3"/>
        <v>3101.2393855401465</v>
      </c>
      <c r="I10" s="1038">
        <f>'3_Levels 1&amp;2'!E10</f>
        <v>495.66</v>
      </c>
      <c r="J10" s="1039">
        <f t="shared" si="4"/>
        <v>0.10264665280180973</v>
      </c>
      <c r="K10" s="1040">
        <f t="shared" si="5"/>
        <v>1537160.3138368293</v>
      </c>
      <c r="L10" s="1038">
        <f>'3_Levels 1&amp;2'!D10</f>
        <v>2253</v>
      </c>
      <c r="M10" s="1037">
        <f t="shared" si="6"/>
        <v>682.27266481883237</v>
      </c>
      <c r="N10" s="1038">
        <f>'3_Levels 1&amp;2'!G10</f>
        <v>85.56</v>
      </c>
      <c r="O10" s="1039">
        <f t="shared" si="7"/>
        <v>1.7718693486912077E-2</v>
      </c>
      <c r="P10" s="1040">
        <f t="shared" si="8"/>
        <v>265342.04182681494</v>
      </c>
      <c r="Q10" s="1038">
        <f>'3_Levels 1&amp;2'!F10</f>
        <v>1426</v>
      </c>
      <c r="R10" s="1037">
        <f t="shared" si="9"/>
        <v>186.07436313240879</v>
      </c>
      <c r="S10" s="1038">
        <f>'3_Levels 1&amp;2'!I10</f>
        <v>672</v>
      </c>
      <c r="T10" s="1039">
        <f t="shared" si="10"/>
        <v>0.13916505403465307</v>
      </c>
      <c r="U10" s="1040">
        <f t="shared" si="11"/>
        <v>2084032.8670829786</v>
      </c>
      <c r="V10" s="1038">
        <f>'3_Levels 1&amp;2'!H10</f>
        <v>448</v>
      </c>
      <c r="W10" s="1037">
        <f t="shared" si="12"/>
        <v>4651.85907831022</v>
      </c>
      <c r="X10" s="1038">
        <f>'3_Levels 1&amp;2'!K10</f>
        <v>61.199999999999996</v>
      </c>
      <c r="Y10" s="1039">
        <f t="shared" si="13"/>
        <v>1.2673960278155903E-2</v>
      </c>
      <c r="Z10" s="1040">
        <f t="shared" si="14"/>
        <v>189795.85039505697</v>
      </c>
      <c r="AA10" s="1038">
        <f>'3_Levels 1&amp;2'!J10</f>
        <v>102</v>
      </c>
      <c r="AB10" s="1037">
        <f t="shared" si="15"/>
        <v>1860.743631324088</v>
      </c>
      <c r="AC10" s="1038">
        <f>'3_Levels 1&amp;2'!N10</f>
        <v>365.37846999999999</v>
      </c>
      <c r="AD10" s="1039">
        <f t="shared" si="16"/>
        <v>7.5666539465251287E-2</v>
      </c>
      <c r="AE10" s="1040">
        <f t="shared" si="17"/>
        <v>1133126.1017923991</v>
      </c>
      <c r="AF10" s="1038">
        <f t="shared" si="18"/>
        <v>3149</v>
      </c>
      <c r="AG10" s="1037">
        <f t="shared" si="19"/>
        <v>359.83680590422324</v>
      </c>
      <c r="AH10" s="1041"/>
      <c r="AI10" s="1044">
        <f t="shared" si="20"/>
        <v>14975260</v>
      </c>
      <c r="AJ10" s="1043">
        <f t="shared" si="21"/>
        <v>0</v>
      </c>
      <c r="AK10" s="1044">
        <f t="shared" si="22"/>
        <v>14975260</v>
      </c>
      <c r="AL10" s="1043">
        <f t="shared" si="23"/>
        <v>0</v>
      </c>
    </row>
    <row r="11" spans="1:38" s="451" customFormat="1" ht="16.149999999999999" customHeight="1" x14ac:dyDescent="0.2">
      <c r="A11" s="1045">
        <v>5</v>
      </c>
      <c r="B11" s="1045" t="s">
        <v>9</v>
      </c>
      <c r="C11" s="1046">
        <f>'3_Levels 1&amp;2'!U11</f>
        <v>23948849</v>
      </c>
      <c r="D11" s="1047">
        <f>'3_Levels 1&amp;2'!P11</f>
        <v>7443.2152700000006</v>
      </c>
      <c r="E11" s="1048">
        <f>'3_Levels 1&amp;2'!C11</f>
        <v>5131</v>
      </c>
      <c r="F11" s="1049">
        <f t="shared" si="1"/>
        <v>0.68935262704016886</v>
      </c>
      <c r="G11" s="1050">
        <f t="shared" si="2"/>
        <v>16509201.972738322</v>
      </c>
      <c r="H11" s="1046">
        <f t="shared" si="3"/>
        <v>3217.5408249343836</v>
      </c>
      <c r="I11" s="1047">
        <f>'3_Levels 1&amp;2'!E11</f>
        <v>896.06000000000006</v>
      </c>
      <c r="J11" s="1049">
        <f t="shared" si="4"/>
        <v>0.12038614597263959</v>
      </c>
      <c r="K11" s="1050">
        <f t="shared" si="5"/>
        <v>2883109.631590704</v>
      </c>
      <c r="L11" s="1047">
        <f>'3_Levels 1&amp;2'!D11</f>
        <v>4073</v>
      </c>
      <c r="M11" s="1046">
        <f t="shared" si="6"/>
        <v>707.85898148556441</v>
      </c>
      <c r="N11" s="1047">
        <f>'3_Levels 1&amp;2'!G11</f>
        <v>209.13</v>
      </c>
      <c r="O11" s="1049">
        <f t="shared" si="7"/>
        <v>2.8096728686983142E-2</v>
      </c>
      <c r="P11" s="1050">
        <f t="shared" si="8"/>
        <v>672884.31271852751</v>
      </c>
      <c r="Q11" s="1047">
        <f>'3_Levels 1&amp;2'!F11</f>
        <v>3485.5</v>
      </c>
      <c r="R11" s="1046">
        <f t="shared" si="9"/>
        <v>193.05244949606299</v>
      </c>
      <c r="S11" s="1047">
        <f>'3_Levels 1&amp;2'!I11</f>
        <v>868.5</v>
      </c>
      <c r="T11" s="1049">
        <f t="shared" si="10"/>
        <v>0.11668344505639966</v>
      </c>
      <c r="U11" s="1050">
        <f t="shared" si="11"/>
        <v>2794434.206455512</v>
      </c>
      <c r="V11" s="1047">
        <f>'3_Levels 1&amp;2'!H11</f>
        <v>579</v>
      </c>
      <c r="W11" s="1046">
        <f t="shared" si="12"/>
        <v>4826.3112374015755</v>
      </c>
      <c r="X11" s="1047">
        <f>'3_Levels 1&amp;2'!K11</f>
        <v>14.399999999999999</v>
      </c>
      <c r="Y11" s="1049">
        <f t="shared" si="13"/>
        <v>1.9346477936812375E-3</v>
      </c>
      <c r="Z11" s="1050">
        <f t="shared" si="14"/>
        <v>46332.587879055114</v>
      </c>
      <c r="AA11" s="1047">
        <f>'3_Levels 1&amp;2'!J11</f>
        <v>24</v>
      </c>
      <c r="AB11" s="1046">
        <f t="shared" si="15"/>
        <v>1930.5244949606297</v>
      </c>
      <c r="AC11" s="1047">
        <f>'3_Levels 1&amp;2'!N11</f>
        <v>324.12527</v>
      </c>
      <c r="AD11" s="1049">
        <f t="shared" si="16"/>
        <v>4.3546405450127466E-2</v>
      </c>
      <c r="AE11" s="1050">
        <f t="shared" si="17"/>
        <v>1042886.2886178797</v>
      </c>
      <c r="AF11" s="1048">
        <f t="shared" si="18"/>
        <v>5131</v>
      </c>
      <c r="AG11" s="1046">
        <f t="shared" si="19"/>
        <v>203.25205391110501</v>
      </c>
      <c r="AH11" s="1041"/>
      <c r="AI11" s="1051">
        <f t="shared" si="20"/>
        <v>23948849</v>
      </c>
      <c r="AJ11" s="1051">
        <f t="shared" si="21"/>
        <v>0</v>
      </c>
      <c r="AK11" s="1051">
        <f t="shared" si="22"/>
        <v>23948849</v>
      </c>
      <c r="AL11" s="1051">
        <f t="shared" si="23"/>
        <v>0</v>
      </c>
    </row>
    <row r="12" spans="1:38" s="450" customFormat="1" ht="16.149999999999999" customHeight="1" x14ac:dyDescent="0.2">
      <c r="A12" s="1036">
        <v>6</v>
      </c>
      <c r="B12" s="1036" t="s">
        <v>10</v>
      </c>
      <c r="C12" s="1037">
        <f>'3_Levels 1&amp;2'!U12</f>
        <v>25700650</v>
      </c>
      <c r="D12" s="1038">
        <f>'3_Levels 1&amp;2'!P12</f>
        <v>8357.5501599999989</v>
      </c>
      <c r="E12" s="1038">
        <f>'3_Levels 1&amp;2'!C12</f>
        <v>5787</v>
      </c>
      <c r="F12" s="1039">
        <f t="shared" si="1"/>
        <v>0.69242779154316203</v>
      </c>
      <c r="G12" s="1040">
        <f t="shared" si="2"/>
        <v>17795844.320723768</v>
      </c>
      <c r="H12" s="1037">
        <f t="shared" si="3"/>
        <v>3075.141579527176</v>
      </c>
      <c r="I12" s="1038">
        <f>'3_Levels 1&amp;2'!E12</f>
        <v>773.74</v>
      </c>
      <c r="J12" s="1039">
        <f t="shared" si="4"/>
        <v>9.2579761435736346E-2</v>
      </c>
      <c r="K12" s="1040">
        <f t="shared" si="5"/>
        <v>2379360.0457433574</v>
      </c>
      <c r="L12" s="1038">
        <f>'3_Levels 1&amp;2'!D12</f>
        <v>3517</v>
      </c>
      <c r="M12" s="1037">
        <f t="shared" si="6"/>
        <v>676.53114749597876</v>
      </c>
      <c r="N12" s="1038">
        <f>'3_Levels 1&amp;2'!G12</f>
        <v>140.46</v>
      </c>
      <c r="O12" s="1039">
        <f t="shared" si="7"/>
        <v>1.6806360394012881E-2</v>
      </c>
      <c r="P12" s="1040">
        <f t="shared" si="8"/>
        <v>431934.38626038714</v>
      </c>
      <c r="Q12" s="1038">
        <f>'3_Levels 1&amp;2'!F12</f>
        <v>2341</v>
      </c>
      <c r="R12" s="1037">
        <f t="shared" si="9"/>
        <v>184.50849477163055</v>
      </c>
      <c r="S12" s="1038">
        <f>'3_Levels 1&amp;2'!I12</f>
        <v>1356</v>
      </c>
      <c r="T12" s="1039">
        <f t="shared" si="10"/>
        <v>0.16224850273587832</v>
      </c>
      <c r="U12" s="1040">
        <f t="shared" si="11"/>
        <v>4169891.9818388512</v>
      </c>
      <c r="V12" s="1038">
        <f>'3_Levels 1&amp;2'!H12</f>
        <v>904</v>
      </c>
      <c r="W12" s="1037">
        <f t="shared" si="12"/>
        <v>4612.7123692907644</v>
      </c>
      <c r="X12" s="1038">
        <f>'3_Levels 1&amp;2'!K12</f>
        <v>36</v>
      </c>
      <c r="Y12" s="1039">
        <f t="shared" si="13"/>
        <v>4.3074823735188934E-3</v>
      </c>
      <c r="Z12" s="1040">
        <f t="shared" si="14"/>
        <v>110705.09686297835</v>
      </c>
      <c r="AA12" s="1038">
        <f>'3_Levels 1&amp;2'!J12</f>
        <v>60</v>
      </c>
      <c r="AB12" s="1037">
        <f t="shared" si="15"/>
        <v>1845.0849477163058</v>
      </c>
      <c r="AC12" s="1038">
        <f>'3_Levels 1&amp;2'!N12</f>
        <v>264.35016000000002</v>
      </c>
      <c r="AD12" s="1039">
        <f t="shared" si="16"/>
        <v>3.1630101517691647E-2</v>
      </c>
      <c r="AE12" s="1040">
        <f t="shared" si="17"/>
        <v>812914.1685706618</v>
      </c>
      <c r="AF12" s="1038">
        <f t="shared" si="18"/>
        <v>5787</v>
      </c>
      <c r="AG12" s="1037">
        <f t="shared" si="19"/>
        <v>140.47246735280143</v>
      </c>
      <c r="AH12" s="1041"/>
      <c r="AI12" s="1044">
        <f t="shared" si="20"/>
        <v>25700650.000000004</v>
      </c>
      <c r="AJ12" s="1043">
        <f t="shared" si="21"/>
        <v>0</v>
      </c>
      <c r="AK12" s="1044">
        <f t="shared" si="22"/>
        <v>25700650.000000007</v>
      </c>
      <c r="AL12" s="1043">
        <f t="shared" si="23"/>
        <v>0</v>
      </c>
    </row>
    <row r="13" spans="1:38" s="450" customFormat="1" ht="16.149999999999999" customHeight="1" x14ac:dyDescent="0.2">
      <c r="A13" s="1036">
        <v>7</v>
      </c>
      <c r="B13" s="1036" t="s">
        <v>11</v>
      </c>
      <c r="C13" s="1037">
        <f>'3_Levels 1&amp;2'!U13</f>
        <v>5839463</v>
      </c>
      <c r="D13" s="1038">
        <f>'3_Levels 1&amp;2'!P13</f>
        <v>3237.11582</v>
      </c>
      <c r="E13" s="1038">
        <f>'3_Levels 1&amp;2'!C13</f>
        <v>2086</v>
      </c>
      <c r="F13" s="1039">
        <f t="shared" si="1"/>
        <v>0.64440079255489846</v>
      </c>
      <c r="G13" s="1040">
        <f t="shared" si="2"/>
        <v>3762954.5852950052</v>
      </c>
      <c r="H13" s="1037">
        <f t="shared" si="3"/>
        <v>1803.909197169226</v>
      </c>
      <c r="I13" s="1038">
        <f>'3_Levels 1&amp;2'!E13</f>
        <v>342.54</v>
      </c>
      <c r="J13" s="1039">
        <f t="shared" si="4"/>
        <v>0.10581641777648847</v>
      </c>
      <c r="K13" s="1040">
        <f t="shared" si="5"/>
        <v>617911.05639834667</v>
      </c>
      <c r="L13" s="1038">
        <f>'3_Levels 1&amp;2'!D13</f>
        <v>1557</v>
      </c>
      <c r="M13" s="1037">
        <f t="shared" si="6"/>
        <v>396.86002337722971</v>
      </c>
      <c r="N13" s="1038">
        <f>'3_Levels 1&amp;2'!G13</f>
        <v>53.82</v>
      </c>
      <c r="O13" s="1039">
        <f t="shared" si="7"/>
        <v>1.6625911148276429E-2</v>
      </c>
      <c r="P13" s="1040">
        <f t="shared" si="8"/>
        <v>97086.392991647721</v>
      </c>
      <c r="Q13" s="1038">
        <f>'3_Levels 1&amp;2'!F13</f>
        <v>897</v>
      </c>
      <c r="R13" s="1037">
        <f t="shared" si="9"/>
        <v>108.23455183015353</v>
      </c>
      <c r="S13" s="1038">
        <f>'3_Levels 1&amp;2'!I13</f>
        <v>417</v>
      </c>
      <c r="T13" s="1039">
        <f t="shared" si="10"/>
        <v>0.12881837511763791</v>
      </c>
      <c r="U13" s="1040">
        <f t="shared" si="11"/>
        <v>752230.13521956722</v>
      </c>
      <c r="V13" s="1038">
        <f>'3_Levels 1&amp;2'!H13</f>
        <v>278</v>
      </c>
      <c r="W13" s="1037">
        <f t="shared" si="12"/>
        <v>2705.863795753839</v>
      </c>
      <c r="X13" s="1038">
        <f>'3_Levels 1&amp;2'!K13</f>
        <v>36.6</v>
      </c>
      <c r="Y13" s="1039">
        <f t="shared" si="13"/>
        <v>1.1306360981548075E-2</v>
      </c>
      <c r="Z13" s="1040">
        <f t="shared" si="14"/>
        <v>66023.076616393664</v>
      </c>
      <c r="AA13" s="1038">
        <f>'3_Levels 1&amp;2'!J13</f>
        <v>61</v>
      </c>
      <c r="AB13" s="1037">
        <f t="shared" si="15"/>
        <v>1082.3455183015355</v>
      </c>
      <c r="AC13" s="1038">
        <f>'3_Levels 1&amp;2'!N13</f>
        <v>301.15582000000001</v>
      </c>
      <c r="AD13" s="1039">
        <f t="shared" si="16"/>
        <v>9.3032142421150696E-2</v>
      </c>
      <c r="AE13" s="1040">
        <f t="shared" si="17"/>
        <v>543257.75347903988</v>
      </c>
      <c r="AF13" s="1038">
        <f t="shared" si="18"/>
        <v>2086</v>
      </c>
      <c r="AG13" s="1037">
        <f t="shared" si="19"/>
        <v>260.43037079532115</v>
      </c>
      <c r="AH13" s="1041"/>
      <c r="AI13" s="1044">
        <f t="shared" si="20"/>
        <v>5839463</v>
      </c>
      <c r="AJ13" s="1043">
        <f t="shared" si="21"/>
        <v>0</v>
      </c>
      <c r="AK13" s="1044">
        <f t="shared" si="22"/>
        <v>5839463.0000000009</v>
      </c>
      <c r="AL13" s="1043">
        <f t="shared" si="23"/>
        <v>0</v>
      </c>
    </row>
    <row r="14" spans="1:38" s="450" customFormat="1" ht="16.149999999999999" customHeight="1" x14ac:dyDescent="0.2">
      <c r="A14" s="1036">
        <v>8</v>
      </c>
      <c r="B14" s="1036" t="s">
        <v>12</v>
      </c>
      <c r="C14" s="1037">
        <f>'3_Levels 1&amp;2'!U14</f>
        <v>90280643</v>
      </c>
      <c r="D14" s="1038">
        <f>'3_Levels 1&amp;2'!P14</f>
        <v>31154.400000000001</v>
      </c>
      <c r="E14" s="1038">
        <f>'3_Levels 1&amp;2'!C14</f>
        <v>22452</v>
      </c>
      <c r="F14" s="1039">
        <f t="shared" si="1"/>
        <v>0.72066866959402198</v>
      </c>
      <c r="G14" s="1040">
        <f t="shared" si="2"/>
        <v>65062430.880902857</v>
      </c>
      <c r="H14" s="1037">
        <f t="shared" si="3"/>
        <v>2897.8456654597744</v>
      </c>
      <c r="I14" s="1038">
        <f>'3_Levels 1&amp;2'!E14</f>
        <v>2612.94</v>
      </c>
      <c r="J14" s="1039">
        <f t="shared" si="4"/>
        <v>8.3870657114243893E-2</v>
      </c>
      <c r="K14" s="1040">
        <f t="shared" si="5"/>
        <v>7571896.8531064633</v>
      </c>
      <c r="L14" s="1038">
        <f>'3_Levels 1&amp;2'!D14</f>
        <v>11877</v>
      </c>
      <c r="M14" s="1037">
        <f t="shared" si="6"/>
        <v>637.52604640115044</v>
      </c>
      <c r="N14" s="1038">
        <f>'3_Levels 1&amp;2'!G14</f>
        <v>486.65999999999997</v>
      </c>
      <c r="O14" s="1039">
        <f t="shared" si="7"/>
        <v>1.5620907480163313E-2</v>
      </c>
      <c r="P14" s="1040">
        <f t="shared" si="8"/>
        <v>1410265.5715526538</v>
      </c>
      <c r="Q14" s="1038">
        <f>'3_Levels 1&amp;2'!F14</f>
        <v>8111</v>
      </c>
      <c r="R14" s="1037">
        <f t="shared" si="9"/>
        <v>173.87073992758647</v>
      </c>
      <c r="S14" s="1038">
        <f>'3_Levels 1&amp;2'!I14</f>
        <v>4767</v>
      </c>
      <c r="T14" s="1039">
        <f t="shared" si="10"/>
        <v>0.1530120945997997</v>
      </c>
      <c r="U14" s="1040">
        <f t="shared" si="11"/>
        <v>13814030.287246745</v>
      </c>
      <c r="V14" s="1038">
        <f>'3_Levels 1&amp;2'!H14</f>
        <v>3178</v>
      </c>
      <c r="W14" s="1037">
        <f t="shared" si="12"/>
        <v>4346.7684981896618</v>
      </c>
      <c r="X14" s="1038">
        <f>'3_Levels 1&amp;2'!K14</f>
        <v>835.8</v>
      </c>
      <c r="Y14" s="1039">
        <f t="shared" si="13"/>
        <v>2.6827671211771046E-2</v>
      </c>
      <c r="Z14" s="1040">
        <f t="shared" si="14"/>
        <v>2422019.4071912793</v>
      </c>
      <c r="AA14" s="1038">
        <f>'3_Levels 1&amp;2'!J14</f>
        <v>1393</v>
      </c>
      <c r="AB14" s="1037">
        <f t="shared" si="15"/>
        <v>1738.7073992758646</v>
      </c>
      <c r="AC14" s="1038">
        <f>'3_Levels 1&amp;2'!N14</f>
        <v>0</v>
      </c>
      <c r="AD14" s="1039">
        <f t="shared" si="16"/>
        <v>0</v>
      </c>
      <c r="AE14" s="1040">
        <f t="shared" si="17"/>
        <v>0</v>
      </c>
      <c r="AF14" s="1038">
        <f t="shared" si="18"/>
        <v>22452</v>
      </c>
      <c r="AG14" s="1037">
        <f t="shared" si="19"/>
        <v>0</v>
      </c>
      <c r="AH14" s="1041"/>
      <c r="AI14" s="1044">
        <f t="shared" si="20"/>
        <v>90280643</v>
      </c>
      <c r="AJ14" s="1043">
        <f t="shared" si="21"/>
        <v>0</v>
      </c>
      <c r="AK14" s="1044">
        <f t="shared" si="22"/>
        <v>90280643</v>
      </c>
      <c r="AL14" s="1043">
        <f t="shared" si="23"/>
        <v>0</v>
      </c>
    </row>
    <row r="15" spans="1:38" s="450" customFormat="1" ht="16.149999999999999" customHeight="1" x14ac:dyDescent="0.2">
      <c r="A15" s="1036">
        <v>9</v>
      </c>
      <c r="B15" s="1036" t="s">
        <v>13</v>
      </c>
      <c r="C15" s="1037">
        <f>'3_Levels 1&amp;2'!U15</f>
        <v>145258534</v>
      </c>
      <c r="D15" s="1038">
        <f>'3_Levels 1&amp;2'!P15</f>
        <v>52953.46</v>
      </c>
      <c r="E15" s="1038">
        <f>'3_Levels 1&amp;2'!C15</f>
        <v>38537</v>
      </c>
      <c r="F15" s="1039">
        <f t="shared" si="1"/>
        <v>0.72775225641535035</v>
      </c>
      <c r="G15" s="1040">
        <f t="shared" si="2"/>
        <v>105712225.88208589</v>
      </c>
      <c r="H15" s="1037">
        <f t="shared" si="3"/>
        <v>2743.1358404153384</v>
      </c>
      <c r="I15" s="1038">
        <f>'3_Levels 1&amp;2'!E15</f>
        <v>6033.5</v>
      </c>
      <c r="J15" s="1039">
        <f t="shared" si="4"/>
        <v>0.11393967457461704</v>
      </c>
      <c r="K15" s="1040">
        <f t="shared" si="5"/>
        <v>16550710.093145944</v>
      </c>
      <c r="L15" s="1038">
        <f>'3_Levels 1&amp;2'!D15</f>
        <v>27425</v>
      </c>
      <c r="M15" s="1037">
        <f t="shared" si="6"/>
        <v>603.48988489137446</v>
      </c>
      <c r="N15" s="1038">
        <f>'3_Levels 1&amp;2'!G15</f>
        <v>707.16</v>
      </c>
      <c r="O15" s="1039">
        <f t="shared" si="7"/>
        <v>1.3354368156490624E-2</v>
      </c>
      <c r="P15" s="1040">
        <f t="shared" si="8"/>
        <v>1939835.9409081107</v>
      </c>
      <c r="Q15" s="1038">
        <f>'3_Levels 1&amp;2'!F15</f>
        <v>11786</v>
      </c>
      <c r="R15" s="1037">
        <f t="shared" si="9"/>
        <v>164.58815042492031</v>
      </c>
      <c r="S15" s="1038">
        <f>'3_Levels 1&amp;2'!I15</f>
        <v>6594</v>
      </c>
      <c r="T15" s="1039">
        <f t="shared" si="10"/>
        <v>0.1245244408958357</v>
      </c>
      <c r="U15" s="1040">
        <f t="shared" si="11"/>
        <v>18088237.73169874</v>
      </c>
      <c r="V15" s="1038">
        <f>'3_Levels 1&amp;2'!H15</f>
        <v>4396</v>
      </c>
      <c r="W15" s="1037">
        <f t="shared" si="12"/>
        <v>4114.7037606230069</v>
      </c>
      <c r="X15" s="1038">
        <f>'3_Levels 1&amp;2'!K15</f>
        <v>1081.8</v>
      </c>
      <c r="Y15" s="1039">
        <f t="shared" si="13"/>
        <v>2.0429259957706256E-2</v>
      </c>
      <c r="Z15" s="1040">
        <f t="shared" si="14"/>
        <v>2967524.3521613129</v>
      </c>
      <c r="AA15" s="1038">
        <f>'3_Levels 1&amp;2'!J15</f>
        <v>1803</v>
      </c>
      <c r="AB15" s="1037">
        <f t="shared" si="15"/>
        <v>1645.8815042492029</v>
      </c>
      <c r="AC15" s="1038">
        <f>'3_Levels 1&amp;2'!N15</f>
        <v>0</v>
      </c>
      <c r="AD15" s="1039">
        <f t="shared" si="16"/>
        <v>0</v>
      </c>
      <c r="AE15" s="1040">
        <f t="shared" si="17"/>
        <v>0</v>
      </c>
      <c r="AF15" s="1038">
        <f t="shared" si="18"/>
        <v>38537</v>
      </c>
      <c r="AG15" s="1037">
        <f t="shared" si="19"/>
        <v>0</v>
      </c>
      <c r="AH15" s="1041"/>
      <c r="AI15" s="1044">
        <f t="shared" si="20"/>
        <v>145258534</v>
      </c>
      <c r="AJ15" s="1043">
        <f t="shared" si="21"/>
        <v>0</v>
      </c>
      <c r="AK15" s="1044">
        <f t="shared" si="22"/>
        <v>145258534</v>
      </c>
      <c r="AL15" s="1043">
        <f t="shared" si="23"/>
        <v>0</v>
      </c>
    </row>
    <row r="16" spans="1:38" s="451" customFormat="1" ht="16.149999999999999" customHeight="1" x14ac:dyDescent="0.2">
      <c r="A16" s="1045">
        <v>10</v>
      </c>
      <c r="B16" s="1045" t="s">
        <v>14</v>
      </c>
      <c r="C16" s="1046">
        <f>'3_Levels 1&amp;2'!U16</f>
        <v>98456664</v>
      </c>
      <c r="D16" s="1047">
        <f>'3_Levels 1&amp;2'!P16</f>
        <v>47196.81</v>
      </c>
      <c r="E16" s="1048">
        <f>'3_Levels 1&amp;2'!C16</f>
        <v>33201</v>
      </c>
      <c r="F16" s="1049">
        <f t="shared" si="1"/>
        <v>0.70345856001708595</v>
      </c>
      <c r="G16" s="1050">
        <f t="shared" si="2"/>
        <v>69260183.081526071</v>
      </c>
      <c r="H16" s="1046">
        <f t="shared" si="3"/>
        <v>2086.0872588634702</v>
      </c>
      <c r="I16" s="1047">
        <f>'3_Levels 1&amp;2'!E16</f>
        <v>4722.96</v>
      </c>
      <c r="J16" s="1049">
        <f t="shared" si="4"/>
        <v>0.1000694750344356</v>
      </c>
      <c r="K16" s="1050">
        <f t="shared" si="5"/>
        <v>9852506.6801218148</v>
      </c>
      <c r="L16" s="1047">
        <f>'3_Levels 1&amp;2'!D16</f>
        <v>21468</v>
      </c>
      <c r="M16" s="1046">
        <f t="shared" si="6"/>
        <v>458.93919694996345</v>
      </c>
      <c r="N16" s="1047">
        <f>'3_Levels 1&amp;2'!G16</f>
        <v>625.35</v>
      </c>
      <c r="O16" s="1049">
        <f t="shared" si="7"/>
        <v>1.3249836164774697E-2</v>
      </c>
      <c r="P16" s="1050">
        <f t="shared" si="8"/>
        <v>1304534.6673302709</v>
      </c>
      <c r="Q16" s="1047">
        <f>'3_Levels 1&amp;2'!F16</f>
        <v>10422.5</v>
      </c>
      <c r="R16" s="1046">
        <f t="shared" si="9"/>
        <v>125.16523553180819</v>
      </c>
      <c r="S16" s="1047">
        <f>'3_Levels 1&amp;2'!I16</f>
        <v>8050.5</v>
      </c>
      <c r="T16" s="1049">
        <f t="shared" si="10"/>
        <v>0.17057296880869705</v>
      </c>
      <c r="U16" s="1050">
        <f t="shared" si="11"/>
        <v>16794045.477480367</v>
      </c>
      <c r="V16" s="1047">
        <f>'3_Levels 1&amp;2'!H16</f>
        <v>5367</v>
      </c>
      <c r="W16" s="1046">
        <f t="shared" si="12"/>
        <v>3129.1308882952053</v>
      </c>
      <c r="X16" s="1047">
        <f>'3_Levels 1&amp;2'!K16</f>
        <v>597</v>
      </c>
      <c r="Y16" s="1049">
        <f t="shared" si="13"/>
        <v>1.2649159975006785E-2</v>
      </c>
      <c r="Z16" s="1050">
        <f t="shared" si="14"/>
        <v>1245394.0935414915</v>
      </c>
      <c r="AA16" s="1047">
        <f>'3_Levels 1&amp;2'!J16</f>
        <v>995</v>
      </c>
      <c r="AB16" s="1046">
        <f t="shared" si="15"/>
        <v>1251.6523553180818</v>
      </c>
      <c r="AC16" s="1047">
        <f>'3_Levels 1&amp;2'!N16</f>
        <v>0</v>
      </c>
      <c r="AD16" s="1049">
        <f t="shared" si="16"/>
        <v>0</v>
      </c>
      <c r="AE16" s="1050">
        <f t="shared" si="17"/>
        <v>0</v>
      </c>
      <c r="AF16" s="1048">
        <f t="shared" si="18"/>
        <v>33201</v>
      </c>
      <c r="AG16" s="1046">
        <f t="shared" si="19"/>
        <v>0</v>
      </c>
      <c r="AH16" s="1041"/>
      <c r="AI16" s="1051">
        <f t="shared" si="20"/>
        <v>98456664.000000015</v>
      </c>
      <c r="AJ16" s="1051">
        <f t="shared" si="21"/>
        <v>0</v>
      </c>
      <c r="AK16" s="1051">
        <f t="shared" si="22"/>
        <v>98456664</v>
      </c>
      <c r="AL16" s="1051">
        <f t="shared" si="23"/>
        <v>0</v>
      </c>
    </row>
    <row r="17" spans="1:38" s="450" customFormat="1" ht="16.149999999999999" customHeight="1" x14ac:dyDescent="0.2">
      <c r="A17" s="1036">
        <v>11</v>
      </c>
      <c r="B17" s="1036" t="s">
        <v>15</v>
      </c>
      <c r="C17" s="1037">
        <f>'3_Levels 1&amp;2'!U17</f>
        <v>8440572</v>
      </c>
      <c r="D17" s="1038">
        <f>'3_Levels 1&amp;2'!P17</f>
        <v>2550.9784200000004</v>
      </c>
      <c r="E17" s="1038">
        <f>'3_Levels 1&amp;2'!C17</f>
        <v>1546</v>
      </c>
      <c r="F17" s="1039">
        <f t="shared" si="1"/>
        <v>0.60604197506304258</v>
      </c>
      <c r="G17" s="1040">
        <f t="shared" si="2"/>
        <v>5115340.9255418153</v>
      </c>
      <c r="H17" s="1037">
        <f t="shared" si="3"/>
        <v>3308.7586840503332</v>
      </c>
      <c r="I17" s="1038">
        <f>'3_Levels 1&amp;2'!E17</f>
        <v>247.06</v>
      </c>
      <c r="J17" s="1039">
        <f t="shared" si="4"/>
        <v>9.6849114074434223E-2</v>
      </c>
      <c r="K17" s="1040">
        <f t="shared" si="5"/>
        <v>817461.92048147542</v>
      </c>
      <c r="L17" s="1038">
        <f>'3_Levels 1&amp;2'!D17</f>
        <v>1123</v>
      </c>
      <c r="M17" s="1037">
        <f t="shared" si="6"/>
        <v>727.92691049107339</v>
      </c>
      <c r="N17" s="1038">
        <f>'3_Levels 1&amp;2'!G17</f>
        <v>57.36</v>
      </c>
      <c r="O17" s="1039">
        <f t="shared" si="7"/>
        <v>2.2485490096776275E-2</v>
      </c>
      <c r="P17" s="1040">
        <f t="shared" si="8"/>
        <v>189790.39811712713</v>
      </c>
      <c r="Q17" s="1038">
        <f>'3_Levels 1&amp;2'!F17</f>
        <v>956</v>
      </c>
      <c r="R17" s="1037">
        <f t="shared" si="9"/>
        <v>198.52552104302001</v>
      </c>
      <c r="S17" s="1038">
        <f>'3_Levels 1&amp;2'!I17</f>
        <v>424.5</v>
      </c>
      <c r="T17" s="1039">
        <f t="shared" si="10"/>
        <v>0.16640673894842276</v>
      </c>
      <c r="U17" s="1040">
        <f t="shared" si="11"/>
        <v>1404568.0613793666</v>
      </c>
      <c r="V17" s="1038">
        <f>'3_Levels 1&amp;2'!H17</f>
        <v>283</v>
      </c>
      <c r="W17" s="1037">
        <f t="shared" si="12"/>
        <v>4963.1380260755004</v>
      </c>
      <c r="X17" s="1038">
        <f>'3_Levels 1&amp;2'!K17</f>
        <v>30.599999999999998</v>
      </c>
      <c r="Y17" s="1039">
        <f t="shared" si="13"/>
        <v>1.1995397436564749E-2</v>
      </c>
      <c r="Z17" s="1040">
        <f t="shared" si="14"/>
        <v>101248.01573194021</v>
      </c>
      <c r="AA17" s="1038">
        <f>'3_Levels 1&amp;2'!J17</f>
        <v>51</v>
      </c>
      <c r="AB17" s="1037">
        <f t="shared" si="15"/>
        <v>1985.2552104302001</v>
      </c>
      <c r="AC17" s="1038">
        <f>'3_Levels 1&amp;2'!N17</f>
        <v>245.45841999999999</v>
      </c>
      <c r="AD17" s="1039">
        <f t="shared" si="16"/>
        <v>9.6221284380759262E-2</v>
      </c>
      <c r="AE17" s="1040">
        <f t="shared" si="17"/>
        <v>812162.67874827399</v>
      </c>
      <c r="AF17" s="1038">
        <f t="shared" si="18"/>
        <v>1546</v>
      </c>
      <c r="AG17" s="1037">
        <f t="shared" si="19"/>
        <v>525.3316162666714</v>
      </c>
      <c r="AH17" s="1041"/>
      <c r="AI17" s="1044">
        <f t="shared" si="20"/>
        <v>8440571.9999999981</v>
      </c>
      <c r="AJ17" s="1043">
        <f t="shared" si="21"/>
        <v>0</v>
      </c>
      <c r="AK17" s="1044">
        <f t="shared" si="22"/>
        <v>8440571.9999999981</v>
      </c>
      <c r="AL17" s="1043">
        <f t="shared" si="23"/>
        <v>0</v>
      </c>
    </row>
    <row r="18" spans="1:38" s="450" customFormat="1" ht="16.149999999999999" customHeight="1" x14ac:dyDescent="0.2">
      <c r="A18" s="1036">
        <v>12</v>
      </c>
      <c r="B18" s="1036" t="s">
        <v>16</v>
      </c>
      <c r="C18" s="1037">
        <f>'3_Levels 1&amp;2'!U18</f>
        <v>2040105</v>
      </c>
      <c r="D18" s="1038">
        <f>'3_Levels 1&amp;2'!P18</f>
        <v>2032.4829500000001</v>
      </c>
      <c r="E18" s="1038">
        <f>'3_Levels 1&amp;2'!C18</f>
        <v>1315</v>
      </c>
      <c r="F18" s="1039">
        <f t="shared" si="1"/>
        <v>0.64699189727520223</v>
      </c>
      <c r="G18" s="1040">
        <f t="shared" si="2"/>
        <v>1319931.4045906265</v>
      </c>
      <c r="H18" s="1037">
        <f t="shared" si="3"/>
        <v>1003.7501175594118</v>
      </c>
      <c r="I18" s="1038">
        <f>'3_Levels 1&amp;2'!E18</f>
        <v>148.28</v>
      </c>
      <c r="J18" s="1039">
        <f t="shared" si="4"/>
        <v>7.2955101542180212E-2</v>
      </c>
      <c r="K18" s="1040">
        <f t="shared" si="5"/>
        <v>148836.06743170955</v>
      </c>
      <c r="L18" s="1038">
        <f>'3_Levels 1&amp;2'!D18</f>
        <v>674</v>
      </c>
      <c r="M18" s="1037">
        <f t="shared" si="6"/>
        <v>220.82502586307055</v>
      </c>
      <c r="N18" s="1038">
        <f>'3_Levels 1&amp;2'!G18</f>
        <v>31.619999999999997</v>
      </c>
      <c r="O18" s="1039">
        <f t="shared" si="7"/>
        <v>1.5557326077446306E-2</v>
      </c>
      <c r="P18" s="1040">
        <f t="shared" si="8"/>
        <v>31738.578717228596</v>
      </c>
      <c r="Q18" s="1038">
        <f>'3_Levels 1&amp;2'!F18</f>
        <v>527</v>
      </c>
      <c r="R18" s="1037">
        <f t="shared" si="9"/>
        <v>60.225007053564696</v>
      </c>
      <c r="S18" s="1038">
        <f>'3_Levels 1&amp;2'!I18</f>
        <v>274.5</v>
      </c>
      <c r="T18" s="1039">
        <f t="shared" si="10"/>
        <v>0.13505648349965246</v>
      </c>
      <c r="U18" s="1040">
        <f t="shared" si="11"/>
        <v>275529.40727005847</v>
      </c>
      <c r="V18" s="1038">
        <f>'3_Levels 1&amp;2'!H18</f>
        <v>183</v>
      </c>
      <c r="W18" s="1037">
        <f t="shared" si="12"/>
        <v>1505.6251763391174</v>
      </c>
      <c r="X18" s="1038">
        <f>'3_Levels 1&amp;2'!K18</f>
        <v>46.199999999999996</v>
      </c>
      <c r="Y18" s="1039">
        <f t="shared" si="13"/>
        <v>2.2730817987919649E-2</v>
      </c>
      <c r="Z18" s="1040">
        <f t="shared" si="14"/>
        <v>46373.255431244819</v>
      </c>
      <c r="AA18" s="1038">
        <f>'3_Levels 1&amp;2'!J18</f>
        <v>77</v>
      </c>
      <c r="AB18" s="1037">
        <f t="shared" si="15"/>
        <v>602.25007053564696</v>
      </c>
      <c r="AC18" s="1038">
        <f>'3_Levels 1&amp;2'!N18</f>
        <v>216.88294999999999</v>
      </c>
      <c r="AD18" s="1039">
        <f t="shared" si="16"/>
        <v>0.10670837361759909</v>
      </c>
      <c r="AE18" s="1040">
        <f t="shared" si="17"/>
        <v>217696.28655913199</v>
      </c>
      <c r="AF18" s="1038">
        <f t="shared" si="18"/>
        <v>1315</v>
      </c>
      <c r="AG18" s="1037">
        <f t="shared" si="19"/>
        <v>165.54850688907376</v>
      </c>
      <c r="AH18" s="1041"/>
      <c r="AI18" s="1044">
        <f t="shared" si="20"/>
        <v>2040105</v>
      </c>
      <c r="AJ18" s="1043">
        <f t="shared" si="21"/>
        <v>0</v>
      </c>
      <c r="AK18" s="1044">
        <f t="shared" si="22"/>
        <v>2040104.9999999998</v>
      </c>
      <c r="AL18" s="1043">
        <f t="shared" si="23"/>
        <v>0</v>
      </c>
    </row>
    <row r="19" spans="1:38" s="450" customFormat="1" ht="16.149999999999999" customHeight="1" x14ac:dyDescent="0.2">
      <c r="A19" s="1036">
        <v>13</v>
      </c>
      <c r="B19" s="1036" t="s">
        <v>17</v>
      </c>
      <c r="C19" s="1037">
        <f>'3_Levels 1&amp;2'!U19</f>
        <v>6608322</v>
      </c>
      <c r="D19" s="1038">
        <f>'3_Levels 1&amp;2'!P19</f>
        <v>1987.24155</v>
      </c>
      <c r="E19" s="1038">
        <f>'3_Levels 1&amp;2'!C19</f>
        <v>1265</v>
      </c>
      <c r="F19" s="1039">
        <f t="shared" si="1"/>
        <v>0.636560764341909</v>
      </c>
      <c r="G19" s="1040">
        <f t="shared" si="2"/>
        <v>4206598.5033374531</v>
      </c>
      <c r="H19" s="1037">
        <f t="shared" si="3"/>
        <v>3325.3743109386983</v>
      </c>
      <c r="I19" s="1038">
        <f>'3_Levels 1&amp;2'!E19</f>
        <v>213.62</v>
      </c>
      <c r="J19" s="1039">
        <f t="shared" si="4"/>
        <v>0.10749573950886847</v>
      </c>
      <c r="K19" s="1040">
        <f t="shared" si="5"/>
        <v>710366.46030272474</v>
      </c>
      <c r="L19" s="1038">
        <f>'3_Levels 1&amp;2'!D19</f>
        <v>971</v>
      </c>
      <c r="M19" s="1037">
        <f t="shared" si="6"/>
        <v>731.58234840651357</v>
      </c>
      <c r="N19" s="1038">
        <f>'3_Levels 1&amp;2'!G19</f>
        <v>45.69</v>
      </c>
      <c r="O19" s="1039">
        <f t="shared" si="7"/>
        <v>2.2991669029867053E-2</v>
      </c>
      <c r="P19" s="1040">
        <f t="shared" si="8"/>
        <v>151936.35226678909</v>
      </c>
      <c r="Q19" s="1038">
        <f>'3_Levels 1&amp;2'!F19</f>
        <v>761.5</v>
      </c>
      <c r="R19" s="1037">
        <f t="shared" si="9"/>
        <v>199.52245865632185</v>
      </c>
      <c r="S19" s="1038">
        <f>'3_Levels 1&amp;2'!I19</f>
        <v>249</v>
      </c>
      <c r="T19" s="1039">
        <f t="shared" si="10"/>
        <v>0.12529931250682635</v>
      </c>
      <c r="U19" s="1040">
        <f t="shared" si="11"/>
        <v>828018.2034237358</v>
      </c>
      <c r="V19" s="1038">
        <f>'3_Levels 1&amp;2'!H19</f>
        <v>166</v>
      </c>
      <c r="W19" s="1037">
        <f t="shared" si="12"/>
        <v>4988.0614664080467</v>
      </c>
      <c r="X19" s="1038">
        <f>'3_Levels 1&amp;2'!K19</f>
        <v>3.5999999999999996</v>
      </c>
      <c r="Y19" s="1039">
        <f t="shared" si="13"/>
        <v>1.8115563253998991E-3</v>
      </c>
      <c r="Z19" s="1040">
        <f t="shared" si="14"/>
        <v>11971.347519379311</v>
      </c>
      <c r="AA19" s="1038">
        <f>'3_Levels 1&amp;2'!J19</f>
        <v>6</v>
      </c>
      <c r="AB19" s="1037">
        <f t="shared" si="15"/>
        <v>1995.2245865632185</v>
      </c>
      <c r="AC19" s="1038">
        <f>'3_Levels 1&amp;2'!N19</f>
        <v>210.33154999999999</v>
      </c>
      <c r="AD19" s="1039">
        <f t="shared" si="16"/>
        <v>0.10584095828712921</v>
      </c>
      <c r="AE19" s="1040">
        <f t="shared" si="17"/>
        <v>699431.13314991829</v>
      </c>
      <c r="AF19" s="1038">
        <f t="shared" si="18"/>
        <v>1265</v>
      </c>
      <c r="AG19" s="1037">
        <f t="shared" si="19"/>
        <v>552.90998667977726</v>
      </c>
      <c r="AH19" s="1041"/>
      <c r="AI19" s="1044">
        <f t="shared" si="20"/>
        <v>6608322</v>
      </c>
      <c r="AJ19" s="1043">
        <f t="shared" si="21"/>
        <v>0</v>
      </c>
      <c r="AK19" s="1044">
        <f t="shared" si="22"/>
        <v>6608322</v>
      </c>
      <c r="AL19" s="1043">
        <f t="shared" si="23"/>
        <v>0</v>
      </c>
    </row>
    <row r="20" spans="1:38" s="450" customFormat="1" ht="16.149999999999999" customHeight="1" x14ac:dyDescent="0.2">
      <c r="A20" s="1036">
        <v>14</v>
      </c>
      <c r="B20" s="1036" t="s">
        <v>18</v>
      </c>
      <c r="C20" s="1037">
        <f>'3_Levels 1&amp;2'!U20</f>
        <v>9148478</v>
      </c>
      <c r="D20" s="1038">
        <f>'3_Levels 1&amp;2'!P20</f>
        <v>3052.63537</v>
      </c>
      <c r="E20" s="1038">
        <f>'3_Levels 1&amp;2'!C20</f>
        <v>1741</v>
      </c>
      <c r="F20" s="1039">
        <f t="shared" si="1"/>
        <v>0.57032687791991354</v>
      </c>
      <c r="G20" s="1040">
        <f t="shared" si="2"/>
        <v>5217622.8954590149</v>
      </c>
      <c r="H20" s="1037">
        <f t="shared" si="3"/>
        <v>2996.911485042513</v>
      </c>
      <c r="I20" s="1038">
        <f>'3_Levels 1&amp;2'!E20</f>
        <v>312.83999999999997</v>
      </c>
      <c r="J20" s="1039">
        <f t="shared" si="4"/>
        <v>0.10248194169354723</v>
      </c>
      <c r="K20" s="1040">
        <f t="shared" si="5"/>
        <v>937553.78898069949</v>
      </c>
      <c r="L20" s="1038">
        <f>'3_Levels 1&amp;2'!D20</f>
        <v>1422</v>
      </c>
      <c r="M20" s="1037">
        <f t="shared" si="6"/>
        <v>659.32052670935263</v>
      </c>
      <c r="N20" s="1038">
        <f>'3_Levels 1&amp;2'!G20</f>
        <v>51.33</v>
      </c>
      <c r="O20" s="1039">
        <f t="shared" si="7"/>
        <v>1.6814979117535416E-2</v>
      </c>
      <c r="P20" s="1040">
        <f t="shared" si="8"/>
        <v>153831.46652723217</v>
      </c>
      <c r="Q20" s="1038">
        <f>'3_Levels 1&amp;2'!F20</f>
        <v>855.5</v>
      </c>
      <c r="R20" s="1037">
        <f t="shared" si="9"/>
        <v>179.81468910255074</v>
      </c>
      <c r="S20" s="1038">
        <f>'3_Levels 1&amp;2'!I20</f>
        <v>595.5</v>
      </c>
      <c r="T20" s="1039">
        <f t="shared" si="10"/>
        <v>0.19507734394101581</v>
      </c>
      <c r="U20" s="1040">
        <f t="shared" si="11"/>
        <v>1784660.7893428165</v>
      </c>
      <c r="V20" s="1038">
        <f>'3_Levels 1&amp;2'!H20</f>
        <v>397</v>
      </c>
      <c r="W20" s="1037">
        <f t="shared" si="12"/>
        <v>4495.3672275637691</v>
      </c>
      <c r="X20" s="1038">
        <f>'3_Levels 1&amp;2'!K20</f>
        <v>84.6</v>
      </c>
      <c r="Y20" s="1039">
        <f t="shared" si="13"/>
        <v>2.7713758685826928E-2</v>
      </c>
      <c r="Z20" s="1040">
        <f t="shared" si="14"/>
        <v>253538.71163459658</v>
      </c>
      <c r="AA20" s="1038">
        <f>'3_Levels 1&amp;2'!J20</f>
        <v>141</v>
      </c>
      <c r="AB20" s="1037">
        <f t="shared" si="15"/>
        <v>1798.1468910255076</v>
      </c>
      <c r="AC20" s="1038">
        <f>'3_Levels 1&amp;2'!N20</f>
        <v>267.36537000000004</v>
      </c>
      <c r="AD20" s="1039">
        <f t="shared" si="16"/>
        <v>8.758509864216113E-2</v>
      </c>
      <c r="AE20" s="1040">
        <f t="shared" si="17"/>
        <v>801270.34805564093</v>
      </c>
      <c r="AF20" s="1038">
        <f t="shared" si="18"/>
        <v>1741</v>
      </c>
      <c r="AG20" s="1037">
        <f t="shared" si="19"/>
        <v>460.2356967579787</v>
      </c>
      <c r="AH20" s="1041"/>
      <c r="AI20" s="1044">
        <f t="shared" si="20"/>
        <v>9148478</v>
      </c>
      <c r="AJ20" s="1043">
        <f t="shared" si="21"/>
        <v>0</v>
      </c>
      <c r="AK20" s="1044">
        <f t="shared" si="22"/>
        <v>9148478</v>
      </c>
      <c r="AL20" s="1043">
        <f t="shared" si="23"/>
        <v>0</v>
      </c>
    </row>
    <row r="21" spans="1:38" s="451" customFormat="1" ht="16.149999999999999" customHeight="1" x14ac:dyDescent="0.2">
      <c r="A21" s="1045">
        <v>15</v>
      </c>
      <c r="B21" s="1045" t="s">
        <v>19</v>
      </c>
      <c r="C21" s="1046">
        <f>'3_Levels 1&amp;2'!U21</f>
        <v>17785823</v>
      </c>
      <c r="D21" s="1047">
        <f>'3_Levels 1&amp;2'!P21</f>
        <v>5442.8447999999999</v>
      </c>
      <c r="E21" s="1048">
        <f>'3_Levels 1&amp;2'!C21</f>
        <v>3568</v>
      </c>
      <c r="F21" s="1049">
        <f t="shared" si="1"/>
        <v>0.65553954432064643</v>
      </c>
      <c r="G21" s="1050">
        <f t="shared" si="2"/>
        <v>11659310.304787673</v>
      </c>
      <c r="H21" s="1046">
        <f t="shared" si="3"/>
        <v>3267.7439195032716</v>
      </c>
      <c r="I21" s="1047">
        <f>'3_Levels 1&amp;2'!E21</f>
        <v>645.26</v>
      </c>
      <c r="J21" s="1049">
        <f t="shared" si="4"/>
        <v>0.11855197487901915</v>
      </c>
      <c r="K21" s="1050">
        <f t="shared" si="5"/>
        <v>2108544.441498681</v>
      </c>
      <c r="L21" s="1047">
        <f>'3_Levels 1&amp;2'!D21</f>
        <v>2933</v>
      </c>
      <c r="M21" s="1046">
        <f t="shared" si="6"/>
        <v>718.90366229071969</v>
      </c>
      <c r="N21" s="1047">
        <f>'3_Levels 1&amp;2'!G21</f>
        <v>120.78</v>
      </c>
      <c r="O21" s="1049">
        <f t="shared" si="7"/>
        <v>2.2190601503096322E-2</v>
      </c>
      <c r="P21" s="1050">
        <f t="shared" si="8"/>
        <v>394678.11059760512</v>
      </c>
      <c r="Q21" s="1047">
        <f>'3_Levels 1&amp;2'!F21</f>
        <v>2013</v>
      </c>
      <c r="R21" s="1046">
        <f t="shared" si="9"/>
        <v>196.06463517019628</v>
      </c>
      <c r="S21" s="1047">
        <f>'3_Levels 1&amp;2'!I21</f>
        <v>661.5</v>
      </c>
      <c r="T21" s="1049">
        <f t="shared" si="10"/>
        <v>0.12153570867940236</v>
      </c>
      <c r="U21" s="1050">
        <f t="shared" si="11"/>
        <v>2161612.6027514143</v>
      </c>
      <c r="V21" s="1047">
        <f>'3_Levels 1&amp;2'!H21</f>
        <v>441</v>
      </c>
      <c r="W21" s="1046">
        <f t="shared" si="12"/>
        <v>4901.6158792549077</v>
      </c>
      <c r="X21" s="1047">
        <f>'3_Levels 1&amp;2'!K21</f>
        <v>73.2</v>
      </c>
      <c r="Y21" s="1049">
        <f t="shared" si="13"/>
        <v>1.3448849395815953E-2</v>
      </c>
      <c r="Z21" s="1050">
        <f t="shared" si="14"/>
        <v>239198.8549076395</v>
      </c>
      <c r="AA21" s="1047">
        <f>'3_Levels 1&amp;2'!J21</f>
        <v>122</v>
      </c>
      <c r="AB21" s="1046">
        <f t="shared" si="15"/>
        <v>1960.6463517019631</v>
      </c>
      <c r="AC21" s="1047">
        <f>'3_Levels 1&amp;2'!N21</f>
        <v>374.10480000000001</v>
      </c>
      <c r="AD21" s="1049">
        <f t="shared" si="16"/>
        <v>6.8733321222019778E-2</v>
      </c>
      <c r="AE21" s="1050">
        <f t="shared" si="17"/>
        <v>1222478.6854569875</v>
      </c>
      <c r="AF21" s="1048">
        <f t="shared" si="18"/>
        <v>3568</v>
      </c>
      <c r="AG21" s="1046">
        <f t="shared" si="19"/>
        <v>342.622949959918</v>
      </c>
      <c r="AH21" s="1041"/>
      <c r="AI21" s="1051">
        <f t="shared" si="20"/>
        <v>17785823</v>
      </c>
      <c r="AJ21" s="1051">
        <f t="shared" si="21"/>
        <v>0</v>
      </c>
      <c r="AK21" s="1051">
        <f t="shared" si="22"/>
        <v>17785823</v>
      </c>
      <c r="AL21" s="1051">
        <f t="shared" si="23"/>
        <v>0</v>
      </c>
    </row>
    <row r="22" spans="1:38" s="450" customFormat="1" ht="16.149999999999999" customHeight="1" x14ac:dyDescent="0.2">
      <c r="A22" s="1036">
        <v>16</v>
      </c>
      <c r="B22" s="1036" t="s">
        <v>20</v>
      </c>
      <c r="C22" s="1037">
        <f>'3_Levels 1&amp;2'!U22</f>
        <v>9705492</v>
      </c>
      <c r="D22" s="1038">
        <f>'3_Levels 1&amp;2'!P22</f>
        <v>6890.0072500000006</v>
      </c>
      <c r="E22" s="1038">
        <f>'3_Levels 1&amp;2'!C22</f>
        <v>4825</v>
      </c>
      <c r="F22" s="1039">
        <f t="shared" si="1"/>
        <v>0.70028953888256062</v>
      </c>
      <c r="G22" s="1040">
        <f t="shared" si="2"/>
        <v>6796654.5173083814</v>
      </c>
      <c r="H22" s="1037">
        <f t="shared" si="3"/>
        <v>1408.6330605820478</v>
      </c>
      <c r="I22" s="1038">
        <f>'3_Levels 1&amp;2'!E22</f>
        <v>640.41999999999996</v>
      </c>
      <c r="J22" s="1039">
        <f t="shared" si="4"/>
        <v>9.2949103935993663E-2</v>
      </c>
      <c r="K22" s="1040">
        <f t="shared" si="5"/>
        <v>902116.78465795505</v>
      </c>
      <c r="L22" s="1038">
        <f>'3_Levels 1&amp;2'!D22</f>
        <v>2911</v>
      </c>
      <c r="M22" s="1037">
        <f t="shared" si="6"/>
        <v>309.89927332805053</v>
      </c>
      <c r="N22" s="1038">
        <f>'3_Levels 1&amp;2'!G22</f>
        <v>168.72</v>
      </c>
      <c r="O22" s="1039">
        <f t="shared" si="7"/>
        <v>2.448763751300842E-2</v>
      </c>
      <c r="P22" s="1040">
        <f t="shared" si="8"/>
        <v>237664.56998140312</v>
      </c>
      <c r="Q22" s="1038">
        <f>'3_Levels 1&amp;2'!F22</f>
        <v>2812</v>
      </c>
      <c r="R22" s="1037">
        <f t="shared" si="9"/>
        <v>84.517983634922871</v>
      </c>
      <c r="S22" s="1038">
        <f>'3_Levels 1&amp;2'!I22</f>
        <v>763.5</v>
      </c>
      <c r="T22" s="1039">
        <f t="shared" si="10"/>
        <v>0.11081265553095027</v>
      </c>
      <c r="U22" s="1040">
        <f t="shared" si="11"/>
        <v>1075491.3417543937</v>
      </c>
      <c r="V22" s="1038">
        <f>'3_Levels 1&amp;2'!H22</f>
        <v>509</v>
      </c>
      <c r="W22" s="1037">
        <f t="shared" si="12"/>
        <v>2112.9495908730719</v>
      </c>
      <c r="X22" s="1038">
        <f>'3_Levels 1&amp;2'!K22</f>
        <v>148.19999999999999</v>
      </c>
      <c r="Y22" s="1039">
        <f t="shared" si="13"/>
        <v>2.150941132899388E-2</v>
      </c>
      <c r="Z22" s="1040">
        <f t="shared" si="14"/>
        <v>208759.41957825946</v>
      </c>
      <c r="AA22" s="1038">
        <f>'3_Levels 1&amp;2'!J22</f>
        <v>247</v>
      </c>
      <c r="AB22" s="1037">
        <f t="shared" si="15"/>
        <v>845.17983634922859</v>
      </c>
      <c r="AC22" s="1038">
        <f>'3_Levels 1&amp;2'!N22</f>
        <v>344.16725000000002</v>
      </c>
      <c r="AD22" s="1039">
        <f t="shared" si="16"/>
        <v>4.9951652808493049E-2</v>
      </c>
      <c r="AE22" s="1040">
        <f t="shared" si="17"/>
        <v>484805.3667196068</v>
      </c>
      <c r="AF22" s="1038">
        <f t="shared" si="18"/>
        <v>4825</v>
      </c>
      <c r="AG22" s="1037">
        <f t="shared" si="19"/>
        <v>100.47779621131747</v>
      </c>
      <c r="AH22" s="1041"/>
      <c r="AI22" s="1044">
        <f t="shared" si="20"/>
        <v>9705492</v>
      </c>
      <c r="AJ22" s="1043">
        <f t="shared" si="21"/>
        <v>0</v>
      </c>
      <c r="AK22" s="1044">
        <f t="shared" si="22"/>
        <v>9705491.9999999981</v>
      </c>
      <c r="AL22" s="1043">
        <f t="shared" si="23"/>
        <v>0</v>
      </c>
    </row>
    <row r="23" spans="1:38" s="450" customFormat="1" ht="16.149999999999999" customHeight="1" x14ac:dyDescent="0.2">
      <c r="A23" s="1036">
        <v>17</v>
      </c>
      <c r="B23" s="1036" t="s">
        <v>21</v>
      </c>
      <c r="C23" s="1037">
        <f>'3_Levels 1&amp;2'!U23</f>
        <v>123716146</v>
      </c>
      <c r="D23" s="1038">
        <f>'3_Levels 1&amp;2'!P23</f>
        <v>62379.03</v>
      </c>
      <c r="E23" s="1038">
        <f>'3_Levels 1&amp;2'!C23</f>
        <v>44745</v>
      </c>
      <c r="F23" s="1039">
        <f t="shared" si="1"/>
        <v>0.71730836468601711</v>
      </c>
      <c r="G23" s="1040">
        <f t="shared" si="2"/>
        <v>88742626.372516543</v>
      </c>
      <c r="H23" s="1037">
        <f t="shared" si="3"/>
        <v>1983.2970471006045</v>
      </c>
      <c r="I23" s="1038">
        <f>'3_Levels 1&amp;2'!E23</f>
        <v>7858.62</v>
      </c>
      <c r="J23" s="1039">
        <f t="shared" si="4"/>
        <v>0.12598176021653432</v>
      </c>
      <c r="K23" s="1040">
        <f t="shared" si="5"/>
        <v>15585977.840285752</v>
      </c>
      <c r="L23" s="1038">
        <f>'3_Levels 1&amp;2'!D23</f>
        <v>35721</v>
      </c>
      <c r="M23" s="1037">
        <f t="shared" si="6"/>
        <v>436.32535036213295</v>
      </c>
      <c r="N23" s="1038">
        <f>'3_Levels 1&amp;2'!G23</f>
        <v>1255.71</v>
      </c>
      <c r="O23" s="1039">
        <f t="shared" si="7"/>
        <v>2.0130322642080201E-2</v>
      </c>
      <c r="P23" s="1040">
        <f t="shared" si="8"/>
        <v>2490445.9350147001</v>
      </c>
      <c r="Q23" s="1038">
        <f>'3_Levels 1&amp;2'!F23</f>
        <v>20928.5</v>
      </c>
      <c r="R23" s="1037">
        <f t="shared" si="9"/>
        <v>118.99782282603627</v>
      </c>
      <c r="S23" s="1038">
        <f>'3_Levels 1&amp;2'!I23</f>
        <v>7597.5</v>
      </c>
      <c r="T23" s="1039">
        <f t="shared" si="10"/>
        <v>0.12179573808698212</v>
      </c>
      <c r="U23" s="1040">
        <f t="shared" si="11"/>
        <v>15068099.315346841</v>
      </c>
      <c r="V23" s="1038">
        <f>'3_Levels 1&amp;2'!H23</f>
        <v>5065</v>
      </c>
      <c r="W23" s="1037">
        <f t="shared" si="12"/>
        <v>2974.9455706509066</v>
      </c>
      <c r="X23" s="1038">
        <f>'3_Levels 1&amp;2'!K23</f>
        <v>922.19999999999993</v>
      </c>
      <c r="Y23" s="1039">
        <f t="shared" si="13"/>
        <v>1.4783814368386298E-2</v>
      </c>
      <c r="Z23" s="1040">
        <f t="shared" si="14"/>
        <v>1828996.5368361771</v>
      </c>
      <c r="AA23" s="1038">
        <f>'3_Levels 1&amp;2'!J23</f>
        <v>1537</v>
      </c>
      <c r="AB23" s="1037">
        <f t="shared" si="15"/>
        <v>1189.9782282603624</v>
      </c>
      <c r="AC23" s="1038">
        <f>'3_Levels 1&amp;2'!N23</f>
        <v>0</v>
      </c>
      <c r="AD23" s="1039">
        <f t="shared" si="16"/>
        <v>0</v>
      </c>
      <c r="AE23" s="1040">
        <f t="shared" si="17"/>
        <v>0</v>
      </c>
      <c r="AF23" s="1038">
        <f t="shared" si="18"/>
        <v>44745</v>
      </c>
      <c r="AG23" s="1037">
        <f t="shared" si="19"/>
        <v>0</v>
      </c>
      <c r="AH23" s="1041"/>
      <c r="AI23" s="1044">
        <f t="shared" si="20"/>
        <v>123716146.00000001</v>
      </c>
      <c r="AJ23" s="1043">
        <f t="shared" si="21"/>
        <v>0</v>
      </c>
      <c r="AK23" s="1044">
        <f t="shared" si="22"/>
        <v>123716146</v>
      </c>
      <c r="AL23" s="1043">
        <f t="shared" si="23"/>
        <v>0</v>
      </c>
    </row>
    <row r="24" spans="1:38" s="450" customFormat="1" ht="16.149999999999999" customHeight="1" x14ac:dyDescent="0.2">
      <c r="A24" s="1036">
        <v>18</v>
      </c>
      <c r="B24" s="1036" t="s">
        <v>22</v>
      </c>
      <c r="C24" s="1037">
        <f>'3_Levels 1&amp;2'!U24</f>
        <v>4392650</v>
      </c>
      <c r="D24" s="1038">
        <f>'3_Levels 1&amp;2'!P24</f>
        <v>1427.1529</v>
      </c>
      <c r="E24" s="1038">
        <f>'3_Levels 1&amp;2'!C24</f>
        <v>898</v>
      </c>
      <c r="F24" s="1039">
        <f t="shared" si="1"/>
        <v>0.62922480135099745</v>
      </c>
      <c r="G24" s="1040">
        <f t="shared" si="2"/>
        <v>2763964.3236544589</v>
      </c>
      <c r="H24" s="1037">
        <f t="shared" si="3"/>
        <v>3077.911273557304</v>
      </c>
      <c r="I24" s="1038">
        <f>'3_Levels 1&amp;2'!E24</f>
        <v>189.2</v>
      </c>
      <c r="J24" s="1039">
        <f t="shared" si="4"/>
        <v>0.13257163966103422</v>
      </c>
      <c r="K24" s="1040">
        <f t="shared" si="5"/>
        <v>582340.81295704201</v>
      </c>
      <c r="L24" s="1038">
        <f>'3_Levels 1&amp;2'!D24</f>
        <v>860</v>
      </c>
      <c r="M24" s="1037">
        <f t="shared" si="6"/>
        <v>677.14048018260701</v>
      </c>
      <c r="N24" s="1038">
        <f>'3_Levels 1&amp;2'!G24</f>
        <v>33.36</v>
      </c>
      <c r="O24" s="1039">
        <f t="shared" si="7"/>
        <v>2.337521088315064E-2</v>
      </c>
      <c r="P24" s="1040">
        <f t="shared" si="8"/>
        <v>102679.12008587166</v>
      </c>
      <c r="Q24" s="1038">
        <f>'3_Levels 1&amp;2'!F24</f>
        <v>556</v>
      </c>
      <c r="R24" s="1037">
        <f t="shared" si="9"/>
        <v>184.67467641343825</v>
      </c>
      <c r="S24" s="1038">
        <f>'3_Levels 1&amp;2'!I24</f>
        <v>148.5</v>
      </c>
      <c r="T24" s="1039">
        <f t="shared" si="10"/>
        <v>0.10405332182697452</v>
      </c>
      <c r="U24" s="1040">
        <f t="shared" si="11"/>
        <v>457069.82412325963</v>
      </c>
      <c r="V24" s="1038">
        <f>'3_Levels 1&amp;2'!H24</f>
        <v>99</v>
      </c>
      <c r="W24" s="1037">
        <f t="shared" si="12"/>
        <v>4616.8669103359562</v>
      </c>
      <c r="X24" s="1038">
        <f>'3_Levels 1&amp;2'!K24</f>
        <v>0</v>
      </c>
      <c r="Y24" s="1039">
        <f t="shared" si="13"/>
        <v>0</v>
      </c>
      <c r="Z24" s="1040">
        <f t="shared" si="14"/>
        <v>0</v>
      </c>
      <c r="AA24" s="1038">
        <f>'3_Levels 1&amp;2'!J24</f>
        <v>0</v>
      </c>
      <c r="AB24" s="1037">
        <f t="shared" si="15"/>
        <v>0</v>
      </c>
      <c r="AC24" s="1038">
        <f>'3_Levels 1&amp;2'!N24</f>
        <v>158.09290000000001</v>
      </c>
      <c r="AD24" s="1039">
        <f t="shared" si="16"/>
        <v>0.11077502627784312</v>
      </c>
      <c r="AE24" s="1040">
        <f t="shared" si="17"/>
        <v>486595.9191793676</v>
      </c>
      <c r="AF24" s="1038">
        <f t="shared" si="18"/>
        <v>898</v>
      </c>
      <c r="AG24" s="1037">
        <f t="shared" si="19"/>
        <v>541.86627970976349</v>
      </c>
      <c r="AH24" s="1041"/>
      <c r="AI24" s="1044">
        <f t="shared" si="20"/>
        <v>4392650</v>
      </c>
      <c r="AJ24" s="1043">
        <f t="shared" si="21"/>
        <v>0</v>
      </c>
      <c r="AK24" s="1044">
        <f t="shared" si="22"/>
        <v>4392650</v>
      </c>
      <c r="AL24" s="1043">
        <f t="shared" si="23"/>
        <v>0</v>
      </c>
    </row>
    <row r="25" spans="1:38" s="450" customFormat="1" ht="16.149999999999999" customHeight="1" x14ac:dyDescent="0.2">
      <c r="A25" s="1036">
        <v>19</v>
      </c>
      <c r="B25" s="1036" t="s">
        <v>23</v>
      </c>
      <c r="C25" s="1037">
        <f>'3_Levels 1&amp;2'!U25</f>
        <v>7674325</v>
      </c>
      <c r="D25" s="1038">
        <f>'3_Levels 1&amp;2'!P25</f>
        <v>2845.5785700000001</v>
      </c>
      <c r="E25" s="1038">
        <f>'3_Levels 1&amp;2'!C25</f>
        <v>1861</v>
      </c>
      <c r="F25" s="1039">
        <f t="shared" si="1"/>
        <v>0.65399705340063763</v>
      </c>
      <c r="G25" s="1040">
        <f t="shared" si="2"/>
        <v>5018985.9368388485</v>
      </c>
      <c r="H25" s="1037">
        <f t="shared" si="3"/>
        <v>2696.9295737984139</v>
      </c>
      <c r="I25" s="1038">
        <f>'3_Levels 1&amp;2'!E25</f>
        <v>295.24</v>
      </c>
      <c r="J25" s="1039">
        <f t="shared" si="4"/>
        <v>0.1037539441407868</v>
      </c>
      <c r="K25" s="1040">
        <f t="shared" si="5"/>
        <v>796241.48736824363</v>
      </c>
      <c r="L25" s="1038">
        <f>'3_Levels 1&amp;2'!D25</f>
        <v>1342</v>
      </c>
      <c r="M25" s="1037">
        <f t="shared" si="6"/>
        <v>593.32450623565103</v>
      </c>
      <c r="N25" s="1038">
        <f>'3_Levels 1&amp;2'!G25</f>
        <v>33</v>
      </c>
      <c r="O25" s="1039">
        <f t="shared" si="7"/>
        <v>1.1596938614842041E-2</v>
      </c>
      <c r="P25" s="1040">
        <f t="shared" si="8"/>
        <v>88998.675935347652</v>
      </c>
      <c r="Q25" s="1038">
        <f>'3_Levels 1&amp;2'!F25</f>
        <v>550</v>
      </c>
      <c r="R25" s="1037">
        <f t="shared" si="9"/>
        <v>161.81577442790481</v>
      </c>
      <c r="S25" s="1038">
        <f>'3_Levels 1&amp;2'!I25</f>
        <v>358.5</v>
      </c>
      <c r="T25" s="1039">
        <f t="shared" si="10"/>
        <v>0.12598492404305672</v>
      </c>
      <c r="U25" s="1040">
        <f t="shared" si="11"/>
        <v>966849.25220673124</v>
      </c>
      <c r="V25" s="1038">
        <f>'3_Levels 1&amp;2'!H25</f>
        <v>239</v>
      </c>
      <c r="W25" s="1037">
        <f t="shared" si="12"/>
        <v>4045.3943606976204</v>
      </c>
      <c r="X25" s="1038">
        <f>'3_Levels 1&amp;2'!K25</f>
        <v>18</v>
      </c>
      <c r="Y25" s="1039">
        <f t="shared" si="13"/>
        <v>6.3256028808229316E-3</v>
      </c>
      <c r="Z25" s="1040">
        <f t="shared" si="14"/>
        <v>48544.732328371443</v>
      </c>
      <c r="AA25" s="1038">
        <f>'3_Levels 1&amp;2'!J25</f>
        <v>30</v>
      </c>
      <c r="AB25" s="1037">
        <f t="shared" si="15"/>
        <v>1618.1577442790481</v>
      </c>
      <c r="AC25" s="1038">
        <f>'3_Levels 1&amp;2'!N25</f>
        <v>279.83857</v>
      </c>
      <c r="AD25" s="1039">
        <f t="shared" si="16"/>
        <v>9.8341536919853881E-2</v>
      </c>
      <c r="AE25" s="1040">
        <f t="shared" si="17"/>
        <v>754704.91532245767</v>
      </c>
      <c r="AF25" s="1038">
        <f t="shared" si="18"/>
        <v>1861</v>
      </c>
      <c r="AG25" s="1037">
        <f t="shared" si="19"/>
        <v>405.53730001206753</v>
      </c>
      <c r="AH25" s="1041"/>
      <c r="AI25" s="1044">
        <f t="shared" si="20"/>
        <v>7674325</v>
      </c>
      <c r="AJ25" s="1043">
        <f t="shared" si="21"/>
        <v>0</v>
      </c>
      <c r="AK25" s="1044">
        <f t="shared" si="22"/>
        <v>7674325</v>
      </c>
      <c r="AL25" s="1043">
        <f t="shared" si="23"/>
        <v>0</v>
      </c>
    </row>
    <row r="26" spans="1:38" s="451" customFormat="1" ht="16.149999999999999" customHeight="1" x14ac:dyDescent="0.2">
      <c r="A26" s="1045">
        <v>20</v>
      </c>
      <c r="B26" s="1045" t="s">
        <v>24</v>
      </c>
      <c r="C26" s="1046">
        <f>'3_Levels 1&amp;2'!U26</f>
        <v>26174719</v>
      </c>
      <c r="D26" s="1047">
        <f>'3_Levels 1&amp;2'!P26</f>
        <v>8219.1118700000006</v>
      </c>
      <c r="E26" s="1048">
        <f>'3_Levels 1&amp;2'!C26</f>
        <v>5609</v>
      </c>
      <c r="F26" s="1049">
        <f t="shared" si="1"/>
        <v>0.68243383089516207</v>
      </c>
      <c r="G26" s="1050">
        <f t="shared" si="2"/>
        <v>17862513.759774387</v>
      </c>
      <c r="H26" s="1046">
        <f t="shared" si="3"/>
        <v>3184.6164663530731</v>
      </c>
      <c r="I26" s="1047">
        <f>'3_Levels 1&amp;2'!E26</f>
        <v>891</v>
      </c>
      <c r="J26" s="1049">
        <f t="shared" si="4"/>
        <v>0.10840587329784086</v>
      </c>
      <c r="K26" s="1050">
        <f t="shared" si="5"/>
        <v>2837493.2715205881</v>
      </c>
      <c r="L26" s="1047">
        <f>'3_Levels 1&amp;2'!D26</f>
        <v>4050</v>
      </c>
      <c r="M26" s="1046">
        <f t="shared" si="6"/>
        <v>700.61562259767607</v>
      </c>
      <c r="N26" s="1047">
        <f>'3_Levels 1&amp;2'!G26</f>
        <v>149.85</v>
      </c>
      <c r="O26" s="1049">
        <f t="shared" si="7"/>
        <v>1.823189687281869E-2</v>
      </c>
      <c r="P26" s="1050">
        <f t="shared" si="8"/>
        <v>477214.77748300793</v>
      </c>
      <c r="Q26" s="1047">
        <f>'3_Levels 1&amp;2'!F26</f>
        <v>2497.5</v>
      </c>
      <c r="R26" s="1046">
        <f t="shared" si="9"/>
        <v>191.07698798118435</v>
      </c>
      <c r="S26" s="1047">
        <f>'3_Levels 1&amp;2'!I26</f>
        <v>1209</v>
      </c>
      <c r="T26" s="1049">
        <f t="shared" si="10"/>
        <v>0.14709618497989854</v>
      </c>
      <c r="U26" s="1050">
        <f t="shared" si="11"/>
        <v>3850201.307820865</v>
      </c>
      <c r="V26" s="1047">
        <f>'3_Levels 1&amp;2'!H26</f>
        <v>806</v>
      </c>
      <c r="W26" s="1046">
        <f t="shared" si="12"/>
        <v>4776.9246995296089</v>
      </c>
      <c r="X26" s="1047">
        <f>'3_Levels 1&amp;2'!K26</f>
        <v>77.399999999999991</v>
      </c>
      <c r="Y26" s="1049">
        <f t="shared" si="13"/>
        <v>9.4170758622366801E-3</v>
      </c>
      <c r="Z26" s="1050">
        <f t="shared" si="14"/>
        <v>246489.3144957278</v>
      </c>
      <c r="AA26" s="1047">
        <f>'3_Levels 1&amp;2'!J26</f>
        <v>129</v>
      </c>
      <c r="AB26" s="1046">
        <f t="shared" si="15"/>
        <v>1910.7698798118433</v>
      </c>
      <c r="AC26" s="1047">
        <f>'3_Levels 1&amp;2'!N26</f>
        <v>282.86187000000001</v>
      </c>
      <c r="AD26" s="1049">
        <f t="shared" si="16"/>
        <v>3.4415138092043024E-2</v>
      </c>
      <c r="AE26" s="1050">
        <f t="shared" si="17"/>
        <v>900806.56890542223</v>
      </c>
      <c r="AF26" s="1048">
        <f t="shared" si="18"/>
        <v>5609</v>
      </c>
      <c r="AG26" s="1046">
        <f t="shared" si="19"/>
        <v>160.60020839818546</v>
      </c>
      <c r="AH26" s="1041"/>
      <c r="AI26" s="1051">
        <f t="shared" si="20"/>
        <v>26174719</v>
      </c>
      <c r="AJ26" s="1051">
        <f t="shared" si="21"/>
        <v>0</v>
      </c>
      <c r="AK26" s="1051">
        <f t="shared" si="22"/>
        <v>26174718.999999996</v>
      </c>
      <c r="AL26" s="1051">
        <f t="shared" si="23"/>
        <v>0</v>
      </c>
    </row>
    <row r="27" spans="1:38" s="450" customFormat="1" ht="16.149999999999999" customHeight="1" x14ac:dyDescent="0.2">
      <c r="A27" s="1036">
        <v>21</v>
      </c>
      <c r="B27" s="1036" t="s">
        <v>25</v>
      </c>
      <c r="C27" s="1037">
        <f>'3_Levels 1&amp;2'!U27</f>
        <v>15530562</v>
      </c>
      <c r="D27" s="1038">
        <f>'3_Levels 1&amp;2'!P27</f>
        <v>4743.8885200000004</v>
      </c>
      <c r="E27" s="1038">
        <f>'3_Levels 1&amp;2'!C27</f>
        <v>2956</v>
      </c>
      <c r="F27" s="1039">
        <f t="shared" si="1"/>
        <v>0.62311750951516875</v>
      </c>
      <c r="G27" s="1040">
        <f t="shared" si="2"/>
        <v>9677365.1148109175</v>
      </c>
      <c r="H27" s="1037">
        <f t="shared" si="3"/>
        <v>3273.8041660388762</v>
      </c>
      <c r="I27" s="1038">
        <f>'3_Levels 1&amp;2'!E27</f>
        <v>542.52</v>
      </c>
      <c r="J27" s="1039">
        <f t="shared" si="4"/>
        <v>0.11436187796419801</v>
      </c>
      <c r="K27" s="1040">
        <f t="shared" si="5"/>
        <v>1776104.236159411</v>
      </c>
      <c r="L27" s="1038">
        <f>'3_Levels 1&amp;2'!D27</f>
        <v>2466</v>
      </c>
      <c r="M27" s="1037">
        <f t="shared" si="6"/>
        <v>720.23691652855268</v>
      </c>
      <c r="N27" s="1038">
        <f>'3_Levels 1&amp;2'!G27</f>
        <v>69.09</v>
      </c>
      <c r="O27" s="1039">
        <f t="shared" si="7"/>
        <v>1.4564001600948244E-2</v>
      </c>
      <c r="P27" s="1040">
        <f t="shared" si="8"/>
        <v>226187.12983162596</v>
      </c>
      <c r="Q27" s="1038">
        <f>'3_Levels 1&amp;2'!F27</f>
        <v>1151.5</v>
      </c>
      <c r="R27" s="1037">
        <f t="shared" si="9"/>
        <v>196.42824996233259</v>
      </c>
      <c r="S27" s="1038">
        <f>'3_Levels 1&amp;2'!I27</f>
        <v>757.5</v>
      </c>
      <c r="T27" s="1039">
        <f t="shared" si="10"/>
        <v>0.15967913175160361</v>
      </c>
      <c r="U27" s="1040">
        <f t="shared" si="11"/>
        <v>2479906.6557744485</v>
      </c>
      <c r="V27" s="1038">
        <f>'3_Levels 1&amp;2'!H27</f>
        <v>505</v>
      </c>
      <c r="W27" s="1037">
        <f t="shared" si="12"/>
        <v>4910.7062490583139</v>
      </c>
      <c r="X27" s="1038">
        <f>'3_Levels 1&amp;2'!K27</f>
        <v>60.599999999999994</v>
      </c>
      <c r="Y27" s="1039">
        <f t="shared" si="13"/>
        <v>1.277433054012829E-2</v>
      </c>
      <c r="Z27" s="1040">
        <f t="shared" si="14"/>
        <v>198392.53246195588</v>
      </c>
      <c r="AA27" s="1038">
        <f>'3_Levels 1&amp;2'!J27</f>
        <v>101</v>
      </c>
      <c r="AB27" s="1037">
        <f t="shared" si="15"/>
        <v>1964.2824996233255</v>
      </c>
      <c r="AC27" s="1038">
        <f>'3_Levels 1&amp;2'!N27</f>
        <v>358.17851999999999</v>
      </c>
      <c r="AD27" s="1039">
        <f t="shared" si="16"/>
        <v>7.5503148627952987E-2</v>
      </c>
      <c r="AE27" s="1040">
        <f t="shared" si="17"/>
        <v>1172606.3309616388</v>
      </c>
      <c r="AF27" s="1038">
        <f t="shared" si="18"/>
        <v>2956</v>
      </c>
      <c r="AG27" s="1037">
        <f t="shared" si="19"/>
        <v>396.68685079893061</v>
      </c>
      <c r="AH27" s="1041"/>
      <c r="AI27" s="1044">
        <f t="shared" si="20"/>
        <v>15530561.999999998</v>
      </c>
      <c r="AJ27" s="1043">
        <f t="shared" si="21"/>
        <v>0</v>
      </c>
      <c r="AK27" s="1044">
        <f t="shared" si="22"/>
        <v>15530561.999999996</v>
      </c>
      <c r="AL27" s="1043">
        <f t="shared" si="23"/>
        <v>0</v>
      </c>
    </row>
    <row r="28" spans="1:38" s="450" customFormat="1" ht="16.149999999999999" customHeight="1" x14ac:dyDescent="0.2">
      <c r="A28" s="1036">
        <v>22</v>
      </c>
      <c r="B28" s="1036" t="s">
        <v>26</v>
      </c>
      <c r="C28" s="1037">
        <f>'3_Levels 1&amp;2'!U28</f>
        <v>16886421</v>
      </c>
      <c r="D28" s="1038">
        <f>'3_Levels 1&amp;2'!P28</f>
        <v>4708.0470500000001</v>
      </c>
      <c r="E28" s="1038">
        <f>'3_Levels 1&amp;2'!C28</f>
        <v>2915</v>
      </c>
      <c r="F28" s="1039">
        <f t="shared" si="1"/>
        <v>0.61915269092308667</v>
      </c>
      <c r="G28" s="1040">
        <f t="shared" si="2"/>
        <v>10455273.00221012</v>
      </c>
      <c r="H28" s="1037">
        <f t="shared" si="3"/>
        <v>3586.7145805180512</v>
      </c>
      <c r="I28" s="1038">
        <f>'3_Levels 1&amp;2'!E28</f>
        <v>459.8</v>
      </c>
      <c r="J28" s="1039">
        <f t="shared" si="4"/>
        <v>9.7662575398434051E-2</v>
      </c>
      <c r="K28" s="1040">
        <f t="shared" si="5"/>
        <v>1649171.3641222001</v>
      </c>
      <c r="L28" s="1038">
        <f>'3_Levels 1&amp;2'!D28</f>
        <v>2090</v>
      </c>
      <c r="M28" s="1037">
        <f t="shared" si="6"/>
        <v>789.07720771397135</v>
      </c>
      <c r="N28" s="1038">
        <f>'3_Levels 1&amp;2'!G28</f>
        <v>111.63</v>
      </c>
      <c r="O28" s="1039">
        <f t="shared" si="7"/>
        <v>2.3710468229071753E-2</v>
      </c>
      <c r="P28" s="1040">
        <f t="shared" si="8"/>
        <v>400384.94862323004</v>
      </c>
      <c r="Q28" s="1038">
        <f>'3_Levels 1&amp;2'!F28</f>
        <v>1860.5</v>
      </c>
      <c r="R28" s="1037">
        <f t="shared" si="9"/>
        <v>215.20287483108305</v>
      </c>
      <c r="S28" s="1038">
        <f>'3_Levels 1&amp;2'!I28</f>
        <v>855</v>
      </c>
      <c r="T28" s="1039">
        <f t="shared" si="10"/>
        <v>0.18160396251774927</v>
      </c>
      <c r="U28" s="1040">
        <f t="shared" si="11"/>
        <v>3066640.9663429339</v>
      </c>
      <c r="V28" s="1038">
        <f>'3_Levels 1&amp;2'!H28</f>
        <v>570</v>
      </c>
      <c r="W28" s="1037">
        <f t="shared" si="12"/>
        <v>5380.0718707770775</v>
      </c>
      <c r="X28" s="1038">
        <f>'3_Levels 1&amp;2'!K28</f>
        <v>10.199999999999999</v>
      </c>
      <c r="Y28" s="1039">
        <f t="shared" si="13"/>
        <v>2.1665034124924471E-3</v>
      </c>
      <c r="Z28" s="1040">
        <f t="shared" si="14"/>
        <v>36584.48872128412</v>
      </c>
      <c r="AA28" s="1038">
        <f>'3_Levels 1&amp;2'!J28</f>
        <v>17</v>
      </c>
      <c r="AB28" s="1037">
        <f t="shared" si="15"/>
        <v>2152.0287483108305</v>
      </c>
      <c r="AC28" s="1038">
        <f>'3_Levels 1&amp;2'!N28</f>
        <v>356.41705000000002</v>
      </c>
      <c r="AD28" s="1039">
        <f t="shared" si="16"/>
        <v>7.570379951916581E-2</v>
      </c>
      <c r="AE28" s="1040">
        <f t="shared" si="17"/>
        <v>1278366.2299802315</v>
      </c>
      <c r="AF28" s="1038">
        <f t="shared" si="18"/>
        <v>2915</v>
      </c>
      <c r="AG28" s="1037">
        <f t="shared" si="19"/>
        <v>438.54759175994218</v>
      </c>
      <c r="AH28" s="1041"/>
      <c r="AI28" s="1044">
        <f t="shared" si="20"/>
        <v>16886421</v>
      </c>
      <c r="AJ28" s="1043">
        <f t="shared" si="21"/>
        <v>0</v>
      </c>
      <c r="AK28" s="1044">
        <f t="shared" si="22"/>
        <v>16886421</v>
      </c>
      <c r="AL28" s="1043">
        <f t="shared" si="23"/>
        <v>0</v>
      </c>
    </row>
    <row r="29" spans="1:38" s="450" customFormat="1" ht="16.149999999999999" customHeight="1" x14ac:dyDescent="0.2">
      <c r="A29" s="1036">
        <v>23</v>
      </c>
      <c r="B29" s="1036" t="s">
        <v>27</v>
      </c>
      <c r="C29" s="1037">
        <f>'3_Levels 1&amp;2'!U29</f>
        <v>51501524</v>
      </c>
      <c r="D29" s="1038">
        <f>'3_Levels 1&amp;2'!P29</f>
        <v>17472.25</v>
      </c>
      <c r="E29" s="1038">
        <f>'3_Levels 1&amp;2'!C29</f>
        <v>12241</v>
      </c>
      <c r="F29" s="1039">
        <f t="shared" si="1"/>
        <v>0.70059666041866386</v>
      </c>
      <c r="G29" s="1040">
        <f t="shared" si="2"/>
        <v>36081795.720871665</v>
      </c>
      <c r="H29" s="1037">
        <f t="shared" si="3"/>
        <v>2947.6183090328946</v>
      </c>
      <c r="I29" s="1038">
        <f>'3_Levels 1&amp;2'!E29</f>
        <v>1981.98</v>
      </c>
      <c r="J29" s="1039">
        <f t="shared" si="4"/>
        <v>0.11343587689049779</v>
      </c>
      <c r="K29" s="1040">
        <f t="shared" si="5"/>
        <v>5842120.5361370174</v>
      </c>
      <c r="L29" s="1038">
        <f>'3_Levels 1&amp;2'!D29</f>
        <v>9009</v>
      </c>
      <c r="M29" s="1037">
        <f t="shared" si="6"/>
        <v>648.47602798723688</v>
      </c>
      <c r="N29" s="1038">
        <f>'3_Levels 1&amp;2'!G29</f>
        <v>411.87</v>
      </c>
      <c r="O29" s="1039">
        <f t="shared" si="7"/>
        <v>2.3572808310320652E-2</v>
      </c>
      <c r="P29" s="1040">
        <f t="shared" si="8"/>
        <v>1214035.5529413784</v>
      </c>
      <c r="Q29" s="1038">
        <f>'3_Levels 1&amp;2'!F29</f>
        <v>6864.5</v>
      </c>
      <c r="R29" s="1037">
        <f t="shared" si="9"/>
        <v>176.8570985419737</v>
      </c>
      <c r="S29" s="1038">
        <f>'3_Levels 1&amp;2'!I29</f>
        <v>2586</v>
      </c>
      <c r="T29" s="1039">
        <f t="shared" si="10"/>
        <v>0.14800612399662322</v>
      </c>
      <c r="U29" s="1040">
        <f t="shared" si="11"/>
        <v>7622540.9471590668</v>
      </c>
      <c r="V29" s="1038">
        <f>'3_Levels 1&amp;2'!H29</f>
        <v>1724</v>
      </c>
      <c r="W29" s="1037">
        <f t="shared" si="12"/>
        <v>4421.427463549343</v>
      </c>
      <c r="X29" s="1038">
        <f>'3_Levels 1&amp;2'!K29</f>
        <v>251.39999999999998</v>
      </c>
      <c r="Y29" s="1039">
        <f t="shared" si="13"/>
        <v>1.438853038389446E-2</v>
      </c>
      <c r="Z29" s="1040">
        <f t="shared" si="14"/>
        <v>741031.24289086973</v>
      </c>
      <c r="AA29" s="1038">
        <f>'3_Levels 1&amp;2'!J29</f>
        <v>419</v>
      </c>
      <c r="AB29" s="1037">
        <f t="shared" si="15"/>
        <v>1768.5709854197369</v>
      </c>
      <c r="AC29" s="1038">
        <f>'3_Levels 1&amp;2'!N29</f>
        <v>0</v>
      </c>
      <c r="AD29" s="1039">
        <f t="shared" si="16"/>
        <v>0</v>
      </c>
      <c r="AE29" s="1040">
        <f t="shared" si="17"/>
        <v>0</v>
      </c>
      <c r="AF29" s="1038">
        <f t="shared" si="18"/>
        <v>12241</v>
      </c>
      <c r="AG29" s="1037">
        <f t="shared" si="19"/>
        <v>0</v>
      </c>
      <c r="AH29" s="1041"/>
      <c r="AI29" s="1044">
        <f t="shared" si="20"/>
        <v>51501524</v>
      </c>
      <c r="AJ29" s="1043">
        <f t="shared" si="21"/>
        <v>0</v>
      </c>
      <c r="AK29" s="1044">
        <f t="shared" si="22"/>
        <v>51501524</v>
      </c>
      <c r="AL29" s="1043">
        <f t="shared" si="23"/>
        <v>0</v>
      </c>
    </row>
    <row r="30" spans="1:38" s="450" customFormat="1" ht="16.149999999999999" customHeight="1" x14ac:dyDescent="0.2">
      <c r="A30" s="1036">
        <v>24</v>
      </c>
      <c r="B30" s="1036" t="s">
        <v>28</v>
      </c>
      <c r="C30" s="1037">
        <f>'3_Levels 1&amp;2'!U30</f>
        <v>9182857</v>
      </c>
      <c r="D30" s="1038">
        <f>'3_Levels 1&amp;2'!P30</f>
        <v>6634.1141500000003</v>
      </c>
      <c r="E30" s="1038">
        <f>'3_Levels 1&amp;2'!C30</f>
        <v>4555</v>
      </c>
      <c r="F30" s="1039">
        <f t="shared" si="1"/>
        <v>0.68660259636925303</v>
      </c>
      <c r="G30" s="1040">
        <f t="shared" si="2"/>
        <v>6304973.4582875697</v>
      </c>
      <c r="H30" s="1037">
        <f t="shared" si="3"/>
        <v>1384.1873673518264</v>
      </c>
      <c r="I30" s="1038">
        <f>'3_Levels 1&amp;2'!E30</f>
        <v>765.82</v>
      </c>
      <c r="J30" s="1039">
        <f t="shared" si="4"/>
        <v>0.11543666308485211</v>
      </c>
      <c r="K30" s="1040">
        <f t="shared" si="5"/>
        <v>1060038.3696653757</v>
      </c>
      <c r="L30" s="1038">
        <f>'3_Levels 1&amp;2'!D30</f>
        <v>3481</v>
      </c>
      <c r="M30" s="1037">
        <f t="shared" si="6"/>
        <v>304.5212208174018</v>
      </c>
      <c r="N30" s="1038">
        <f>'3_Levels 1&amp;2'!G30</f>
        <v>108.69</v>
      </c>
      <c r="O30" s="1039">
        <f t="shared" si="7"/>
        <v>1.6383498616767092E-2</v>
      </c>
      <c r="P30" s="1040">
        <f t="shared" si="8"/>
        <v>150447.32495747</v>
      </c>
      <c r="Q30" s="1038">
        <f>'3_Levels 1&amp;2'!F30</f>
        <v>1811.5</v>
      </c>
      <c r="R30" s="1037">
        <f t="shared" si="9"/>
        <v>83.051242041109575</v>
      </c>
      <c r="S30" s="1038">
        <f>'3_Levels 1&amp;2'!I30</f>
        <v>739.5</v>
      </c>
      <c r="T30" s="1039">
        <f t="shared" si="10"/>
        <v>0.11146929089243965</v>
      </c>
      <c r="U30" s="1040">
        <f t="shared" si="11"/>
        <v>1023606.5581566757</v>
      </c>
      <c r="V30" s="1038">
        <f>'3_Levels 1&amp;2'!H30</f>
        <v>493</v>
      </c>
      <c r="W30" s="1037">
        <f t="shared" si="12"/>
        <v>2076.2810510277395</v>
      </c>
      <c r="X30" s="1038">
        <f>'3_Levels 1&amp;2'!K30</f>
        <v>107.39999999999999</v>
      </c>
      <c r="Y30" s="1039">
        <f t="shared" si="13"/>
        <v>1.6189049143810707E-2</v>
      </c>
      <c r="Z30" s="1040">
        <f t="shared" si="14"/>
        <v>148661.72325358615</v>
      </c>
      <c r="AA30" s="1038">
        <f>'3_Levels 1&amp;2'!J30</f>
        <v>179</v>
      </c>
      <c r="AB30" s="1037">
        <f t="shared" si="15"/>
        <v>830.51242041109583</v>
      </c>
      <c r="AC30" s="1038">
        <f>'3_Levels 1&amp;2'!N30</f>
        <v>357.70415000000003</v>
      </c>
      <c r="AD30" s="1039">
        <f t="shared" si="16"/>
        <v>5.3918901892877437E-2</v>
      </c>
      <c r="AE30" s="1040">
        <f t="shared" si="17"/>
        <v>495129.56567932281</v>
      </c>
      <c r="AF30" s="1038">
        <f t="shared" si="18"/>
        <v>4555</v>
      </c>
      <c r="AG30" s="1037">
        <f t="shared" si="19"/>
        <v>108.70023395813892</v>
      </c>
      <c r="AH30" s="1041"/>
      <c r="AI30" s="1044">
        <f t="shared" si="20"/>
        <v>9182857</v>
      </c>
      <c r="AJ30" s="1043">
        <f t="shared" si="21"/>
        <v>0</v>
      </c>
      <c r="AK30" s="1044">
        <f t="shared" si="22"/>
        <v>9182857</v>
      </c>
      <c r="AL30" s="1043">
        <f t="shared" si="23"/>
        <v>0</v>
      </c>
    </row>
    <row r="31" spans="1:38" s="451" customFormat="1" ht="16.149999999999999" customHeight="1" x14ac:dyDescent="0.2">
      <c r="A31" s="1045">
        <v>25</v>
      </c>
      <c r="B31" s="1045" t="s">
        <v>29</v>
      </c>
      <c r="C31" s="1046">
        <f>'3_Levels 1&amp;2'!U31</f>
        <v>8708423</v>
      </c>
      <c r="D31" s="1047">
        <f>'3_Levels 1&amp;2'!P31</f>
        <v>3384.2561699999997</v>
      </c>
      <c r="E31" s="1048">
        <f>'3_Levels 1&amp;2'!C31</f>
        <v>2243</v>
      </c>
      <c r="F31" s="1049">
        <f t="shared" si="1"/>
        <v>0.66277488680769703</v>
      </c>
      <c r="G31" s="1050">
        <f t="shared" si="2"/>
        <v>5771724.0680985451</v>
      </c>
      <c r="H31" s="1046">
        <f t="shared" si="3"/>
        <v>2573.2162586261902</v>
      </c>
      <c r="I31" s="1047">
        <f>'3_Levels 1&amp;2'!E31</f>
        <v>356.62</v>
      </c>
      <c r="J31" s="1049">
        <f t="shared" si="4"/>
        <v>0.10537618374202448</v>
      </c>
      <c r="K31" s="1050">
        <f t="shared" si="5"/>
        <v>917660.38215127203</v>
      </c>
      <c r="L31" s="1047">
        <f>'3_Levels 1&amp;2'!D31</f>
        <v>1621</v>
      </c>
      <c r="M31" s="1046">
        <f t="shared" si="6"/>
        <v>566.10757689776187</v>
      </c>
      <c r="N31" s="1047">
        <f>'3_Levels 1&amp;2'!G31</f>
        <v>93.69</v>
      </c>
      <c r="O31" s="1049">
        <f t="shared" si="7"/>
        <v>2.7684074518507861E-2</v>
      </c>
      <c r="P31" s="1050">
        <f t="shared" si="8"/>
        <v>241084.63127068779</v>
      </c>
      <c r="Q31" s="1047">
        <f>'3_Levels 1&amp;2'!F31</f>
        <v>1561.5</v>
      </c>
      <c r="R31" s="1046">
        <f t="shared" si="9"/>
        <v>154.39297551757144</v>
      </c>
      <c r="S31" s="1047">
        <f>'3_Levels 1&amp;2'!I31</f>
        <v>325.5</v>
      </c>
      <c r="T31" s="1049">
        <f t="shared" si="10"/>
        <v>9.6180662352164686E-2</v>
      </c>
      <c r="U31" s="1050">
        <f t="shared" si="11"/>
        <v>837581.89218282502</v>
      </c>
      <c r="V31" s="1047">
        <f>'3_Levels 1&amp;2'!H31</f>
        <v>217</v>
      </c>
      <c r="W31" s="1046">
        <f t="shared" si="12"/>
        <v>3859.8243879392858</v>
      </c>
      <c r="X31" s="1047">
        <f>'3_Levels 1&amp;2'!K31</f>
        <v>51</v>
      </c>
      <c r="Y31" s="1049">
        <f t="shared" si="13"/>
        <v>1.506978119803502E-2</v>
      </c>
      <c r="Z31" s="1050">
        <f t="shared" si="14"/>
        <v>131234.02918993571</v>
      </c>
      <c r="AA31" s="1047">
        <f>'3_Levels 1&amp;2'!J31</f>
        <v>85</v>
      </c>
      <c r="AB31" s="1046">
        <f t="shared" si="15"/>
        <v>1543.9297551757143</v>
      </c>
      <c r="AC31" s="1047">
        <f>'3_Levels 1&amp;2'!N31</f>
        <v>314.44617</v>
      </c>
      <c r="AD31" s="1049">
        <f t="shared" si="16"/>
        <v>9.2914411381571041E-2</v>
      </c>
      <c r="AE31" s="1050">
        <f t="shared" si="17"/>
        <v>809137.99710673501</v>
      </c>
      <c r="AF31" s="1048">
        <f t="shared" si="18"/>
        <v>2243</v>
      </c>
      <c r="AG31" s="1046">
        <f t="shared" si="19"/>
        <v>360.7391872968056</v>
      </c>
      <c r="AH31" s="1041"/>
      <c r="AI31" s="1051">
        <f t="shared" si="20"/>
        <v>8708423</v>
      </c>
      <c r="AJ31" s="1051">
        <f t="shared" si="21"/>
        <v>0</v>
      </c>
      <c r="AK31" s="1051">
        <f t="shared" si="22"/>
        <v>8708423.0000000019</v>
      </c>
      <c r="AL31" s="1051">
        <f t="shared" si="23"/>
        <v>0</v>
      </c>
    </row>
    <row r="32" spans="1:38" s="450" customFormat="1" ht="16.149999999999999" customHeight="1" x14ac:dyDescent="0.2">
      <c r="A32" s="1036">
        <v>26</v>
      </c>
      <c r="B32" s="1036" t="s">
        <v>30</v>
      </c>
      <c r="C32" s="1037">
        <f>'3_Levels 1&amp;2'!U32</f>
        <v>156017608</v>
      </c>
      <c r="D32" s="1038">
        <f>'3_Levels 1&amp;2'!P32</f>
        <v>71033.429999999993</v>
      </c>
      <c r="E32" s="1038">
        <f>'3_Levels 1&amp;2'!C32</f>
        <v>49561</v>
      </c>
      <c r="F32" s="1039">
        <f t="shared" si="1"/>
        <v>0.69771373844681306</v>
      </c>
      <c r="G32" s="1040">
        <f t="shared" si="2"/>
        <v>108855628.54120941</v>
      </c>
      <c r="H32" s="1037">
        <f t="shared" si="3"/>
        <v>2196.3969359215798</v>
      </c>
      <c r="I32" s="1038">
        <f>'3_Levels 1&amp;2'!E32</f>
        <v>8944.76</v>
      </c>
      <c r="J32" s="1039">
        <f t="shared" si="4"/>
        <v>0.12592324487216794</v>
      </c>
      <c r="K32" s="1040">
        <f t="shared" si="5"/>
        <v>19646243.456553906</v>
      </c>
      <c r="L32" s="1038">
        <f>'3_Levels 1&amp;2'!D32</f>
        <v>40658</v>
      </c>
      <c r="M32" s="1037">
        <f t="shared" si="6"/>
        <v>483.20732590274747</v>
      </c>
      <c r="N32" s="1038">
        <f>'3_Levels 1&amp;2'!G32</f>
        <v>972.87</v>
      </c>
      <c r="O32" s="1039">
        <f t="shared" si="7"/>
        <v>1.3695945697680657E-2</v>
      </c>
      <c r="P32" s="1040">
        <f t="shared" si="8"/>
        <v>2136808.6870500273</v>
      </c>
      <c r="Q32" s="1038">
        <f>'3_Levels 1&amp;2'!F32</f>
        <v>16214.5</v>
      </c>
      <c r="R32" s="1037">
        <f t="shared" si="9"/>
        <v>131.78381615529477</v>
      </c>
      <c r="S32" s="1038">
        <f>'3_Levels 1&amp;2'!I32</f>
        <v>9756</v>
      </c>
      <c r="T32" s="1039">
        <f t="shared" si="10"/>
        <v>0.13734378306101791</v>
      </c>
      <c r="U32" s="1040">
        <f t="shared" si="11"/>
        <v>21428048.506850932</v>
      </c>
      <c r="V32" s="1038">
        <f>'3_Levels 1&amp;2'!H32</f>
        <v>6504</v>
      </c>
      <c r="W32" s="1037">
        <f t="shared" si="12"/>
        <v>3294.5954038823697</v>
      </c>
      <c r="X32" s="1038">
        <f>'3_Levels 1&amp;2'!K32</f>
        <v>1798.8</v>
      </c>
      <c r="Y32" s="1039">
        <f t="shared" si="13"/>
        <v>2.5323287922320522E-2</v>
      </c>
      <c r="Z32" s="1040">
        <f t="shared" si="14"/>
        <v>3950878.8083357378</v>
      </c>
      <c r="AA32" s="1038">
        <f>'3_Levels 1&amp;2'!J32</f>
        <v>2998</v>
      </c>
      <c r="AB32" s="1037">
        <f t="shared" si="15"/>
        <v>1317.8381615529479</v>
      </c>
      <c r="AC32" s="1038">
        <f>'3_Levels 1&amp;2'!N32</f>
        <v>0</v>
      </c>
      <c r="AD32" s="1039">
        <f t="shared" si="16"/>
        <v>0</v>
      </c>
      <c r="AE32" s="1040">
        <f t="shared" si="17"/>
        <v>0</v>
      </c>
      <c r="AF32" s="1038">
        <f t="shared" si="18"/>
        <v>49561</v>
      </c>
      <c r="AG32" s="1037">
        <f t="shared" si="19"/>
        <v>0</v>
      </c>
      <c r="AH32" s="1041"/>
      <c r="AI32" s="1044">
        <f t="shared" si="20"/>
        <v>156017608</v>
      </c>
      <c r="AJ32" s="1043">
        <f t="shared" si="21"/>
        <v>0</v>
      </c>
      <c r="AK32" s="1044">
        <f t="shared" si="22"/>
        <v>156017608.00000003</v>
      </c>
      <c r="AL32" s="1043">
        <f t="shared" si="23"/>
        <v>0</v>
      </c>
    </row>
    <row r="33" spans="1:38" s="450" customFormat="1" ht="16.149999999999999" customHeight="1" x14ac:dyDescent="0.2">
      <c r="A33" s="1036">
        <v>27</v>
      </c>
      <c r="B33" s="1036" t="s">
        <v>31</v>
      </c>
      <c r="C33" s="1037">
        <f>'3_Levels 1&amp;2'!U33</f>
        <v>25281968</v>
      </c>
      <c r="D33" s="1038">
        <f>'3_Levels 1&amp;2'!P33</f>
        <v>8051.2008999999998</v>
      </c>
      <c r="E33" s="1038">
        <f>'3_Levels 1&amp;2'!C33</f>
        <v>5530</v>
      </c>
      <c r="F33" s="1039">
        <f t="shared" si="1"/>
        <v>0.68685405676561861</v>
      </c>
      <c r="G33" s="1040">
        <f t="shared" si="2"/>
        <v>17365022.283818554</v>
      </c>
      <c r="H33" s="1037">
        <f t="shared" si="3"/>
        <v>3140.1486950847293</v>
      </c>
      <c r="I33" s="1038">
        <f>'3_Levels 1&amp;2'!E33</f>
        <v>767.58</v>
      </c>
      <c r="J33" s="1039">
        <f t="shared" si="4"/>
        <v>9.5337330360244776E-2</v>
      </c>
      <c r="K33" s="1040">
        <f t="shared" si="5"/>
        <v>2410315.3353731367</v>
      </c>
      <c r="L33" s="1038">
        <f>'3_Levels 1&amp;2'!D33</f>
        <v>3489</v>
      </c>
      <c r="M33" s="1037">
        <f t="shared" si="6"/>
        <v>690.83271291864048</v>
      </c>
      <c r="N33" s="1038">
        <f>'3_Levels 1&amp;2'!G33</f>
        <v>202.53</v>
      </c>
      <c r="O33" s="1039">
        <f t="shared" si="7"/>
        <v>2.5155253547331058E-2</v>
      </c>
      <c r="P33" s="1040">
        <f t="shared" si="8"/>
        <v>635974.31521551032</v>
      </c>
      <c r="Q33" s="1038">
        <f>'3_Levels 1&amp;2'!F33</f>
        <v>3375.5</v>
      </c>
      <c r="R33" s="1037">
        <f t="shared" si="9"/>
        <v>188.4089217050838</v>
      </c>
      <c r="S33" s="1038">
        <f>'3_Levels 1&amp;2'!I33</f>
        <v>1176</v>
      </c>
      <c r="T33" s="1039">
        <f t="shared" si="10"/>
        <v>0.14606516650205562</v>
      </c>
      <c r="U33" s="1040">
        <f t="shared" si="11"/>
        <v>3692814.8654196421</v>
      </c>
      <c r="V33" s="1038">
        <f>'3_Levels 1&amp;2'!H33</f>
        <v>784</v>
      </c>
      <c r="W33" s="1037">
        <f t="shared" si="12"/>
        <v>4710.2230426270944</v>
      </c>
      <c r="X33" s="1038">
        <f>'3_Levels 1&amp;2'!K33</f>
        <v>84.6</v>
      </c>
      <c r="Y33" s="1039">
        <f t="shared" si="13"/>
        <v>1.0507749222851959E-2</v>
      </c>
      <c r="Z33" s="1040">
        <f t="shared" si="14"/>
        <v>265656.57960416813</v>
      </c>
      <c r="AA33" s="1038">
        <f>'3_Levels 1&amp;2'!J33</f>
        <v>141</v>
      </c>
      <c r="AB33" s="1037">
        <f t="shared" si="15"/>
        <v>1884.0892170508378</v>
      </c>
      <c r="AC33" s="1038">
        <f>'3_Levels 1&amp;2'!N33</f>
        <v>290.49090000000001</v>
      </c>
      <c r="AD33" s="1039">
        <f t="shared" si="16"/>
        <v>3.6080443601897952E-2</v>
      </c>
      <c r="AE33" s="1040">
        <f t="shared" si="17"/>
        <v>912184.62056898873</v>
      </c>
      <c r="AF33" s="1038">
        <f t="shared" si="18"/>
        <v>5530</v>
      </c>
      <c r="AG33" s="1037">
        <f t="shared" si="19"/>
        <v>164.95201095280086</v>
      </c>
      <c r="AH33" s="1041"/>
      <c r="AI33" s="1044">
        <f t="shared" si="20"/>
        <v>25281968</v>
      </c>
      <c r="AJ33" s="1043">
        <f t="shared" si="21"/>
        <v>0</v>
      </c>
      <c r="AK33" s="1044">
        <f t="shared" si="22"/>
        <v>25281967.999999996</v>
      </c>
      <c r="AL33" s="1043">
        <f t="shared" si="23"/>
        <v>0</v>
      </c>
    </row>
    <row r="34" spans="1:38" s="450" customFormat="1" ht="16.149999999999999" customHeight="1" x14ac:dyDescent="0.2">
      <c r="A34" s="1036">
        <v>28</v>
      </c>
      <c r="B34" s="1036" t="s">
        <v>32</v>
      </c>
      <c r="C34" s="1037">
        <f>'3_Levels 1&amp;2'!U34</f>
        <v>96417094</v>
      </c>
      <c r="D34" s="1038">
        <f>'3_Levels 1&amp;2'!P34</f>
        <v>43649.88</v>
      </c>
      <c r="E34" s="1038">
        <f>'3_Levels 1&amp;2'!C34</f>
        <v>32587</v>
      </c>
      <c r="F34" s="1039">
        <f t="shared" si="1"/>
        <v>0.74655417151204084</v>
      </c>
      <c r="G34" s="1040">
        <f t="shared" si="2"/>
        <v>71980583.730768561</v>
      </c>
      <c r="H34" s="1037">
        <f t="shared" si="3"/>
        <v>2208.8742053815499</v>
      </c>
      <c r="I34" s="1038">
        <f>'3_Levels 1&amp;2'!E34</f>
        <v>4563.68</v>
      </c>
      <c r="J34" s="1039">
        <f t="shared" si="4"/>
        <v>0.10455194836732656</v>
      </c>
      <c r="K34" s="1040">
        <f t="shared" si="5"/>
        <v>10080595.033615671</v>
      </c>
      <c r="L34" s="1038">
        <f>'3_Levels 1&amp;2'!D34</f>
        <v>20744</v>
      </c>
      <c r="M34" s="1037">
        <f t="shared" si="6"/>
        <v>485.95232518394096</v>
      </c>
      <c r="N34" s="1038">
        <f>'3_Levels 1&amp;2'!G34</f>
        <v>768.3</v>
      </c>
      <c r="O34" s="1039">
        <f t="shared" si="7"/>
        <v>1.7601422959238375E-2</v>
      </c>
      <c r="P34" s="1040">
        <f t="shared" si="8"/>
        <v>1697078.0519946446</v>
      </c>
      <c r="Q34" s="1038">
        <f>'3_Levels 1&amp;2'!F34</f>
        <v>12805</v>
      </c>
      <c r="R34" s="1037">
        <f t="shared" si="9"/>
        <v>132.53245232289296</v>
      </c>
      <c r="S34" s="1038">
        <f>'3_Levels 1&amp;2'!I34</f>
        <v>4849.5</v>
      </c>
      <c r="T34" s="1039">
        <f t="shared" si="10"/>
        <v>0.11109996178683654</v>
      </c>
      <c r="U34" s="1040">
        <f t="shared" si="11"/>
        <v>10711935.458997827</v>
      </c>
      <c r="V34" s="1038">
        <f>'3_Levels 1&amp;2'!H34</f>
        <v>3233</v>
      </c>
      <c r="W34" s="1037">
        <f t="shared" si="12"/>
        <v>3313.3113080723251</v>
      </c>
      <c r="X34" s="1038">
        <f>'3_Levels 1&amp;2'!K34</f>
        <v>881.4</v>
      </c>
      <c r="Y34" s="1039">
        <f t="shared" si="13"/>
        <v>2.019249537455773E-2</v>
      </c>
      <c r="Z34" s="1040">
        <f t="shared" si="14"/>
        <v>1946901.7246232978</v>
      </c>
      <c r="AA34" s="1038">
        <f>'3_Levels 1&amp;2'!J34</f>
        <v>1469</v>
      </c>
      <c r="AB34" s="1037">
        <f t="shared" si="15"/>
        <v>1325.3245232289298</v>
      </c>
      <c r="AC34" s="1038">
        <f>'3_Levels 1&amp;2'!N34</f>
        <v>0</v>
      </c>
      <c r="AD34" s="1039">
        <f t="shared" si="16"/>
        <v>0</v>
      </c>
      <c r="AE34" s="1040">
        <f t="shared" si="17"/>
        <v>0</v>
      </c>
      <c r="AF34" s="1038">
        <f t="shared" si="18"/>
        <v>32587</v>
      </c>
      <c r="AG34" s="1037">
        <f t="shared" si="19"/>
        <v>0</v>
      </c>
      <c r="AH34" s="1041"/>
      <c r="AI34" s="1044">
        <f t="shared" si="20"/>
        <v>96417094</v>
      </c>
      <c r="AJ34" s="1043">
        <f t="shared" si="21"/>
        <v>0</v>
      </c>
      <c r="AK34" s="1044">
        <f t="shared" si="22"/>
        <v>96417094.000000015</v>
      </c>
      <c r="AL34" s="1043">
        <f t="shared" si="23"/>
        <v>0</v>
      </c>
    </row>
    <row r="35" spans="1:38" s="450" customFormat="1" ht="16.149999999999999" customHeight="1" x14ac:dyDescent="0.2">
      <c r="A35" s="1036">
        <v>29</v>
      </c>
      <c r="B35" s="1036" t="s">
        <v>33</v>
      </c>
      <c r="C35" s="1037">
        <f>'3_Levels 1&amp;2'!U35</f>
        <v>48887343</v>
      </c>
      <c r="D35" s="1038">
        <f>'3_Levels 1&amp;2'!P35</f>
        <v>18651.939999999999</v>
      </c>
      <c r="E35" s="1038">
        <f>'3_Levels 1&amp;2'!C35</f>
        <v>13944</v>
      </c>
      <c r="F35" s="1039">
        <f t="shared" si="1"/>
        <v>0.74758979494894373</v>
      </c>
      <c r="G35" s="1040">
        <f t="shared" si="2"/>
        <v>36547678.72896868</v>
      </c>
      <c r="H35" s="1037">
        <f t="shared" si="3"/>
        <v>2621.0326110849596</v>
      </c>
      <c r="I35" s="1038">
        <f>'3_Levels 1&amp;2'!E35</f>
        <v>2063.38</v>
      </c>
      <c r="J35" s="1039">
        <f t="shared" si="4"/>
        <v>0.11062548989542108</v>
      </c>
      <c r="K35" s="1040">
        <f t="shared" si="5"/>
        <v>5408186.2690604841</v>
      </c>
      <c r="L35" s="1038">
        <f>'3_Levels 1&amp;2'!D35</f>
        <v>9379</v>
      </c>
      <c r="M35" s="1037">
        <f t="shared" si="6"/>
        <v>576.6271744386911</v>
      </c>
      <c r="N35" s="1038">
        <f>'3_Levels 1&amp;2'!G35</f>
        <v>525.66</v>
      </c>
      <c r="O35" s="1039">
        <f t="shared" si="7"/>
        <v>2.8182591194267193E-2</v>
      </c>
      <c r="P35" s="1040">
        <f t="shared" si="8"/>
        <v>1377772.0023429198</v>
      </c>
      <c r="Q35" s="1038">
        <f>'3_Levels 1&amp;2'!F35</f>
        <v>8761</v>
      </c>
      <c r="R35" s="1037">
        <f t="shared" si="9"/>
        <v>157.26195666509756</v>
      </c>
      <c r="S35" s="1038">
        <f>'3_Levels 1&amp;2'!I35</f>
        <v>1960.5</v>
      </c>
      <c r="T35" s="1039">
        <f t="shared" si="10"/>
        <v>0.10510970976745583</v>
      </c>
      <c r="U35" s="1040">
        <f t="shared" si="11"/>
        <v>5138534.434032063</v>
      </c>
      <c r="V35" s="1038">
        <f>'3_Levels 1&amp;2'!H35</f>
        <v>1307</v>
      </c>
      <c r="W35" s="1037">
        <f t="shared" si="12"/>
        <v>3931.5489166274392</v>
      </c>
      <c r="X35" s="1038">
        <f>'3_Levels 1&amp;2'!K35</f>
        <v>158.4</v>
      </c>
      <c r="Y35" s="1039">
        <f t="shared" si="13"/>
        <v>8.4924141939122701E-3</v>
      </c>
      <c r="Z35" s="1040">
        <f t="shared" si="14"/>
        <v>415171.56559585768</v>
      </c>
      <c r="AA35" s="1038">
        <f>'3_Levels 1&amp;2'!J35</f>
        <v>264</v>
      </c>
      <c r="AB35" s="1037">
        <f t="shared" si="15"/>
        <v>1572.6195666509761</v>
      </c>
      <c r="AC35" s="1038">
        <f>'3_Levels 1&amp;2'!N35</f>
        <v>0</v>
      </c>
      <c r="AD35" s="1039">
        <f t="shared" si="16"/>
        <v>0</v>
      </c>
      <c r="AE35" s="1040">
        <f t="shared" si="17"/>
        <v>0</v>
      </c>
      <c r="AF35" s="1038">
        <f t="shared" si="18"/>
        <v>13944</v>
      </c>
      <c r="AG35" s="1037">
        <f t="shared" si="19"/>
        <v>0</v>
      </c>
      <c r="AH35" s="1041"/>
      <c r="AI35" s="1044">
        <f t="shared" si="20"/>
        <v>48887343</v>
      </c>
      <c r="AJ35" s="1043">
        <f t="shared" si="21"/>
        <v>0</v>
      </c>
      <c r="AK35" s="1044">
        <f t="shared" si="22"/>
        <v>48887343</v>
      </c>
      <c r="AL35" s="1043">
        <f t="shared" si="23"/>
        <v>0</v>
      </c>
    </row>
    <row r="36" spans="1:38" s="451" customFormat="1" ht="16.149999999999999" customHeight="1" x14ac:dyDescent="0.2">
      <c r="A36" s="1045">
        <v>30</v>
      </c>
      <c r="B36" s="1045" t="s">
        <v>34</v>
      </c>
      <c r="C36" s="1046">
        <f>'3_Levels 1&amp;2'!U36</f>
        <v>11543930</v>
      </c>
      <c r="D36" s="1047">
        <f>'3_Levels 1&amp;2'!P36</f>
        <v>3625.8141500000002</v>
      </c>
      <c r="E36" s="1048">
        <f>'3_Levels 1&amp;2'!C36</f>
        <v>2477</v>
      </c>
      <c r="F36" s="1049">
        <f t="shared" si="1"/>
        <v>0.68315691249646648</v>
      </c>
      <c r="G36" s="1050">
        <f t="shared" si="2"/>
        <v>7886315.5768753346</v>
      </c>
      <c r="H36" s="1046">
        <f t="shared" si="3"/>
        <v>3183.8173503735707</v>
      </c>
      <c r="I36" s="1047">
        <f>'3_Levels 1&amp;2'!E36</f>
        <v>318.12</v>
      </c>
      <c r="J36" s="1049">
        <f t="shared" si="4"/>
        <v>8.7737536133781158E-2</v>
      </c>
      <c r="K36" s="1050">
        <f t="shared" si="5"/>
        <v>1012835.9755008403</v>
      </c>
      <c r="L36" s="1047">
        <f>'3_Levels 1&amp;2'!D36</f>
        <v>1446</v>
      </c>
      <c r="M36" s="1046">
        <f t="shared" si="6"/>
        <v>700.43981708218553</v>
      </c>
      <c r="N36" s="1047">
        <f>'3_Levels 1&amp;2'!G36</f>
        <v>55.5</v>
      </c>
      <c r="O36" s="1049">
        <f t="shared" si="7"/>
        <v>1.5306907001838468E-2</v>
      </c>
      <c r="P36" s="1050">
        <f t="shared" si="8"/>
        <v>176701.86294573316</v>
      </c>
      <c r="Q36" s="1047">
        <f>'3_Levels 1&amp;2'!F36</f>
        <v>925</v>
      </c>
      <c r="R36" s="1046">
        <f t="shared" si="9"/>
        <v>191.02904102241422</v>
      </c>
      <c r="S36" s="1047">
        <f>'3_Levels 1&amp;2'!I36</f>
        <v>420</v>
      </c>
      <c r="T36" s="1049">
        <f t="shared" si="10"/>
        <v>0.11583605298688571</v>
      </c>
      <c r="U36" s="1050">
        <f t="shared" si="11"/>
        <v>1337203.2871568995</v>
      </c>
      <c r="V36" s="1047">
        <f>'3_Levels 1&amp;2'!H36</f>
        <v>280</v>
      </c>
      <c r="W36" s="1046">
        <f t="shared" si="12"/>
        <v>4775.7260255603551</v>
      </c>
      <c r="X36" s="1047">
        <f>'3_Levels 1&amp;2'!K36</f>
        <v>23.4</v>
      </c>
      <c r="Y36" s="1049">
        <f t="shared" si="13"/>
        <v>6.453722952126489E-3</v>
      </c>
      <c r="Z36" s="1050">
        <f t="shared" si="14"/>
        <v>74501.325998741537</v>
      </c>
      <c r="AA36" s="1047">
        <f>'3_Levels 1&amp;2'!J36</f>
        <v>39</v>
      </c>
      <c r="AB36" s="1046">
        <f t="shared" si="15"/>
        <v>1910.2904102241421</v>
      </c>
      <c r="AC36" s="1047">
        <f>'3_Levels 1&amp;2'!N36</f>
        <v>331.79415000000006</v>
      </c>
      <c r="AD36" s="1049">
        <f t="shared" si="16"/>
        <v>9.1508868428901699E-2</v>
      </c>
      <c r="AE36" s="1050">
        <f t="shared" si="17"/>
        <v>1056371.9715224511</v>
      </c>
      <c r="AF36" s="1048">
        <f t="shared" si="18"/>
        <v>2477</v>
      </c>
      <c r="AG36" s="1046">
        <f t="shared" si="19"/>
        <v>426.47233408253982</v>
      </c>
      <c r="AH36" s="1041"/>
      <c r="AI36" s="1051">
        <f t="shared" si="20"/>
        <v>11543930</v>
      </c>
      <c r="AJ36" s="1051">
        <f t="shared" si="21"/>
        <v>0</v>
      </c>
      <c r="AK36" s="1051">
        <f t="shared" si="22"/>
        <v>11543930</v>
      </c>
      <c r="AL36" s="1051">
        <f t="shared" si="23"/>
        <v>0</v>
      </c>
    </row>
    <row r="37" spans="1:38" s="450" customFormat="1" ht="16.149999999999999" customHeight="1" x14ac:dyDescent="0.2">
      <c r="A37" s="1036">
        <v>31</v>
      </c>
      <c r="B37" s="1036" t="s">
        <v>35</v>
      </c>
      <c r="C37" s="1037">
        <f>'3_Levels 1&amp;2'!U37</f>
        <v>22338657</v>
      </c>
      <c r="D37" s="1038">
        <f>'3_Levels 1&amp;2'!P37</f>
        <v>9194.0959999999995</v>
      </c>
      <c r="E37" s="1038">
        <f>'3_Levels 1&amp;2'!C37</f>
        <v>6195</v>
      </c>
      <c r="F37" s="1039">
        <f t="shared" si="1"/>
        <v>0.67380197030790201</v>
      </c>
      <c r="G37" s="1040">
        <f t="shared" si="2"/>
        <v>15051831.100632407</v>
      </c>
      <c r="H37" s="1037">
        <f t="shared" si="3"/>
        <v>2429.6741082538188</v>
      </c>
      <c r="I37" s="1038">
        <f>'3_Levels 1&amp;2'!E37</f>
        <v>869</v>
      </c>
      <c r="J37" s="1039">
        <f t="shared" si="4"/>
        <v>9.4517177110180275E-2</v>
      </c>
      <c r="K37" s="1040">
        <f t="shared" si="5"/>
        <v>2111386.8000725685</v>
      </c>
      <c r="L37" s="1038">
        <f>'3_Levels 1&amp;2'!D37</f>
        <v>3950</v>
      </c>
      <c r="M37" s="1037">
        <f t="shared" si="6"/>
        <v>534.5283038158401</v>
      </c>
      <c r="N37" s="1038">
        <f>'3_Levels 1&amp;2'!G37</f>
        <v>192.20999999999998</v>
      </c>
      <c r="O37" s="1039">
        <f t="shared" si="7"/>
        <v>2.090580737899626E-2</v>
      </c>
      <c r="P37" s="1040">
        <f t="shared" si="8"/>
        <v>467007.66034746647</v>
      </c>
      <c r="Q37" s="1038">
        <f>'3_Levels 1&amp;2'!F37</f>
        <v>3203.5</v>
      </c>
      <c r="R37" s="1037">
        <f t="shared" si="9"/>
        <v>145.78044649522911</v>
      </c>
      <c r="S37" s="1038">
        <f>'3_Levels 1&amp;2'!I37</f>
        <v>1561.5</v>
      </c>
      <c r="T37" s="1039">
        <f t="shared" si="10"/>
        <v>0.1698372520800305</v>
      </c>
      <c r="U37" s="1040">
        <f t="shared" si="11"/>
        <v>3793936.120038338</v>
      </c>
      <c r="V37" s="1038">
        <f>'3_Levels 1&amp;2'!H37</f>
        <v>1041</v>
      </c>
      <c r="W37" s="1037">
        <f t="shared" si="12"/>
        <v>3644.5111623807284</v>
      </c>
      <c r="X37" s="1038">
        <f>'3_Levels 1&amp;2'!K37</f>
        <v>160.79999999999998</v>
      </c>
      <c r="Y37" s="1039">
        <f t="shared" si="13"/>
        <v>1.7489484556176049E-2</v>
      </c>
      <c r="Z37" s="1040">
        <f t="shared" si="14"/>
        <v>390691.59660721401</v>
      </c>
      <c r="AA37" s="1038">
        <f>'3_Levels 1&amp;2'!J37</f>
        <v>268</v>
      </c>
      <c r="AB37" s="1037">
        <f t="shared" si="15"/>
        <v>1457.804464952291</v>
      </c>
      <c r="AC37" s="1038">
        <f>'3_Levels 1&amp;2'!N37</f>
        <v>215.58599999999998</v>
      </c>
      <c r="AD37" s="1039">
        <f t="shared" si="16"/>
        <v>2.3448308566714988E-2</v>
      </c>
      <c r="AE37" s="1040">
        <f t="shared" si="17"/>
        <v>523803.72230200772</v>
      </c>
      <c r="AF37" s="1038">
        <f t="shared" si="18"/>
        <v>6195</v>
      </c>
      <c r="AG37" s="1037">
        <f t="shared" si="19"/>
        <v>84.552658967232887</v>
      </c>
      <c r="AH37" s="1041"/>
      <c r="AI37" s="1044">
        <f t="shared" si="20"/>
        <v>22338657</v>
      </c>
      <c r="AJ37" s="1043">
        <f t="shared" si="21"/>
        <v>0</v>
      </c>
      <c r="AK37" s="1044">
        <f t="shared" si="22"/>
        <v>22338657.000000004</v>
      </c>
      <c r="AL37" s="1043">
        <f t="shared" si="23"/>
        <v>0</v>
      </c>
    </row>
    <row r="38" spans="1:38" s="450" customFormat="1" ht="16.149999999999999" customHeight="1" x14ac:dyDescent="0.2">
      <c r="A38" s="1036">
        <v>32</v>
      </c>
      <c r="B38" s="1036" t="s">
        <v>36</v>
      </c>
      <c r="C38" s="1037">
        <f>'3_Levels 1&amp;2'!U38</f>
        <v>115138253</v>
      </c>
      <c r="D38" s="1038">
        <f>'3_Levels 1&amp;2'!P38</f>
        <v>34596.979999999996</v>
      </c>
      <c r="E38" s="1038">
        <f>'3_Levels 1&amp;2'!C38</f>
        <v>25471</v>
      </c>
      <c r="F38" s="1039">
        <f t="shared" si="1"/>
        <v>0.73622032905762302</v>
      </c>
      <c r="G38" s="1040">
        <f t="shared" si="2"/>
        <v>84767122.510779858</v>
      </c>
      <c r="H38" s="1037">
        <f t="shared" si="3"/>
        <v>3327.985650770675</v>
      </c>
      <c r="I38" s="1038">
        <f>'3_Levels 1&amp;2'!E38</f>
        <v>2786.08</v>
      </c>
      <c r="J38" s="1039">
        <f t="shared" si="4"/>
        <v>8.0529572234339541E-2</v>
      </c>
      <c r="K38" s="1040">
        <f t="shared" si="5"/>
        <v>9272034.2618991621</v>
      </c>
      <c r="L38" s="1038">
        <f>'3_Levels 1&amp;2'!D38</f>
        <v>12664</v>
      </c>
      <c r="M38" s="1037">
        <f t="shared" si="6"/>
        <v>732.15684316954844</v>
      </c>
      <c r="N38" s="1038">
        <f>'3_Levels 1&amp;2'!G38</f>
        <v>816.9</v>
      </c>
      <c r="O38" s="1039">
        <f t="shared" si="7"/>
        <v>2.3611887511568931E-2</v>
      </c>
      <c r="P38" s="1040">
        <f t="shared" si="8"/>
        <v>2718631.478114564</v>
      </c>
      <c r="Q38" s="1038">
        <f>'3_Levels 1&amp;2'!F38</f>
        <v>13615</v>
      </c>
      <c r="R38" s="1037">
        <f t="shared" si="9"/>
        <v>199.67913904624046</v>
      </c>
      <c r="S38" s="1038">
        <f>'3_Levels 1&amp;2'!I38</f>
        <v>4923</v>
      </c>
      <c r="T38" s="1039">
        <f t="shared" si="10"/>
        <v>0.14229565701977456</v>
      </c>
      <c r="U38" s="1040">
        <f t="shared" si="11"/>
        <v>16383673.358744029</v>
      </c>
      <c r="V38" s="1038">
        <f>'3_Levels 1&amp;2'!H38</f>
        <v>3282</v>
      </c>
      <c r="W38" s="1037">
        <f t="shared" si="12"/>
        <v>4991.9784761560113</v>
      </c>
      <c r="X38" s="1038">
        <f>'3_Levels 1&amp;2'!K38</f>
        <v>600</v>
      </c>
      <c r="Y38" s="1039">
        <f t="shared" si="13"/>
        <v>1.7342554176694037E-2</v>
      </c>
      <c r="Z38" s="1040">
        <f t="shared" si="14"/>
        <v>1996791.3904624048</v>
      </c>
      <c r="AA38" s="1038">
        <f>'3_Levels 1&amp;2'!J38</f>
        <v>1000</v>
      </c>
      <c r="AB38" s="1037">
        <f t="shared" si="15"/>
        <v>1996.7913904624047</v>
      </c>
      <c r="AC38" s="1038">
        <f>'3_Levels 1&amp;2'!N38</f>
        <v>0</v>
      </c>
      <c r="AD38" s="1039">
        <f t="shared" si="16"/>
        <v>0</v>
      </c>
      <c r="AE38" s="1040">
        <f t="shared" si="17"/>
        <v>0</v>
      </c>
      <c r="AF38" s="1038">
        <f t="shared" si="18"/>
        <v>25471</v>
      </c>
      <c r="AG38" s="1037">
        <f t="shared" si="19"/>
        <v>0</v>
      </c>
      <c r="AH38" s="1041"/>
      <c r="AI38" s="1044">
        <f t="shared" si="20"/>
        <v>115138253.00000001</v>
      </c>
      <c r="AJ38" s="1043">
        <f t="shared" si="21"/>
        <v>0</v>
      </c>
      <c r="AK38" s="1044">
        <f t="shared" si="22"/>
        <v>115138253</v>
      </c>
      <c r="AL38" s="1043">
        <f t="shared" si="23"/>
        <v>0</v>
      </c>
    </row>
    <row r="39" spans="1:38" s="450" customFormat="1" ht="16.149999999999999" customHeight="1" x14ac:dyDescent="0.2">
      <c r="A39" s="1036">
        <v>33</v>
      </c>
      <c r="B39" s="1036" t="s">
        <v>37</v>
      </c>
      <c r="C39" s="1037">
        <f>'3_Levels 1&amp;2'!U39</f>
        <v>7148629</v>
      </c>
      <c r="D39" s="1038">
        <f>'3_Levels 1&amp;2'!P39</f>
        <v>2447.884</v>
      </c>
      <c r="E39" s="1038">
        <f>'3_Levels 1&amp;2'!C39</f>
        <v>1528</v>
      </c>
      <c r="F39" s="1039">
        <f t="shared" ref="F39:F70" si="24">E39/D39</f>
        <v>0.62421258523688217</v>
      </c>
      <c r="G39" s="1040">
        <f t="shared" ref="G39:G70" si="25">C39*F39</f>
        <v>4462264.1889893478</v>
      </c>
      <c r="H39" s="1037">
        <f t="shared" ref="H39:H70" si="26">G39/E39</f>
        <v>2920.3299666160651</v>
      </c>
      <c r="I39" s="1038">
        <f>'3_Levels 1&amp;2'!E39</f>
        <v>329.12</v>
      </c>
      <c r="J39" s="1039">
        <f t="shared" ref="J39:J70" si="27">I39/D39</f>
        <v>0.13445081547981849</v>
      </c>
      <c r="K39" s="1040">
        <f t="shared" ref="K39:K70" si="28">C39*J39</f>
        <v>961138.99861267942</v>
      </c>
      <c r="L39" s="1038">
        <f>'3_Levels 1&amp;2'!D39</f>
        <v>1496</v>
      </c>
      <c r="M39" s="1037">
        <f t="shared" ref="M39:M70" si="29">IFERROR(K39/L39,0)</f>
        <v>642.47259265553441</v>
      </c>
      <c r="N39" s="1038">
        <f>'3_Levels 1&amp;2'!G39</f>
        <v>47.43</v>
      </c>
      <c r="O39" s="1039">
        <f t="shared" ref="O39:O70" si="30">N39/D39</f>
        <v>1.9375918139911859E-2</v>
      </c>
      <c r="P39" s="1040">
        <f t="shared" ref="P39:P70" si="31">C39*O39</f>
        <v>138511.25031659997</v>
      </c>
      <c r="Q39" s="1038">
        <f>'3_Levels 1&amp;2'!F39</f>
        <v>790.5</v>
      </c>
      <c r="R39" s="1037">
        <f t="shared" ref="R39:R70" si="32">IFERROR(P39/Q39,0)</f>
        <v>175.21979799696391</v>
      </c>
      <c r="S39" s="1038">
        <f>'3_Levels 1&amp;2'!I39</f>
        <v>294</v>
      </c>
      <c r="T39" s="1039">
        <f t="shared" ref="T39:T70" si="33">S39/D39</f>
        <v>0.12010373040552576</v>
      </c>
      <c r="U39" s="1040">
        <f t="shared" ref="U39:U70" si="34">C39*T39</f>
        <v>858577.01018512319</v>
      </c>
      <c r="V39" s="1038">
        <f>'3_Levels 1&amp;2'!H39</f>
        <v>196</v>
      </c>
      <c r="W39" s="1037">
        <f t="shared" ref="W39:W70" si="35">IFERROR(U39/V39,0)</f>
        <v>4380.4949499240975</v>
      </c>
      <c r="X39" s="1038">
        <f>'3_Levels 1&amp;2'!K39</f>
        <v>6</v>
      </c>
      <c r="Y39" s="1039">
        <f t="shared" ref="Y39:Y70" si="36">X39/D39</f>
        <v>2.4510965388882806E-3</v>
      </c>
      <c r="Z39" s="1040">
        <f t="shared" ref="Z39:Z70" si="37">C39*Y39</f>
        <v>17521.97979969639</v>
      </c>
      <c r="AA39" s="1038">
        <f>'3_Levels 1&amp;2'!J39</f>
        <v>10</v>
      </c>
      <c r="AB39" s="1037">
        <f t="shared" ref="AB39:AB70" si="38">IFERROR(Z39/AA39,0)</f>
        <v>1752.1979799696389</v>
      </c>
      <c r="AC39" s="1038">
        <f>'3_Levels 1&amp;2'!N39</f>
        <v>243.334</v>
      </c>
      <c r="AD39" s="1039">
        <f t="shared" ref="AD39:AD70" si="39">AC39/D39</f>
        <v>9.9405854198973478E-2</v>
      </c>
      <c r="AE39" s="1040">
        <f t="shared" ref="AE39:AE70" si="40">C39*AD39</f>
        <v>710615.57209655363</v>
      </c>
      <c r="AF39" s="1038">
        <f t="shared" ref="AF39:AF75" si="41">E39</f>
        <v>1528</v>
      </c>
      <c r="AG39" s="1037">
        <f t="shared" ref="AG39:AG70" si="42">IFERROR(AE39/AF39,0)</f>
        <v>465.06254718360839</v>
      </c>
      <c r="AH39" s="1041"/>
      <c r="AI39" s="1044">
        <f t="shared" ref="AI39:AI75" si="43">AE39+Z39+U39+P39+K39+G39</f>
        <v>7148629</v>
      </c>
      <c r="AJ39" s="1043">
        <f t="shared" ref="AJ39:AJ70" si="44">C39-AI39</f>
        <v>0</v>
      </c>
      <c r="AK39" s="1044">
        <f t="shared" ref="AK39:AK75" si="45">(E39*H39)+(L39*M39)+(Q39*R39)+(V39*W39)+(AA39*AB39)+(AF39*AG39)</f>
        <v>7148629.0000000009</v>
      </c>
      <c r="AL39" s="1043">
        <f t="shared" ref="AL39:AL70" si="46">C39-AK39</f>
        <v>0</v>
      </c>
    </row>
    <row r="40" spans="1:38" s="450" customFormat="1" ht="16.149999999999999" customHeight="1" x14ac:dyDescent="0.2">
      <c r="A40" s="1036">
        <v>34</v>
      </c>
      <c r="B40" s="1036" t="s">
        <v>38</v>
      </c>
      <c r="C40" s="1037">
        <f>'3_Levels 1&amp;2'!U40</f>
        <v>18722520</v>
      </c>
      <c r="D40" s="1038">
        <f>'3_Levels 1&amp;2'!P40</f>
        <v>5815.8383100000001</v>
      </c>
      <c r="E40" s="1038">
        <f>'3_Levels 1&amp;2'!C40</f>
        <v>3701</v>
      </c>
      <c r="F40" s="1039">
        <f t="shared" si="24"/>
        <v>0.63636569703740609</v>
      </c>
      <c r="G40" s="1040">
        <f t="shared" si="25"/>
        <v>11914369.490096776</v>
      </c>
      <c r="H40" s="1037">
        <f t="shared" si="26"/>
        <v>3219.2298000801879</v>
      </c>
      <c r="I40" s="1038">
        <f>'3_Levels 1&amp;2'!E40</f>
        <v>678.7</v>
      </c>
      <c r="J40" s="1039">
        <f t="shared" si="27"/>
        <v>0.11669856757073428</v>
      </c>
      <c r="K40" s="1040">
        <f t="shared" si="28"/>
        <v>2184891.2653144239</v>
      </c>
      <c r="L40" s="1038">
        <f>'3_Levels 1&amp;2'!D40</f>
        <v>3085</v>
      </c>
      <c r="M40" s="1037">
        <f t="shared" si="29"/>
        <v>708.23055601764145</v>
      </c>
      <c r="N40" s="1038">
        <f>'3_Levels 1&amp;2'!G40</f>
        <v>116.49</v>
      </c>
      <c r="O40" s="1039">
        <f t="shared" si="30"/>
        <v>2.0029786557116302E-2</v>
      </c>
      <c r="P40" s="1040">
        <f t="shared" si="31"/>
        <v>375008.07941134111</v>
      </c>
      <c r="Q40" s="1038">
        <f>'3_Levels 1&amp;2'!F40</f>
        <v>1941.5</v>
      </c>
      <c r="R40" s="1037">
        <f t="shared" si="32"/>
        <v>193.15378800481128</v>
      </c>
      <c r="S40" s="1038">
        <f>'3_Levels 1&amp;2'!I40</f>
        <v>937.5</v>
      </c>
      <c r="T40" s="1039">
        <f t="shared" si="33"/>
        <v>0.16119774141382551</v>
      </c>
      <c r="U40" s="1040">
        <f t="shared" si="34"/>
        <v>3018027.9375751764</v>
      </c>
      <c r="V40" s="1038">
        <f>'3_Levels 1&amp;2'!H40</f>
        <v>625</v>
      </c>
      <c r="W40" s="1037">
        <f t="shared" si="35"/>
        <v>4828.8447001202821</v>
      </c>
      <c r="X40" s="1038">
        <f>'3_Levels 1&amp;2'!K40</f>
        <v>7.1999999999999993</v>
      </c>
      <c r="Y40" s="1039">
        <f t="shared" si="36"/>
        <v>1.2379986540581797E-3</v>
      </c>
      <c r="Z40" s="1040">
        <f t="shared" si="37"/>
        <v>23178.454560577349</v>
      </c>
      <c r="AA40" s="1038">
        <f>'3_Levels 1&amp;2'!J40</f>
        <v>12</v>
      </c>
      <c r="AB40" s="1037">
        <f t="shared" si="38"/>
        <v>1931.5378800481124</v>
      </c>
      <c r="AC40" s="1038">
        <f>'3_Levels 1&amp;2'!N40</f>
        <v>374.94830999999999</v>
      </c>
      <c r="AD40" s="1039">
        <f t="shared" si="39"/>
        <v>6.4470208766859605E-2</v>
      </c>
      <c r="AE40" s="1040">
        <f t="shared" si="40"/>
        <v>1207044.7730417042</v>
      </c>
      <c r="AF40" s="1038">
        <f t="shared" si="41"/>
        <v>3701</v>
      </c>
      <c r="AG40" s="1037">
        <f t="shared" si="42"/>
        <v>326.14017104612378</v>
      </c>
      <c r="AH40" s="1041"/>
      <c r="AI40" s="1044">
        <f t="shared" si="43"/>
        <v>18722520</v>
      </c>
      <c r="AJ40" s="1043">
        <f t="shared" si="44"/>
        <v>0</v>
      </c>
      <c r="AK40" s="1044">
        <f t="shared" si="45"/>
        <v>18722520</v>
      </c>
      <c r="AL40" s="1043">
        <f t="shared" si="46"/>
        <v>0</v>
      </c>
    </row>
    <row r="41" spans="1:38" s="451" customFormat="1" ht="16.149999999999999" customHeight="1" x14ac:dyDescent="0.2">
      <c r="A41" s="1045">
        <v>35</v>
      </c>
      <c r="B41" s="1045" t="s">
        <v>39</v>
      </c>
      <c r="C41" s="1046">
        <f>'3_Levels 1&amp;2'!U41</f>
        <v>23134907</v>
      </c>
      <c r="D41" s="1047">
        <f>'3_Levels 1&amp;2'!P41</f>
        <v>8352.5433100000009</v>
      </c>
      <c r="E41" s="1048">
        <f>'3_Levels 1&amp;2'!C41</f>
        <v>5801</v>
      </c>
      <c r="F41" s="1049">
        <f t="shared" si="24"/>
        <v>0.69451899675333728</v>
      </c>
      <c r="G41" s="1050">
        <f t="shared" si="25"/>
        <v>16067632.39962176</v>
      </c>
      <c r="H41" s="1046">
        <f t="shared" si="26"/>
        <v>2769.8038958148181</v>
      </c>
      <c r="I41" s="1047">
        <f>'3_Levels 1&amp;2'!E41</f>
        <v>920.7</v>
      </c>
      <c r="J41" s="1049">
        <f t="shared" si="27"/>
        <v>0.11022989834697426</v>
      </c>
      <c r="K41" s="1050">
        <f t="shared" si="28"/>
        <v>2550158.4468767033</v>
      </c>
      <c r="L41" s="1047">
        <f>'3_Levels 1&amp;2'!D41</f>
        <v>4185</v>
      </c>
      <c r="M41" s="1046">
        <f t="shared" si="29"/>
        <v>609.35685707926007</v>
      </c>
      <c r="N41" s="1047">
        <f>'3_Levels 1&amp;2'!G41</f>
        <v>170.7</v>
      </c>
      <c r="O41" s="1049">
        <f t="shared" si="30"/>
        <v>2.0436888940836867E-2</v>
      </c>
      <c r="P41" s="1050">
        <f t="shared" si="31"/>
        <v>472805.52501558943</v>
      </c>
      <c r="Q41" s="1047">
        <f>'3_Levels 1&amp;2'!F41</f>
        <v>2845</v>
      </c>
      <c r="R41" s="1046">
        <f t="shared" si="32"/>
        <v>166.18823374888908</v>
      </c>
      <c r="S41" s="1047">
        <f>'3_Levels 1&amp;2'!I41</f>
        <v>1054.5</v>
      </c>
      <c r="T41" s="1049">
        <f t="shared" si="33"/>
        <v>0.12624897122502918</v>
      </c>
      <c r="U41" s="1050">
        <f t="shared" si="34"/>
        <v>2920758.2081367262</v>
      </c>
      <c r="V41" s="1047">
        <f>'3_Levels 1&amp;2'!H41</f>
        <v>703</v>
      </c>
      <c r="W41" s="1046">
        <f t="shared" si="35"/>
        <v>4154.7058437222277</v>
      </c>
      <c r="X41" s="1047">
        <f>'3_Levels 1&amp;2'!K41</f>
        <v>142.79999999999998</v>
      </c>
      <c r="Y41" s="1049">
        <f t="shared" si="36"/>
        <v>1.7096588990928557E-2</v>
      </c>
      <c r="Z41" s="1050">
        <f t="shared" si="37"/>
        <v>395527.99632235599</v>
      </c>
      <c r="AA41" s="1047">
        <f>'3_Levels 1&amp;2'!J41</f>
        <v>238</v>
      </c>
      <c r="AB41" s="1046">
        <f t="shared" si="38"/>
        <v>1661.8823374888907</v>
      </c>
      <c r="AC41" s="1047">
        <f>'3_Levels 1&amp;2'!N41</f>
        <v>262.84331000000003</v>
      </c>
      <c r="AD41" s="1049">
        <f t="shared" si="39"/>
        <v>3.1468655742893717E-2</v>
      </c>
      <c r="AE41" s="1050">
        <f t="shared" si="40"/>
        <v>728024.42402686202</v>
      </c>
      <c r="AF41" s="1048">
        <f t="shared" si="41"/>
        <v>5801</v>
      </c>
      <c r="AG41" s="1046">
        <f t="shared" si="42"/>
        <v>125.49981451936942</v>
      </c>
      <c r="AH41" s="1041"/>
      <c r="AI41" s="1051">
        <f t="shared" si="43"/>
        <v>23134907</v>
      </c>
      <c r="AJ41" s="1051">
        <f t="shared" si="44"/>
        <v>0</v>
      </c>
      <c r="AK41" s="1051">
        <f t="shared" si="45"/>
        <v>23134906.999999996</v>
      </c>
      <c r="AL41" s="1051">
        <f t="shared" si="46"/>
        <v>0</v>
      </c>
    </row>
    <row r="42" spans="1:38" s="450" customFormat="1" ht="16.149999999999999" customHeight="1" x14ac:dyDescent="0.2">
      <c r="A42" s="1036">
        <v>36</v>
      </c>
      <c r="B42" s="1036" t="s">
        <v>40</v>
      </c>
      <c r="C42" s="1037">
        <f>'3_Levels 1&amp;2'!U42</f>
        <v>142876364</v>
      </c>
      <c r="D42" s="1038">
        <f>'3_Levels 1&amp;2'!P42</f>
        <v>67741.510000000009</v>
      </c>
      <c r="E42" s="1038">
        <f>'3_Levels 1&amp;2'!C42</f>
        <v>46390</v>
      </c>
      <c r="F42" s="1039">
        <f t="shared" si="24"/>
        <v>0.6848090631578776</v>
      </c>
      <c r="G42" s="1040">
        <f t="shared" si="25"/>
        <v>97843028.978243902</v>
      </c>
      <c r="H42" s="1037">
        <f t="shared" si="26"/>
        <v>2109.1405255064433</v>
      </c>
      <c r="I42" s="1038">
        <f>'3_Levels 1&amp;2'!E42</f>
        <v>8564.82</v>
      </c>
      <c r="J42" s="1039">
        <f t="shared" si="27"/>
        <v>0.12643385126785628</v>
      </c>
      <c r="K42" s="1040">
        <f t="shared" si="28"/>
        <v>18064408.955668095</v>
      </c>
      <c r="L42" s="1038">
        <f>'3_Levels 1&amp;2'!D42</f>
        <v>38931</v>
      </c>
      <c r="M42" s="1037">
        <f t="shared" si="29"/>
        <v>464.01091561141754</v>
      </c>
      <c r="N42" s="1038">
        <f>'3_Levels 1&amp;2'!G42</f>
        <v>757.29</v>
      </c>
      <c r="O42" s="1039">
        <f t="shared" si="30"/>
        <v>1.1179113072619725E-2</v>
      </c>
      <c r="P42" s="1040">
        <f t="shared" si="31"/>
        <v>1597231.0285607744</v>
      </c>
      <c r="Q42" s="1038">
        <f>'3_Levels 1&amp;2'!F42</f>
        <v>12621.5</v>
      </c>
      <c r="R42" s="1037">
        <f t="shared" si="32"/>
        <v>126.54843153038659</v>
      </c>
      <c r="S42" s="1038">
        <f>'3_Levels 1&amp;2'!I42</f>
        <v>10332</v>
      </c>
      <c r="T42" s="1039">
        <f t="shared" si="33"/>
        <v>0.15252095797687412</v>
      </c>
      <c r="U42" s="1040">
        <f t="shared" si="34"/>
        <v>21791639.909532569</v>
      </c>
      <c r="V42" s="1038">
        <f>'3_Levels 1&amp;2'!H42</f>
        <v>6888</v>
      </c>
      <c r="W42" s="1037">
        <f t="shared" si="35"/>
        <v>3163.7107882596647</v>
      </c>
      <c r="X42" s="1038">
        <f>'3_Levels 1&amp;2'!K42</f>
        <v>1697.3999999999999</v>
      </c>
      <c r="Y42" s="1039">
        <f t="shared" si="36"/>
        <v>2.5057014524772176E-2</v>
      </c>
      <c r="Z42" s="1040">
        <f t="shared" si="37"/>
        <v>3580055.1279946365</v>
      </c>
      <c r="AA42" s="1038">
        <f>'3_Levels 1&amp;2'!J42</f>
        <v>2829</v>
      </c>
      <c r="AB42" s="1037">
        <f t="shared" si="38"/>
        <v>1265.484315303866</v>
      </c>
      <c r="AC42" s="1038">
        <f>'3_Levels 1&amp;2'!N42</f>
        <v>0</v>
      </c>
      <c r="AD42" s="1039">
        <f t="shared" si="39"/>
        <v>0</v>
      </c>
      <c r="AE42" s="1040">
        <f t="shared" si="40"/>
        <v>0</v>
      </c>
      <c r="AF42" s="1038">
        <f t="shared" si="41"/>
        <v>46390</v>
      </c>
      <c r="AG42" s="1037">
        <f t="shared" si="42"/>
        <v>0</v>
      </c>
      <c r="AH42" s="1041"/>
      <c r="AI42" s="1044">
        <f t="shared" si="43"/>
        <v>142876364</v>
      </c>
      <c r="AJ42" s="1043">
        <f t="shared" si="44"/>
        <v>0</v>
      </c>
      <c r="AK42" s="1044">
        <f t="shared" si="45"/>
        <v>142876363.99999997</v>
      </c>
      <c r="AL42" s="1043">
        <f t="shared" si="46"/>
        <v>0</v>
      </c>
    </row>
    <row r="43" spans="1:38" s="450" customFormat="1" ht="16.149999999999999" customHeight="1" x14ac:dyDescent="0.2">
      <c r="A43" s="1036">
        <v>37</v>
      </c>
      <c r="B43" s="1036" t="s">
        <v>41</v>
      </c>
      <c r="C43" s="1037">
        <f>'3_Levels 1&amp;2'!U43</f>
        <v>83420749</v>
      </c>
      <c r="D43" s="1038">
        <f>'3_Levels 1&amp;2'!P43</f>
        <v>26466.959999999999</v>
      </c>
      <c r="E43" s="1038">
        <f>'3_Levels 1&amp;2'!C43</f>
        <v>18810</v>
      </c>
      <c r="F43" s="1039">
        <f t="shared" si="24"/>
        <v>0.71069741292539834</v>
      </c>
      <c r="G43" s="1040">
        <f t="shared" si="25"/>
        <v>59286910.498599008</v>
      </c>
      <c r="H43" s="1037">
        <f t="shared" si="26"/>
        <v>3151.882535810686</v>
      </c>
      <c r="I43" s="1038">
        <f>'3_Levels 1&amp;2'!E43</f>
        <v>2733.06</v>
      </c>
      <c r="J43" s="1039">
        <f t="shared" si="27"/>
        <v>0.10326308726049384</v>
      </c>
      <c r="K43" s="1040">
        <f t="shared" si="28"/>
        <v>8614284.0833227541</v>
      </c>
      <c r="L43" s="1038">
        <f>'3_Levels 1&amp;2'!D43</f>
        <v>12423</v>
      </c>
      <c r="M43" s="1037">
        <f t="shared" si="29"/>
        <v>693.41415787835092</v>
      </c>
      <c r="N43" s="1038">
        <f>'3_Levels 1&amp;2'!G43</f>
        <v>458.7</v>
      </c>
      <c r="O43" s="1039">
        <f t="shared" si="30"/>
        <v>1.7331042174847433E-2</v>
      </c>
      <c r="P43" s="1040">
        <f t="shared" si="31"/>
        <v>1445768.5191763618</v>
      </c>
      <c r="Q43" s="1038">
        <f>'3_Levels 1&amp;2'!F43</f>
        <v>7645</v>
      </c>
      <c r="R43" s="1037">
        <f t="shared" si="32"/>
        <v>189.11295214864117</v>
      </c>
      <c r="S43" s="1038">
        <f>'3_Levels 1&amp;2'!I43</f>
        <v>3912</v>
      </c>
      <c r="T43" s="1039">
        <f t="shared" si="33"/>
        <v>0.14780692606933324</v>
      </c>
      <c r="U43" s="1040">
        <f t="shared" si="34"/>
        <v>12330164.480091404</v>
      </c>
      <c r="V43" s="1038">
        <f>'3_Levels 1&amp;2'!H43</f>
        <v>2608</v>
      </c>
      <c r="W43" s="1037">
        <f t="shared" si="35"/>
        <v>4727.823803716029</v>
      </c>
      <c r="X43" s="1038">
        <f>'3_Levels 1&amp;2'!K43</f>
        <v>553.19999999999993</v>
      </c>
      <c r="Y43" s="1039">
        <f t="shared" si="36"/>
        <v>2.0901531569927183E-2</v>
      </c>
      <c r="Z43" s="1040">
        <f t="shared" si="37"/>
        <v>1743621.4188104714</v>
      </c>
      <c r="AA43" s="1038">
        <f>'3_Levels 1&amp;2'!J43</f>
        <v>922</v>
      </c>
      <c r="AB43" s="1037">
        <f t="shared" si="38"/>
        <v>1891.1295214864115</v>
      </c>
      <c r="AC43" s="1038">
        <f>'3_Levels 1&amp;2'!N43</f>
        <v>0</v>
      </c>
      <c r="AD43" s="1039">
        <f t="shared" si="39"/>
        <v>0</v>
      </c>
      <c r="AE43" s="1040">
        <f t="shared" si="40"/>
        <v>0</v>
      </c>
      <c r="AF43" s="1038">
        <f t="shared" si="41"/>
        <v>18810</v>
      </c>
      <c r="AG43" s="1037">
        <f t="shared" si="42"/>
        <v>0</v>
      </c>
      <c r="AH43" s="1041"/>
      <c r="AI43" s="1044">
        <f t="shared" si="43"/>
        <v>83420749</v>
      </c>
      <c r="AJ43" s="1043">
        <f t="shared" si="44"/>
        <v>0</v>
      </c>
      <c r="AK43" s="1044">
        <f t="shared" si="45"/>
        <v>83420749</v>
      </c>
      <c r="AL43" s="1043">
        <f t="shared" si="46"/>
        <v>0</v>
      </c>
    </row>
    <row r="44" spans="1:38" s="450" customFormat="1" ht="16.149999999999999" customHeight="1" x14ac:dyDescent="0.2">
      <c r="A44" s="1036">
        <v>38</v>
      </c>
      <c r="B44" s="1036" t="s">
        <v>42</v>
      </c>
      <c r="C44" s="1037">
        <f>'3_Levels 1&amp;2'!U44</f>
        <v>6041011</v>
      </c>
      <c r="D44" s="1038">
        <f>'3_Levels 1&amp;2'!P44</f>
        <v>6018.4418100000003</v>
      </c>
      <c r="E44" s="1038">
        <f>'3_Levels 1&amp;2'!C44</f>
        <v>3889</v>
      </c>
      <c r="F44" s="1039">
        <f t="shared" si="24"/>
        <v>0.64618054353174847</v>
      </c>
      <c r="G44" s="1040">
        <f t="shared" si="25"/>
        <v>3903583.7714612712</v>
      </c>
      <c r="H44" s="1037">
        <f t="shared" si="26"/>
        <v>1003.7500055184549</v>
      </c>
      <c r="I44" s="1038">
        <f>'3_Levels 1&amp;2'!E44</f>
        <v>600.6</v>
      </c>
      <c r="J44" s="1039">
        <f t="shared" si="27"/>
        <v>9.9793271906703035E-2</v>
      </c>
      <c r="K44" s="1040">
        <f t="shared" si="28"/>
        <v>602852.25331438403</v>
      </c>
      <c r="L44" s="1038">
        <f>'3_Levels 1&amp;2'!D44</f>
        <v>2730</v>
      </c>
      <c r="M44" s="1037">
        <f t="shared" si="29"/>
        <v>220.82500121406008</v>
      </c>
      <c r="N44" s="1038">
        <f>'3_Levels 1&amp;2'!G44</f>
        <v>131.07</v>
      </c>
      <c r="O44" s="1039">
        <f t="shared" si="30"/>
        <v>2.1778062185833443E-2</v>
      </c>
      <c r="P44" s="1040">
        <f t="shared" si="31"/>
        <v>131561.51322330386</v>
      </c>
      <c r="Q44" s="1038">
        <f>'3_Levels 1&amp;2'!F44</f>
        <v>2184.5</v>
      </c>
      <c r="R44" s="1037">
        <f t="shared" si="32"/>
        <v>60.225000331107282</v>
      </c>
      <c r="S44" s="1038">
        <f>'3_Levels 1&amp;2'!I44</f>
        <v>868.5</v>
      </c>
      <c r="T44" s="1039">
        <f t="shared" si="33"/>
        <v>0.14430645463032232</v>
      </c>
      <c r="U44" s="1040">
        <f t="shared" si="34"/>
        <v>871756.87979277805</v>
      </c>
      <c r="V44" s="1038">
        <f>'3_Levels 1&amp;2'!H44</f>
        <v>579</v>
      </c>
      <c r="W44" s="1037">
        <f t="shared" si="35"/>
        <v>1505.6250082776824</v>
      </c>
      <c r="X44" s="1038">
        <f>'3_Levels 1&amp;2'!K44</f>
        <v>154.79999999999998</v>
      </c>
      <c r="Y44" s="1039">
        <f t="shared" si="36"/>
        <v>2.5720943208720658E-2</v>
      </c>
      <c r="Z44" s="1040">
        <f t="shared" si="37"/>
        <v>155380.5008542568</v>
      </c>
      <c r="AA44" s="1038">
        <f>'3_Levels 1&amp;2'!J44</f>
        <v>258</v>
      </c>
      <c r="AB44" s="1037">
        <f t="shared" si="38"/>
        <v>602.25000331107287</v>
      </c>
      <c r="AC44" s="1038">
        <f>'3_Levels 1&amp;2'!N44</f>
        <v>374.47181</v>
      </c>
      <c r="AD44" s="1039">
        <f t="shared" si="39"/>
        <v>6.2220724536672059E-2</v>
      </c>
      <c r="AE44" s="1040">
        <f t="shared" si="40"/>
        <v>375876.08135400579</v>
      </c>
      <c r="AF44" s="1038">
        <f t="shared" si="41"/>
        <v>3889</v>
      </c>
      <c r="AG44" s="1037">
        <f t="shared" si="42"/>
        <v>96.651088031372026</v>
      </c>
      <c r="AH44" s="1041"/>
      <c r="AI44" s="1044">
        <f t="shared" si="43"/>
        <v>6041011</v>
      </c>
      <c r="AJ44" s="1043">
        <f t="shared" si="44"/>
        <v>0</v>
      </c>
      <c r="AK44" s="1044">
        <f t="shared" si="45"/>
        <v>6041010.9999999991</v>
      </c>
      <c r="AL44" s="1043">
        <f t="shared" si="46"/>
        <v>0</v>
      </c>
    </row>
    <row r="45" spans="1:38" s="450" customFormat="1" ht="16.149999999999999" customHeight="1" x14ac:dyDescent="0.2">
      <c r="A45" s="1036">
        <v>39</v>
      </c>
      <c r="B45" s="1036" t="s">
        <v>43</v>
      </c>
      <c r="C45" s="1037">
        <f>'3_Levels 1&amp;2'!U45</f>
        <v>7038801</v>
      </c>
      <c r="D45" s="1038">
        <f>'3_Levels 1&amp;2'!P45</f>
        <v>4213.0974200000001</v>
      </c>
      <c r="E45" s="1038">
        <f>'3_Levels 1&amp;2'!C45</f>
        <v>2618</v>
      </c>
      <c r="F45" s="1039">
        <f t="shared" si="24"/>
        <v>0.62139555272851965</v>
      </c>
      <c r="G45" s="1040">
        <f t="shared" si="25"/>
        <v>4373879.6379410569</v>
      </c>
      <c r="H45" s="1037">
        <f t="shared" si="26"/>
        <v>1670.6950488697696</v>
      </c>
      <c r="I45" s="1038">
        <f>'3_Levels 1&amp;2'!E45</f>
        <v>441.32</v>
      </c>
      <c r="J45" s="1039">
        <f t="shared" si="27"/>
        <v>0.10474953603137901</v>
      </c>
      <c r="K45" s="1040">
        <f t="shared" si="28"/>
        <v>737311.13896720659</v>
      </c>
      <c r="L45" s="1038">
        <f>'3_Levels 1&amp;2'!D45</f>
        <v>2006</v>
      </c>
      <c r="M45" s="1037">
        <f t="shared" si="29"/>
        <v>367.55291075134926</v>
      </c>
      <c r="N45" s="1038">
        <f>'3_Levels 1&amp;2'!G45</f>
        <v>90.24</v>
      </c>
      <c r="O45" s="1039">
        <f t="shared" si="30"/>
        <v>2.1418920809099164E-2</v>
      </c>
      <c r="P45" s="1040">
        <f t="shared" si="31"/>
        <v>150763.52121000801</v>
      </c>
      <c r="Q45" s="1038">
        <f>'3_Levels 1&amp;2'!F45</f>
        <v>1504</v>
      </c>
      <c r="R45" s="1037">
        <f t="shared" si="32"/>
        <v>100.24170293218617</v>
      </c>
      <c r="S45" s="1038">
        <f>'3_Levels 1&amp;2'!I45</f>
        <v>700.5</v>
      </c>
      <c r="T45" s="1039">
        <f t="shared" si="33"/>
        <v>0.16626722104137814</v>
      </c>
      <c r="U45" s="1040">
        <f t="shared" si="34"/>
        <v>1170321.8817332736</v>
      </c>
      <c r="V45" s="1038">
        <f>'3_Levels 1&amp;2'!H45</f>
        <v>467</v>
      </c>
      <c r="W45" s="1037">
        <f t="shared" si="35"/>
        <v>2506.0425733046545</v>
      </c>
      <c r="X45" s="1038">
        <f>'3_Levels 1&amp;2'!K45</f>
        <v>22.2</v>
      </c>
      <c r="Y45" s="1039">
        <f t="shared" si="36"/>
        <v>5.2692823798980654E-3</v>
      </c>
      <c r="Z45" s="1040">
        <f t="shared" si="37"/>
        <v>37089.430084908883</v>
      </c>
      <c r="AA45" s="1038">
        <f>'3_Levels 1&amp;2'!J45</f>
        <v>37</v>
      </c>
      <c r="AB45" s="1037">
        <f t="shared" si="38"/>
        <v>1002.4170293218617</v>
      </c>
      <c r="AC45" s="1038">
        <f>'3_Levels 1&amp;2'!N45</f>
        <v>340.83742000000001</v>
      </c>
      <c r="AD45" s="1039">
        <f t="shared" si="39"/>
        <v>8.0899487009725976E-2</v>
      </c>
      <c r="AE45" s="1040">
        <f t="shared" si="40"/>
        <v>569435.39006354625</v>
      </c>
      <c r="AF45" s="1038">
        <f t="shared" si="41"/>
        <v>2618</v>
      </c>
      <c r="AG45" s="1037">
        <f t="shared" si="42"/>
        <v>217.50778841235532</v>
      </c>
      <c r="AH45" s="1041"/>
      <c r="AI45" s="1044">
        <f t="shared" si="43"/>
        <v>7038801</v>
      </c>
      <c r="AJ45" s="1043">
        <f t="shared" si="44"/>
        <v>0</v>
      </c>
      <c r="AK45" s="1044">
        <f t="shared" si="45"/>
        <v>7038801.0000000009</v>
      </c>
      <c r="AL45" s="1043">
        <f t="shared" si="46"/>
        <v>0</v>
      </c>
    </row>
    <row r="46" spans="1:38" s="451" customFormat="1" ht="16.149999999999999" customHeight="1" x14ac:dyDescent="0.2">
      <c r="A46" s="1045">
        <v>40</v>
      </c>
      <c r="B46" s="1045" t="s">
        <v>44</v>
      </c>
      <c r="C46" s="1046">
        <f>'3_Levels 1&amp;2'!U46</f>
        <v>92176696</v>
      </c>
      <c r="D46" s="1047">
        <f>'3_Levels 1&amp;2'!P46</f>
        <v>30993.86</v>
      </c>
      <c r="E46" s="1048">
        <f>'3_Levels 1&amp;2'!C46</f>
        <v>22025</v>
      </c>
      <c r="F46" s="1049">
        <f t="shared" si="24"/>
        <v>0.71062462048934849</v>
      </c>
      <c r="G46" s="1050">
        <f t="shared" si="25"/>
        <v>65503029.612962045</v>
      </c>
      <c r="H46" s="1046">
        <f t="shared" si="26"/>
        <v>2974.0308564341449</v>
      </c>
      <c r="I46" s="1047">
        <f>'3_Levels 1&amp;2'!E46</f>
        <v>3530.34</v>
      </c>
      <c r="J46" s="1049">
        <f t="shared" si="27"/>
        <v>0.11390449592274082</v>
      </c>
      <c r="K46" s="1050">
        <f t="shared" si="28"/>
        <v>10499340.093703721</v>
      </c>
      <c r="L46" s="1047">
        <f>'3_Levels 1&amp;2'!D46</f>
        <v>16047</v>
      </c>
      <c r="M46" s="1046">
        <f t="shared" si="29"/>
        <v>654.28678841551198</v>
      </c>
      <c r="N46" s="1047">
        <f>'3_Levels 1&amp;2'!G46</f>
        <v>609.72</v>
      </c>
      <c r="O46" s="1049">
        <f t="shared" si="30"/>
        <v>1.9672283478082433E-2</v>
      </c>
      <c r="P46" s="1050">
        <f t="shared" si="31"/>
        <v>1813326.093785027</v>
      </c>
      <c r="Q46" s="1047">
        <f>'3_Levels 1&amp;2'!F46</f>
        <v>10162</v>
      </c>
      <c r="R46" s="1046">
        <f t="shared" si="32"/>
        <v>178.44185138604871</v>
      </c>
      <c r="S46" s="1047">
        <f>'3_Levels 1&amp;2'!I46</f>
        <v>4554</v>
      </c>
      <c r="T46" s="1049">
        <f t="shared" si="33"/>
        <v>0.14693232788687824</v>
      </c>
      <c r="U46" s="1050">
        <f t="shared" si="34"/>
        <v>13543736.520201098</v>
      </c>
      <c r="V46" s="1047">
        <f>'3_Levels 1&amp;2'!H46</f>
        <v>3036</v>
      </c>
      <c r="W46" s="1046">
        <f t="shared" si="35"/>
        <v>4461.0462846512182</v>
      </c>
      <c r="X46" s="1047">
        <f>'3_Levels 1&amp;2'!K46</f>
        <v>274.8</v>
      </c>
      <c r="Y46" s="1049">
        <f t="shared" si="36"/>
        <v>8.8662722229499655E-3</v>
      </c>
      <c r="Z46" s="1050">
        <f t="shared" si="37"/>
        <v>817263.67934810324</v>
      </c>
      <c r="AA46" s="1047">
        <f>'3_Levels 1&amp;2'!J46</f>
        <v>458</v>
      </c>
      <c r="AB46" s="1046">
        <f t="shared" si="38"/>
        <v>1784.4185138604873</v>
      </c>
      <c r="AC46" s="1047">
        <f>'3_Levels 1&amp;2'!N46</f>
        <v>0</v>
      </c>
      <c r="AD46" s="1049">
        <f t="shared" si="39"/>
        <v>0</v>
      </c>
      <c r="AE46" s="1050">
        <f t="shared" si="40"/>
        <v>0</v>
      </c>
      <c r="AF46" s="1048">
        <f t="shared" si="41"/>
        <v>22025</v>
      </c>
      <c r="AG46" s="1046">
        <f t="shared" si="42"/>
        <v>0</v>
      </c>
      <c r="AH46" s="1041"/>
      <c r="AI46" s="1051">
        <f t="shared" si="43"/>
        <v>92176696</v>
      </c>
      <c r="AJ46" s="1051">
        <f t="shared" si="44"/>
        <v>0</v>
      </c>
      <c r="AK46" s="1051">
        <f t="shared" si="45"/>
        <v>92176695.999999985</v>
      </c>
      <c r="AL46" s="1051">
        <f t="shared" si="46"/>
        <v>0</v>
      </c>
    </row>
    <row r="47" spans="1:38" s="450" customFormat="1" ht="16.149999999999999" customHeight="1" x14ac:dyDescent="0.2">
      <c r="A47" s="1036">
        <v>41</v>
      </c>
      <c r="B47" s="1036" t="s">
        <v>45</v>
      </c>
      <c r="C47" s="1037">
        <f>'3_Levels 1&amp;2'!U47</f>
        <v>3771213</v>
      </c>
      <c r="D47" s="1038">
        <f>'3_Levels 1&amp;2'!P47</f>
        <v>2236.4449599999998</v>
      </c>
      <c r="E47" s="1038">
        <f>'3_Levels 1&amp;2'!C47</f>
        <v>1383</v>
      </c>
      <c r="F47" s="1039">
        <f t="shared" si="24"/>
        <v>0.61839214679354337</v>
      </c>
      <c r="G47" s="1040">
        <f t="shared" si="25"/>
        <v>2332088.503085719</v>
      </c>
      <c r="H47" s="1037">
        <f t="shared" si="26"/>
        <v>1686.253436793723</v>
      </c>
      <c r="I47" s="1038">
        <f>'3_Levels 1&amp;2'!E47</f>
        <v>261.58</v>
      </c>
      <c r="J47" s="1039">
        <f t="shared" si="27"/>
        <v>0.11696241341883952</v>
      </c>
      <c r="K47" s="1040">
        <f t="shared" si="28"/>
        <v>441090.17399650207</v>
      </c>
      <c r="L47" s="1038">
        <f>'3_Levels 1&amp;2'!D47</f>
        <v>1189</v>
      </c>
      <c r="M47" s="1037">
        <f t="shared" si="29"/>
        <v>370.97575609461904</v>
      </c>
      <c r="N47" s="1038">
        <f>'3_Levels 1&amp;2'!G47</f>
        <v>71.069999999999993</v>
      </c>
      <c r="O47" s="1039">
        <f t="shared" si="30"/>
        <v>3.1778112706158435E-2</v>
      </c>
      <c r="P47" s="1040">
        <f t="shared" si="31"/>
        <v>119842.03175292986</v>
      </c>
      <c r="Q47" s="1038">
        <f>'3_Levels 1&amp;2'!F47</f>
        <v>1184.5</v>
      </c>
      <c r="R47" s="1037">
        <f t="shared" si="32"/>
        <v>101.17520620762335</v>
      </c>
      <c r="S47" s="1038">
        <f>'3_Levels 1&amp;2'!I47</f>
        <v>282</v>
      </c>
      <c r="T47" s="1039">
        <f t="shared" si="33"/>
        <v>0.12609297570193725</v>
      </c>
      <c r="U47" s="1040">
        <f t="shared" si="34"/>
        <v>475523.4691758299</v>
      </c>
      <c r="V47" s="1038">
        <f>'3_Levels 1&amp;2'!H47</f>
        <v>188</v>
      </c>
      <c r="W47" s="1037">
        <f t="shared" si="35"/>
        <v>2529.3801551905844</v>
      </c>
      <c r="X47" s="1038">
        <f>'3_Levels 1&amp;2'!K47</f>
        <v>13.2</v>
      </c>
      <c r="Y47" s="1039">
        <f t="shared" si="36"/>
        <v>5.9022243945587643E-3</v>
      </c>
      <c r="Z47" s="1040">
        <f t="shared" si="37"/>
        <v>22258.545365677142</v>
      </c>
      <c r="AA47" s="1038">
        <f>'3_Levels 1&amp;2'!J47</f>
        <v>22</v>
      </c>
      <c r="AB47" s="1037">
        <f t="shared" si="38"/>
        <v>1011.7520620762338</v>
      </c>
      <c r="AC47" s="1038">
        <f>'3_Levels 1&amp;2'!N47</f>
        <v>225.59495999999999</v>
      </c>
      <c r="AD47" s="1039">
        <f t="shared" si="39"/>
        <v>0.10087212698496278</v>
      </c>
      <c r="AE47" s="1040">
        <f t="shared" si="40"/>
        <v>380410.27662334248</v>
      </c>
      <c r="AF47" s="1038">
        <f t="shared" si="41"/>
        <v>1383</v>
      </c>
      <c r="AG47" s="1037">
        <f t="shared" si="42"/>
        <v>275.06166060979211</v>
      </c>
      <c r="AH47" s="1041"/>
      <c r="AI47" s="1044">
        <f t="shared" si="43"/>
        <v>3771213.0000000005</v>
      </c>
      <c r="AJ47" s="1043">
        <f t="shared" si="44"/>
        <v>0</v>
      </c>
      <c r="AK47" s="1044">
        <f t="shared" si="45"/>
        <v>3771213.0000000009</v>
      </c>
      <c r="AL47" s="1043">
        <f t="shared" si="46"/>
        <v>0</v>
      </c>
    </row>
    <row r="48" spans="1:38" s="450" customFormat="1" ht="16.149999999999999" customHeight="1" x14ac:dyDescent="0.2">
      <c r="A48" s="1036">
        <v>42</v>
      </c>
      <c r="B48" s="1036" t="s">
        <v>46</v>
      </c>
      <c r="C48" s="1037">
        <f>'3_Levels 1&amp;2'!U48</f>
        <v>11071049</v>
      </c>
      <c r="D48" s="1038">
        <f>'3_Levels 1&amp;2'!P48</f>
        <v>4223.3108099999999</v>
      </c>
      <c r="E48" s="1038">
        <f>'3_Levels 1&amp;2'!C48</f>
        <v>2749</v>
      </c>
      <c r="F48" s="1039">
        <f t="shared" si="24"/>
        <v>0.65091112723479616</v>
      </c>
      <c r="G48" s="1040">
        <f t="shared" si="25"/>
        <v>7206268.9842616627</v>
      </c>
      <c r="H48" s="1037">
        <f t="shared" si="26"/>
        <v>2621.4146905280695</v>
      </c>
      <c r="I48" s="1038">
        <f>'3_Levels 1&amp;2'!E48</f>
        <v>488.84</v>
      </c>
      <c r="J48" s="1039">
        <f t="shared" si="27"/>
        <v>0.11574805217804937</v>
      </c>
      <c r="K48" s="1040">
        <f t="shared" si="28"/>
        <v>1281452.3573177413</v>
      </c>
      <c r="L48" s="1038">
        <f>'3_Levels 1&amp;2'!D48</f>
        <v>2222</v>
      </c>
      <c r="M48" s="1037">
        <f t="shared" si="29"/>
        <v>576.71123191617517</v>
      </c>
      <c r="N48" s="1038">
        <f>'3_Levels 1&amp;2'!G48</f>
        <v>97.2</v>
      </c>
      <c r="O48" s="1039">
        <f t="shared" si="30"/>
        <v>2.3015118794915312E-2</v>
      </c>
      <c r="P48" s="1040">
        <f t="shared" si="31"/>
        <v>254801.50791932837</v>
      </c>
      <c r="Q48" s="1038">
        <f>'3_Levels 1&amp;2'!F48</f>
        <v>1620</v>
      </c>
      <c r="R48" s="1037">
        <f t="shared" si="32"/>
        <v>157.28488143168417</v>
      </c>
      <c r="S48" s="1038">
        <f>'3_Levels 1&amp;2'!I48</f>
        <v>504</v>
      </c>
      <c r="T48" s="1039">
        <f t="shared" si="33"/>
        <v>0.11933765301067198</v>
      </c>
      <c r="U48" s="1040">
        <f t="shared" si="34"/>
        <v>1321193.0040261471</v>
      </c>
      <c r="V48" s="1038">
        <f>'3_Levels 1&amp;2'!H48</f>
        <v>336</v>
      </c>
      <c r="W48" s="1037">
        <f t="shared" si="35"/>
        <v>3932.1220357921043</v>
      </c>
      <c r="X48" s="1038">
        <f>'3_Levels 1&amp;2'!K48</f>
        <v>36</v>
      </c>
      <c r="Y48" s="1039">
        <f t="shared" si="36"/>
        <v>8.5241180721908547E-3</v>
      </c>
      <c r="Z48" s="1040">
        <f t="shared" si="37"/>
        <v>94370.928859010484</v>
      </c>
      <c r="AA48" s="1038">
        <f>'3_Levels 1&amp;2'!J48</f>
        <v>60</v>
      </c>
      <c r="AB48" s="1037">
        <f t="shared" si="38"/>
        <v>1572.8488143168413</v>
      </c>
      <c r="AC48" s="1038">
        <f>'3_Levels 1&amp;2'!N48</f>
        <v>348.27080999999998</v>
      </c>
      <c r="AD48" s="1039">
        <f t="shared" si="39"/>
        <v>8.2463930709376326E-2</v>
      </c>
      <c r="AE48" s="1040">
        <f t="shared" si="40"/>
        <v>912962.21761611011</v>
      </c>
      <c r="AF48" s="1038">
        <f t="shared" si="41"/>
        <v>2749</v>
      </c>
      <c r="AG48" s="1037">
        <f t="shared" si="42"/>
        <v>332.10702714300112</v>
      </c>
      <c r="AH48" s="1041"/>
      <c r="AI48" s="1044">
        <f t="shared" si="43"/>
        <v>11071049</v>
      </c>
      <c r="AJ48" s="1043">
        <f t="shared" si="44"/>
        <v>0</v>
      </c>
      <c r="AK48" s="1044">
        <f t="shared" si="45"/>
        <v>11071049</v>
      </c>
      <c r="AL48" s="1043">
        <f t="shared" si="46"/>
        <v>0</v>
      </c>
    </row>
    <row r="49" spans="1:38" s="450" customFormat="1" ht="16.149999999999999" customHeight="1" x14ac:dyDescent="0.2">
      <c r="A49" s="1036">
        <v>43</v>
      </c>
      <c r="B49" s="1036" t="s">
        <v>47</v>
      </c>
      <c r="C49" s="1037">
        <f>'3_Levels 1&amp;2'!U49</f>
        <v>19196106</v>
      </c>
      <c r="D49" s="1038">
        <f>'3_Levels 1&amp;2'!P49</f>
        <v>6165.8043099999995</v>
      </c>
      <c r="E49" s="1038">
        <f>'3_Levels 1&amp;2'!C49</f>
        <v>4061</v>
      </c>
      <c r="F49" s="1039">
        <f t="shared" si="24"/>
        <v>0.65863264479764205</v>
      </c>
      <c r="G49" s="1040">
        <f t="shared" si="25"/>
        <v>12643182.064595886</v>
      </c>
      <c r="H49" s="1037">
        <f t="shared" si="26"/>
        <v>3113.3174254114469</v>
      </c>
      <c r="I49" s="1038">
        <f>'3_Levels 1&amp;2'!E49</f>
        <v>682.22</v>
      </c>
      <c r="J49" s="1039">
        <f t="shared" si="27"/>
        <v>0.11064574315041796</v>
      </c>
      <c r="K49" s="1040">
        <f t="shared" si="28"/>
        <v>2123967.413964197</v>
      </c>
      <c r="L49" s="1038">
        <f>'3_Levels 1&amp;2'!D49</f>
        <v>3101</v>
      </c>
      <c r="M49" s="1037">
        <f t="shared" si="29"/>
        <v>684.92983359051823</v>
      </c>
      <c r="N49" s="1038">
        <f>'3_Levels 1&amp;2'!G49</f>
        <v>163.35</v>
      </c>
      <c r="O49" s="1039">
        <f t="shared" si="30"/>
        <v>2.6492893998447384E-2</v>
      </c>
      <c r="P49" s="1040">
        <f t="shared" si="31"/>
        <v>508560.40144095983</v>
      </c>
      <c r="Q49" s="1038">
        <f>'3_Levels 1&amp;2'!F49</f>
        <v>2722.5</v>
      </c>
      <c r="R49" s="1037">
        <f t="shared" si="32"/>
        <v>186.79904552468682</v>
      </c>
      <c r="S49" s="1038">
        <f>'3_Levels 1&amp;2'!I49</f>
        <v>837</v>
      </c>
      <c r="T49" s="1039">
        <f t="shared" si="33"/>
        <v>0.13574871304989569</v>
      </c>
      <c r="U49" s="1040">
        <f t="shared" si="34"/>
        <v>2605846.6850693808</v>
      </c>
      <c r="V49" s="1038">
        <f>'3_Levels 1&amp;2'!H49</f>
        <v>558</v>
      </c>
      <c r="W49" s="1037">
        <f t="shared" si="35"/>
        <v>4669.9761381171702</v>
      </c>
      <c r="X49" s="1038">
        <f>'3_Levels 1&amp;2'!K49</f>
        <v>49.8</v>
      </c>
      <c r="Y49" s="1039">
        <f t="shared" si="36"/>
        <v>8.0768051492052621E-3</v>
      </c>
      <c r="Z49" s="1040">
        <f t="shared" si="37"/>
        <v>155043.20778549003</v>
      </c>
      <c r="AA49" s="1038">
        <f>'3_Levels 1&amp;2'!J49</f>
        <v>83</v>
      </c>
      <c r="AB49" s="1037">
        <f t="shared" si="38"/>
        <v>1867.9904552468679</v>
      </c>
      <c r="AC49" s="1038">
        <f>'3_Levels 1&amp;2'!N49</f>
        <v>372.43430999999998</v>
      </c>
      <c r="AD49" s="1039">
        <f t="shared" si="39"/>
        <v>6.0403199854391749E-2</v>
      </c>
      <c r="AE49" s="1040">
        <f t="shared" si="40"/>
        <v>1159506.2271440886</v>
      </c>
      <c r="AF49" s="1038">
        <f t="shared" si="41"/>
        <v>4061</v>
      </c>
      <c r="AG49" s="1037">
        <f t="shared" si="42"/>
        <v>285.5223410844838</v>
      </c>
      <c r="AH49" s="1041"/>
      <c r="AI49" s="1044">
        <f t="shared" si="43"/>
        <v>19196106</v>
      </c>
      <c r="AJ49" s="1043">
        <f t="shared" si="44"/>
        <v>0</v>
      </c>
      <c r="AK49" s="1044">
        <f t="shared" si="45"/>
        <v>19196106.000000004</v>
      </c>
      <c r="AL49" s="1043">
        <f t="shared" si="46"/>
        <v>0</v>
      </c>
    </row>
    <row r="50" spans="1:38" s="450" customFormat="1" ht="16.149999999999999" customHeight="1" x14ac:dyDescent="0.2">
      <c r="A50" s="1036">
        <v>44</v>
      </c>
      <c r="B50" s="1036" t="s">
        <v>48</v>
      </c>
      <c r="C50" s="1037">
        <f>'3_Levels 1&amp;2'!U50</f>
        <v>30071841</v>
      </c>
      <c r="D50" s="1038">
        <f>'3_Levels 1&amp;2'!P50</f>
        <v>10209.001759999999</v>
      </c>
      <c r="E50" s="1038">
        <f>'3_Levels 1&amp;2'!C50</f>
        <v>7428</v>
      </c>
      <c r="F50" s="1039">
        <f t="shared" si="24"/>
        <v>0.72759317459457473</v>
      </c>
      <c r="G50" s="1040">
        <f t="shared" si="25"/>
        <v>21880066.259093292</v>
      </c>
      <c r="H50" s="1037">
        <f t="shared" si="26"/>
        <v>2945.6201210411</v>
      </c>
      <c r="I50" s="1038">
        <f>'3_Levels 1&amp;2'!E50</f>
        <v>1282.1600000000001</v>
      </c>
      <c r="J50" s="1039">
        <f t="shared" si="27"/>
        <v>0.12559112341655626</v>
      </c>
      <c r="K50" s="1040">
        <f t="shared" si="28"/>
        <v>3776756.2943940568</v>
      </c>
      <c r="L50" s="1038">
        <f>'3_Levels 1&amp;2'!D50</f>
        <v>5828</v>
      </c>
      <c r="M50" s="1037">
        <f t="shared" si="29"/>
        <v>648.03642662904201</v>
      </c>
      <c r="N50" s="1038">
        <f>'3_Levels 1&amp;2'!G50</f>
        <v>181.38</v>
      </c>
      <c r="O50" s="1039">
        <f t="shared" si="30"/>
        <v>1.7766673399025844E-2</v>
      </c>
      <c r="P50" s="1040">
        <f t="shared" si="31"/>
        <v>534276.57755443477</v>
      </c>
      <c r="Q50" s="1038">
        <f>'3_Levels 1&amp;2'!F50</f>
        <v>3023</v>
      </c>
      <c r="R50" s="1037">
        <f t="shared" si="32"/>
        <v>176.73720726246603</v>
      </c>
      <c r="S50" s="1038">
        <f>'3_Levels 1&amp;2'!I50</f>
        <v>1224</v>
      </c>
      <c r="T50" s="1039">
        <f t="shared" si="33"/>
        <v>0.11989419032091538</v>
      </c>
      <c r="U50" s="1040">
        <f t="shared" si="34"/>
        <v>3605439.0281543061</v>
      </c>
      <c r="V50" s="1038">
        <f>'3_Levels 1&amp;2'!H50</f>
        <v>816</v>
      </c>
      <c r="W50" s="1037">
        <f t="shared" si="35"/>
        <v>4418.43018156165</v>
      </c>
      <c r="X50" s="1038">
        <f>'3_Levels 1&amp;2'!K50</f>
        <v>79.2</v>
      </c>
      <c r="Y50" s="1039">
        <f t="shared" si="36"/>
        <v>7.7578593737062896E-3</v>
      </c>
      <c r="Z50" s="1040">
        <f t="shared" si="37"/>
        <v>233293.11358645512</v>
      </c>
      <c r="AA50" s="1038">
        <f>'3_Levels 1&amp;2'!J50</f>
        <v>132</v>
      </c>
      <c r="AB50" s="1037">
        <f t="shared" si="38"/>
        <v>1767.3720726246599</v>
      </c>
      <c r="AC50" s="1038">
        <f>'3_Levels 1&amp;2'!N50</f>
        <v>14.261760000000001</v>
      </c>
      <c r="AD50" s="1039">
        <f t="shared" si="39"/>
        <v>1.3969788952215836E-3</v>
      </c>
      <c r="AE50" s="1040">
        <f t="shared" si="40"/>
        <v>42009.72721745912</v>
      </c>
      <c r="AF50" s="1038">
        <f t="shared" si="41"/>
        <v>7428</v>
      </c>
      <c r="AG50" s="1037">
        <f t="shared" si="42"/>
        <v>5.655590632398912</v>
      </c>
      <c r="AH50" s="1041"/>
      <c r="AI50" s="1044">
        <f t="shared" si="43"/>
        <v>30071841.000000004</v>
      </c>
      <c r="AJ50" s="1043">
        <f t="shared" si="44"/>
        <v>0</v>
      </c>
      <c r="AK50" s="1044">
        <f t="shared" si="45"/>
        <v>30071841.000000004</v>
      </c>
      <c r="AL50" s="1043">
        <f t="shared" si="46"/>
        <v>0</v>
      </c>
    </row>
    <row r="51" spans="1:38" s="451" customFormat="1" ht="16.149999999999999" customHeight="1" x14ac:dyDescent="0.2">
      <c r="A51" s="1045">
        <v>45</v>
      </c>
      <c r="B51" s="1045" t="s">
        <v>49</v>
      </c>
      <c r="C51" s="1046">
        <f>'3_Levels 1&amp;2'!U51</f>
        <v>18880913</v>
      </c>
      <c r="D51" s="1047">
        <f>'3_Levels 1&amp;2'!P51</f>
        <v>12881.560000000001</v>
      </c>
      <c r="E51" s="1048">
        <f>'3_Levels 1&amp;2'!C51</f>
        <v>9361</v>
      </c>
      <c r="F51" s="1049">
        <f t="shared" si="24"/>
        <v>0.72669769810488782</v>
      </c>
      <c r="G51" s="1050">
        <f t="shared" si="25"/>
        <v>13720716.015218653</v>
      </c>
      <c r="H51" s="1046">
        <f t="shared" si="26"/>
        <v>1465.7318678793561</v>
      </c>
      <c r="I51" s="1047">
        <f>'3_Levels 1&amp;2'!E51</f>
        <v>1205.1600000000001</v>
      </c>
      <c r="J51" s="1049">
        <f t="shared" si="27"/>
        <v>9.3556991544502366E-2</v>
      </c>
      <c r="K51" s="1050">
        <f t="shared" si="28"/>
        <v>1766441.4178934847</v>
      </c>
      <c r="L51" s="1047">
        <f>'3_Levels 1&amp;2'!D51</f>
        <v>5478</v>
      </c>
      <c r="M51" s="1046">
        <f t="shared" si="29"/>
        <v>322.46101093345834</v>
      </c>
      <c r="N51" s="1047">
        <f>'3_Levels 1&amp;2'!G51</f>
        <v>333.59999999999997</v>
      </c>
      <c r="O51" s="1049">
        <f t="shared" si="30"/>
        <v>2.5897484466167135E-2</v>
      </c>
      <c r="P51" s="1050">
        <f t="shared" si="31"/>
        <v>488968.15112455311</v>
      </c>
      <c r="Q51" s="1047">
        <f>'3_Levels 1&amp;2'!F51</f>
        <v>5560</v>
      </c>
      <c r="R51" s="1046">
        <f t="shared" si="32"/>
        <v>87.94391207276135</v>
      </c>
      <c r="S51" s="1047">
        <f>'3_Levels 1&amp;2'!I51</f>
        <v>1566</v>
      </c>
      <c r="T51" s="1049">
        <f t="shared" si="33"/>
        <v>0.12156912672067667</v>
      </c>
      <c r="U51" s="1050">
        <f t="shared" si="34"/>
        <v>2295336.1050990717</v>
      </c>
      <c r="V51" s="1047">
        <f>'3_Levels 1&amp;2'!H51</f>
        <v>1044</v>
      </c>
      <c r="W51" s="1046">
        <f t="shared" si="35"/>
        <v>2198.5978018190344</v>
      </c>
      <c r="X51" s="1047">
        <f>'3_Levels 1&amp;2'!K51</f>
        <v>415.8</v>
      </c>
      <c r="Y51" s="1049">
        <f t="shared" si="36"/>
        <v>3.2278699163765877E-2</v>
      </c>
      <c r="Z51" s="1050">
        <f t="shared" si="37"/>
        <v>609451.31066423631</v>
      </c>
      <c r="AA51" s="1047">
        <f>'3_Levels 1&amp;2'!J51</f>
        <v>693</v>
      </c>
      <c r="AB51" s="1046">
        <f t="shared" si="38"/>
        <v>879.43912072761373</v>
      </c>
      <c r="AC51" s="1047">
        <f>'3_Levels 1&amp;2'!N51</f>
        <v>0</v>
      </c>
      <c r="AD51" s="1049">
        <f t="shared" si="39"/>
        <v>0</v>
      </c>
      <c r="AE51" s="1050">
        <f t="shared" si="40"/>
        <v>0</v>
      </c>
      <c r="AF51" s="1048">
        <f t="shared" si="41"/>
        <v>9361</v>
      </c>
      <c r="AG51" s="1046">
        <f t="shared" si="42"/>
        <v>0</v>
      </c>
      <c r="AH51" s="1041"/>
      <c r="AI51" s="1051">
        <f t="shared" si="43"/>
        <v>18880913</v>
      </c>
      <c r="AJ51" s="1051">
        <f t="shared" si="44"/>
        <v>0</v>
      </c>
      <c r="AK51" s="1051">
        <f t="shared" si="45"/>
        <v>18880913</v>
      </c>
      <c r="AL51" s="1051">
        <f t="shared" si="46"/>
        <v>0</v>
      </c>
    </row>
    <row r="52" spans="1:38" s="450" customFormat="1" ht="16.149999999999999" customHeight="1" x14ac:dyDescent="0.2">
      <c r="A52" s="1036">
        <v>46</v>
      </c>
      <c r="B52" s="1036" t="s">
        <v>50</v>
      </c>
      <c r="C52" s="1037">
        <f>'3_Levels 1&amp;2'!U52</f>
        <v>6950772</v>
      </c>
      <c r="D52" s="1038">
        <f>'3_Levels 1&amp;2'!P52</f>
        <v>2052.3453500000001</v>
      </c>
      <c r="E52" s="1038">
        <f>'3_Levels 1&amp;2'!C52</f>
        <v>1195</v>
      </c>
      <c r="F52" s="1039">
        <f t="shared" si="24"/>
        <v>0.58226068044542312</v>
      </c>
      <c r="G52" s="1040">
        <f t="shared" si="25"/>
        <v>4047161.2343409946</v>
      </c>
      <c r="H52" s="1037">
        <f t="shared" si="26"/>
        <v>3386.7458027958114</v>
      </c>
      <c r="I52" s="1038">
        <f>'3_Levels 1&amp;2'!E52</f>
        <v>256.74</v>
      </c>
      <c r="J52" s="1039">
        <f t="shared" si="27"/>
        <v>0.12509590552096897</v>
      </c>
      <c r="K52" s="1040">
        <f t="shared" si="28"/>
        <v>869513.11740979657</v>
      </c>
      <c r="L52" s="1038">
        <f>'3_Levels 1&amp;2'!D52</f>
        <v>1167</v>
      </c>
      <c r="M52" s="1037">
        <f t="shared" si="29"/>
        <v>745.08407661507852</v>
      </c>
      <c r="N52" s="1038">
        <f>'3_Levels 1&amp;2'!G52</f>
        <v>72.39</v>
      </c>
      <c r="O52" s="1039">
        <f t="shared" si="30"/>
        <v>3.5271841554346595E-2</v>
      </c>
      <c r="P52" s="1040">
        <f t="shared" si="31"/>
        <v>245166.52866438878</v>
      </c>
      <c r="Q52" s="1038">
        <f>'3_Levels 1&amp;2'!F52</f>
        <v>1206.5</v>
      </c>
      <c r="R52" s="1037">
        <f t="shared" si="32"/>
        <v>203.20474816774868</v>
      </c>
      <c r="S52" s="1038">
        <f>'3_Levels 1&amp;2'!I52</f>
        <v>289.5</v>
      </c>
      <c r="T52" s="1039">
        <f t="shared" si="33"/>
        <v>0.14105813137150625</v>
      </c>
      <c r="U52" s="1040">
        <f t="shared" si="34"/>
        <v>980462.90990938724</v>
      </c>
      <c r="V52" s="1038">
        <f>'3_Levels 1&amp;2'!H52</f>
        <v>193</v>
      </c>
      <c r="W52" s="1037">
        <f t="shared" si="35"/>
        <v>5080.1187041937164</v>
      </c>
      <c r="X52" s="1038">
        <f>'3_Levels 1&amp;2'!K52</f>
        <v>37.799999999999997</v>
      </c>
      <c r="Y52" s="1039">
        <f t="shared" si="36"/>
        <v>1.8417952904466101E-2</v>
      </c>
      <c r="Z52" s="1040">
        <f t="shared" si="37"/>
        <v>128018.99134568164</v>
      </c>
      <c r="AA52" s="1038">
        <f>'3_Levels 1&amp;2'!J52</f>
        <v>63</v>
      </c>
      <c r="AB52" s="1037">
        <f t="shared" si="38"/>
        <v>2032.0474816774863</v>
      </c>
      <c r="AC52" s="1038">
        <f>'3_Levels 1&amp;2'!N52</f>
        <v>200.91534999999999</v>
      </c>
      <c r="AD52" s="1039">
        <f t="shared" si="39"/>
        <v>9.7895488203288972E-2</v>
      </c>
      <c r="AE52" s="1040">
        <f t="shared" si="40"/>
        <v>680449.21832975128</v>
      </c>
      <c r="AF52" s="1038">
        <f t="shared" si="41"/>
        <v>1195</v>
      </c>
      <c r="AG52" s="1037">
        <f t="shared" si="42"/>
        <v>569.41357182405966</v>
      </c>
      <c r="AH52" s="1041"/>
      <c r="AI52" s="1044">
        <f t="shared" si="43"/>
        <v>6950772</v>
      </c>
      <c r="AJ52" s="1043">
        <f t="shared" si="44"/>
        <v>0</v>
      </c>
      <c r="AK52" s="1044">
        <f t="shared" si="45"/>
        <v>6950771.9999999991</v>
      </c>
      <c r="AL52" s="1043">
        <f t="shared" si="46"/>
        <v>0</v>
      </c>
    </row>
    <row r="53" spans="1:38" s="450" customFormat="1" ht="16.149999999999999" customHeight="1" x14ac:dyDescent="0.2">
      <c r="A53" s="1036">
        <v>47</v>
      </c>
      <c r="B53" s="1036" t="s">
        <v>51</v>
      </c>
      <c r="C53" s="1037">
        <f>'3_Levels 1&amp;2'!U53</f>
        <v>7461937</v>
      </c>
      <c r="D53" s="1038">
        <f>'3_Levels 1&amp;2'!P53</f>
        <v>5458.52531</v>
      </c>
      <c r="E53" s="1038">
        <f>'3_Levels 1&amp;2'!C53</f>
        <v>3559</v>
      </c>
      <c r="F53" s="1039">
        <f t="shared" si="24"/>
        <v>0.65200760239765199</v>
      </c>
      <c r="G53" s="1040">
        <f t="shared" si="25"/>
        <v>4865239.6526123285</v>
      </c>
      <c r="H53" s="1037">
        <f t="shared" si="26"/>
        <v>1367.024347460615</v>
      </c>
      <c r="I53" s="1038">
        <f>'3_Levels 1&amp;2'!E53</f>
        <v>485.32</v>
      </c>
      <c r="J53" s="1039">
        <f t="shared" si="27"/>
        <v>8.8910460689977086E-2</v>
      </c>
      <c r="K53" s="1040">
        <f t="shared" si="28"/>
        <v>663444.25630958553</v>
      </c>
      <c r="L53" s="1038">
        <f>'3_Levels 1&amp;2'!D53</f>
        <v>2206</v>
      </c>
      <c r="M53" s="1037">
        <f t="shared" si="29"/>
        <v>300.74535644133522</v>
      </c>
      <c r="N53" s="1038">
        <f>'3_Levels 1&amp;2'!G53</f>
        <v>123.69</v>
      </c>
      <c r="O53" s="1039">
        <f t="shared" si="30"/>
        <v>2.2659966378355035E-2</v>
      </c>
      <c r="P53" s="1040">
        <f t="shared" si="31"/>
        <v>169087.24153740343</v>
      </c>
      <c r="Q53" s="1038">
        <f>'3_Levels 1&amp;2'!F53</f>
        <v>2061.5</v>
      </c>
      <c r="R53" s="1037">
        <f t="shared" si="32"/>
        <v>82.021460847636888</v>
      </c>
      <c r="S53" s="1038">
        <f>'3_Levels 1&amp;2'!I53</f>
        <v>850.5</v>
      </c>
      <c r="T53" s="1039">
        <f t="shared" si="33"/>
        <v>0.15581131380702529</v>
      </c>
      <c r="U53" s="1040">
        <f t="shared" si="34"/>
        <v>1162654.2075152528</v>
      </c>
      <c r="V53" s="1038">
        <f>'3_Levels 1&amp;2'!H53</f>
        <v>567</v>
      </c>
      <c r="W53" s="1037">
        <f t="shared" si="35"/>
        <v>2050.536521190922</v>
      </c>
      <c r="X53" s="1038">
        <f>'3_Levels 1&amp;2'!K53</f>
        <v>66</v>
      </c>
      <c r="Y53" s="1039">
        <f t="shared" si="36"/>
        <v>1.2091177791021363E-2</v>
      </c>
      <c r="Z53" s="1040">
        <f t="shared" si="37"/>
        <v>90223.60693240058</v>
      </c>
      <c r="AA53" s="1038">
        <f>'3_Levels 1&amp;2'!J53</f>
        <v>110</v>
      </c>
      <c r="AB53" s="1037">
        <f t="shared" si="38"/>
        <v>820.21460847636888</v>
      </c>
      <c r="AC53" s="1038">
        <f>'3_Levels 1&amp;2'!N53</f>
        <v>374.01531</v>
      </c>
      <c r="AD53" s="1039">
        <f t="shared" si="39"/>
        <v>6.8519478935969241E-2</v>
      </c>
      <c r="AE53" s="1040">
        <f t="shared" si="40"/>
        <v>511288.0350930295</v>
      </c>
      <c r="AF53" s="1038">
        <f t="shared" si="41"/>
        <v>3559</v>
      </c>
      <c r="AG53" s="1037">
        <f t="shared" si="42"/>
        <v>143.66058867463599</v>
      </c>
      <c r="AH53" s="1041"/>
      <c r="AI53" s="1044">
        <f t="shared" si="43"/>
        <v>7461937</v>
      </c>
      <c r="AJ53" s="1043">
        <f t="shared" si="44"/>
        <v>0</v>
      </c>
      <c r="AK53" s="1044">
        <f t="shared" si="45"/>
        <v>7461937</v>
      </c>
      <c r="AL53" s="1043">
        <f t="shared" si="46"/>
        <v>0</v>
      </c>
    </row>
    <row r="54" spans="1:38" s="450" customFormat="1" ht="16.149999999999999" customHeight="1" x14ac:dyDescent="0.2">
      <c r="A54" s="1036">
        <v>48</v>
      </c>
      <c r="B54" s="1036" t="s">
        <v>73</v>
      </c>
      <c r="C54" s="1037">
        <f>'3_Levels 1&amp;2'!U54</f>
        <v>20994293</v>
      </c>
      <c r="D54" s="1038">
        <f>'3_Levels 1&amp;2'!P54</f>
        <v>8691.2739999999994</v>
      </c>
      <c r="E54" s="1038">
        <f>'3_Levels 1&amp;2'!C54</f>
        <v>5835</v>
      </c>
      <c r="F54" s="1039">
        <f t="shared" si="24"/>
        <v>0.67136302456924046</v>
      </c>
      <c r="G54" s="1040">
        <f t="shared" si="25"/>
        <v>14094792.047172833</v>
      </c>
      <c r="H54" s="1037">
        <f t="shared" si="26"/>
        <v>2415.5599052566981</v>
      </c>
      <c r="I54" s="1038">
        <f>'3_Levels 1&amp;2'!E54</f>
        <v>1031.8</v>
      </c>
      <c r="J54" s="1039">
        <f t="shared" si="27"/>
        <v>0.1187167727078907</v>
      </c>
      <c r="K54" s="1040">
        <f t="shared" si="28"/>
        <v>2492374.7102438607</v>
      </c>
      <c r="L54" s="1038">
        <f>'3_Levels 1&amp;2'!D54</f>
        <v>4690</v>
      </c>
      <c r="M54" s="1037">
        <f t="shared" si="29"/>
        <v>531.42317915647345</v>
      </c>
      <c r="N54" s="1038">
        <f>'3_Levels 1&amp;2'!G54</f>
        <v>260.39999999999998</v>
      </c>
      <c r="O54" s="1039">
        <f t="shared" si="30"/>
        <v>2.9961085106740393E-2</v>
      </c>
      <c r="P54" s="1040">
        <f t="shared" si="31"/>
        <v>629011.79932884406</v>
      </c>
      <c r="Q54" s="1038">
        <f>'3_Levels 1&amp;2'!F54</f>
        <v>4340</v>
      </c>
      <c r="R54" s="1037">
        <f t="shared" si="32"/>
        <v>144.93359431540185</v>
      </c>
      <c r="S54" s="1038">
        <f>'3_Levels 1&amp;2'!I54</f>
        <v>1215</v>
      </c>
      <c r="T54" s="1039">
        <f t="shared" si="33"/>
        <v>0.13979538557868501</v>
      </c>
      <c r="U54" s="1040">
        <f t="shared" si="34"/>
        <v>2934905.2848868878</v>
      </c>
      <c r="V54" s="1038">
        <f>'3_Levels 1&amp;2'!H54</f>
        <v>810</v>
      </c>
      <c r="W54" s="1037">
        <f t="shared" si="35"/>
        <v>3623.3398578850465</v>
      </c>
      <c r="X54" s="1038">
        <f>'3_Levels 1&amp;2'!K54</f>
        <v>90</v>
      </c>
      <c r="Y54" s="1039">
        <f t="shared" si="36"/>
        <v>1.0355213746569262E-2</v>
      </c>
      <c r="Z54" s="1040">
        <f t="shared" si="37"/>
        <v>217400.39147310282</v>
      </c>
      <c r="AA54" s="1038">
        <f>'3_Levels 1&amp;2'!J54</f>
        <v>150</v>
      </c>
      <c r="AB54" s="1037">
        <f t="shared" si="38"/>
        <v>1449.3359431540189</v>
      </c>
      <c r="AC54" s="1038">
        <f>'3_Levels 1&amp;2'!N54</f>
        <v>259.07400000000001</v>
      </c>
      <c r="AD54" s="1039">
        <f t="shared" si="39"/>
        <v>2.9808518290874275E-2</v>
      </c>
      <c r="AE54" s="1040">
        <f t="shared" si="40"/>
        <v>625808.76689447381</v>
      </c>
      <c r="AF54" s="1038">
        <f t="shared" si="41"/>
        <v>5835</v>
      </c>
      <c r="AG54" s="1037">
        <f t="shared" si="42"/>
        <v>107.2508597933974</v>
      </c>
      <c r="AH54" s="1041"/>
      <c r="AI54" s="1044">
        <f t="shared" si="43"/>
        <v>20994293</v>
      </c>
      <c r="AJ54" s="1043">
        <f t="shared" si="44"/>
        <v>0</v>
      </c>
      <c r="AK54" s="1044">
        <f t="shared" si="45"/>
        <v>20994293.000000004</v>
      </c>
      <c r="AL54" s="1043">
        <f t="shared" si="46"/>
        <v>0</v>
      </c>
    </row>
    <row r="55" spans="1:38" s="450" customFormat="1" ht="16.149999999999999" customHeight="1" x14ac:dyDescent="0.2">
      <c r="A55" s="1036">
        <v>49</v>
      </c>
      <c r="B55" s="1036" t="s">
        <v>52</v>
      </c>
      <c r="C55" s="1037">
        <f>'3_Levels 1&amp;2'!U55</f>
        <v>58502130</v>
      </c>
      <c r="D55" s="1038">
        <f>'3_Levels 1&amp;2'!P55</f>
        <v>19309.14</v>
      </c>
      <c r="E55" s="1038">
        <f>'3_Levels 1&amp;2'!C55</f>
        <v>13314</v>
      </c>
      <c r="F55" s="1039">
        <f t="shared" si="24"/>
        <v>0.68951802099938164</v>
      </c>
      <c r="G55" s="1040">
        <f t="shared" si="25"/>
        <v>40338272.901848555</v>
      </c>
      <c r="H55" s="1037">
        <f t="shared" si="26"/>
        <v>3029.7636248947388</v>
      </c>
      <c r="I55" s="1038">
        <f>'3_Levels 1&amp;2'!E55</f>
        <v>2249.94</v>
      </c>
      <c r="J55" s="1039">
        <f t="shared" si="27"/>
        <v>0.11652202014175671</v>
      </c>
      <c r="K55" s="1040">
        <f t="shared" si="28"/>
        <v>6816786.3701956691</v>
      </c>
      <c r="L55" s="1038">
        <f>'3_Levels 1&amp;2'!D55</f>
        <v>10227</v>
      </c>
      <c r="M55" s="1037">
        <f t="shared" si="29"/>
        <v>666.54799747684262</v>
      </c>
      <c r="N55" s="1038">
        <f>'3_Levels 1&amp;2'!G55</f>
        <v>470.7</v>
      </c>
      <c r="O55" s="1039">
        <f t="shared" si="30"/>
        <v>2.4377056668499996E-2</v>
      </c>
      <c r="P55" s="1040">
        <f t="shared" si="31"/>
        <v>1426109.7382379537</v>
      </c>
      <c r="Q55" s="1038">
        <f>'3_Levels 1&amp;2'!F55</f>
        <v>7845</v>
      </c>
      <c r="R55" s="1037">
        <f t="shared" si="32"/>
        <v>181.78581749368436</v>
      </c>
      <c r="S55" s="1038">
        <f>'3_Levels 1&amp;2'!I55</f>
        <v>3106.5</v>
      </c>
      <c r="T55" s="1039">
        <f t="shared" si="33"/>
        <v>0.16088235933863446</v>
      </c>
      <c r="U55" s="1040">
        <f t="shared" si="34"/>
        <v>9411960.7007355075</v>
      </c>
      <c r="V55" s="1038">
        <f>'3_Levels 1&amp;2'!H55</f>
        <v>2071</v>
      </c>
      <c r="W55" s="1037">
        <f t="shared" si="35"/>
        <v>4544.6454373421093</v>
      </c>
      <c r="X55" s="1038">
        <f>'3_Levels 1&amp;2'!K55</f>
        <v>168</v>
      </c>
      <c r="Y55" s="1039">
        <f t="shared" si="36"/>
        <v>8.7005428517272134E-3</v>
      </c>
      <c r="Z55" s="1040">
        <f t="shared" si="37"/>
        <v>509000.28898231615</v>
      </c>
      <c r="AA55" s="1038">
        <f>'3_Levels 1&amp;2'!J55</f>
        <v>280</v>
      </c>
      <c r="AB55" s="1037">
        <f t="shared" si="38"/>
        <v>1817.8581749368434</v>
      </c>
      <c r="AC55" s="1038">
        <f>'3_Levels 1&amp;2'!N55</f>
        <v>0</v>
      </c>
      <c r="AD55" s="1039">
        <f t="shared" si="39"/>
        <v>0</v>
      </c>
      <c r="AE55" s="1040">
        <f t="shared" si="40"/>
        <v>0</v>
      </c>
      <c r="AF55" s="1038">
        <f t="shared" si="41"/>
        <v>13314</v>
      </c>
      <c r="AG55" s="1037">
        <f t="shared" si="42"/>
        <v>0</v>
      </c>
      <c r="AH55" s="1041"/>
      <c r="AI55" s="1044">
        <f t="shared" si="43"/>
        <v>58502130</v>
      </c>
      <c r="AJ55" s="1043">
        <f t="shared" si="44"/>
        <v>0</v>
      </c>
      <c r="AK55" s="1044">
        <f t="shared" si="45"/>
        <v>58502130.000000007</v>
      </c>
      <c r="AL55" s="1043">
        <f t="shared" si="46"/>
        <v>0</v>
      </c>
    </row>
    <row r="56" spans="1:38" s="451" customFormat="1" ht="16.149999999999999" customHeight="1" x14ac:dyDescent="0.2">
      <c r="A56" s="1045">
        <v>50</v>
      </c>
      <c r="B56" s="1045" t="s">
        <v>53</v>
      </c>
      <c r="C56" s="1046">
        <f>'3_Levels 1&amp;2'!U56</f>
        <v>30477231</v>
      </c>
      <c r="D56" s="1047">
        <f>'3_Levels 1&amp;2'!P56</f>
        <v>10529.24</v>
      </c>
      <c r="E56" s="1048">
        <f>'3_Levels 1&amp;2'!C56</f>
        <v>7557</v>
      </c>
      <c r="F56" s="1049">
        <f t="shared" si="24"/>
        <v>0.71771561860115263</v>
      </c>
      <c r="G56" s="1050">
        <f t="shared" si="25"/>
        <v>21873984.700415224</v>
      </c>
      <c r="H56" s="1046">
        <f t="shared" si="26"/>
        <v>2894.532843775999</v>
      </c>
      <c r="I56" s="1047">
        <f>'3_Levels 1&amp;2'!E56</f>
        <v>1195.04</v>
      </c>
      <c r="J56" s="1049">
        <f t="shared" si="27"/>
        <v>0.11349727045826669</v>
      </c>
      <c r="K56" s="1050">
        <f t="shared" si="28"/>
        <v>3459082.5296260696</v>
      </c>
      <c r="L56" s="1047">
        <f>'3_Levels 1&amp;2'!D56</f>
        <v>5432</v>
      </c>
      <c r="M56" s="1046">
        <f t="shared" si="29"/>
        <v>636.79722563071971</v>
      </c>
      <c r="N56" s="1047">
        <f>'3_Levels 1&amp;2'!G56</f>
        <v>255</v>
      </c>
      <c r="O56" s="1049">
        <f t="shared" si="30"/>
        <v>2.4218272163992843E-2</v>
      </c>
      <c r="P56" s="1050">
        <f t="shared" si="31"/>
        <v>738105.8751628797</v>
      </c>
      <c r="Q56" s="1047">
        <f>'3_Levels 1&amp;2'!F56</f>
        <v>4250</v>
      </c>
      <c r="R56" s="1046">
        <f t="shared" si="32"/>
        <v>173.67197062655993</v>
      </c>
      <c r="S56" s="1047">
        <f>'3_Levels 1&amp;2'!I56</f>
        <v>1314</v>
      </c>
      <c r="T56" s="1049">
        <f t="shared" si="33"/>
        <v>0.12479533185681017</v>
      </c>
      <c r="U56" s="1050">
        <f t="shared" si="34"/>
        <v>3803416.1567216627</v>
      </c>
      <c r="V56" s="1047">
        <f>'3_Levels 1&amp;2'!H56</f>
        <v>876</v>
      </c>
      <c r="W56" s="1046">
        <f t="shared" si="35"/>
        <v>4341.799265663999</v>
      </c>
      <c r="X56" s="1047">
        <f>'3_Levels 1&amp;2'!K56</f>
        <v>208.2</v>
      </c>
      <c r="Y56" s="1049">
        <f t="shared" si="36"/>
        <v>1.9773506919777684E-2</v>
      </c>
      <c r="Z56" s="1050">
        <f t="shared" si="37"/>
        <v>602641.73807416297</v>
      </c>
      <c r="AA56" s="1047">
        <f>'3_Levels 1&amp;2'!J56</f>
        <v>347</v>
      </c>
      <c r="AB56" s="1046">
        <f t="shared" si="38"/>
        <v>1736.7197062655994</v>
      </c>
      <c r="AC56" s="1047">
        <f>'3_Levels 1&amp;2'!N56</f>
        <v>0</v>
      </c>
      <c r="AD56" s="1049">
        <f t="shared" si="39"/>
        <v>0</v>
      </c>
      <c r="AE56" s="1050">
        <f t="shared" si="40"/>
        <v>0</v>
      </c>
      <c r="AF56" s="1048">
        <f t="shared" si="41"/>
        <v>7557</v>
      </c>
      <c r="AG56" s="1046">
        <f t="shared" si="42"/>
        <v>0</v>
      </c>
      <c r="AH56" s="1041"/>
      <c r="AI56" s="1051">
        <f t="shared" si="43"/>
        <v>30477231</v>
      </c>
      <c r="AJ56" s="1051">
        <f t="shared" si="44"/>
        <v>0</v>
      </c>
      <c r="AK56" s="1051">
        <f t="shared" si="45"/>
        <v>30477231</v>
      </c>
      <c r="AL56" s="1051">
        <f t="shared" si="46"/>
        <v>0</v>
      </c>
    </row>
    <row r="57" spans="1:38" s="450" customFormat="1" ht="16.149999999999999" customHeight="1" x14ac:dyDescent="0.2">
      <c r="A57" s="1036">
        <v>51</v>
      </c>
      <c r="B57" s="1036" t="s">
        <v>54</v>
      </c>
      <c r="C57" s="1037">
        <f>'3_Levels 1&amp;2'!U57</f>
        <v>34212971</v>
      </c>
      <c r="D57" s="1038">
        <f>'3_Levels 1&amp;2'!P57</f>
        <v>12311.07</v>
      </c>
      <c r="E57" s="1038">
        <f>'3_Levels 1&amp;2'!C57</f>
        <v>8268</v>
      </c>
      <c r="F57" s="1039">
        <f t="shared" si="24"/>
        <v>0.67159069032992258</v>
      </c>
      <c r="G57" s="1040">
        <f t="shared" si="25"/>
        <v>22977112.81212762</v>
      </c>
      <c r="H57" s="1037">
        <f t="shared" si="26"/>
        <v>2779.0412206250144</v>
      </c>
      <c r="I57" s="1038">
        <f>'3_Levels 1&amp;2'!E57</f>
        <v>1428.9</v>
      </c>
      <c r="J57" s="1039">
        <f t="shared" si="27"/>
        <v>0.11606627206246087</v>
      </c>
      <c r="K57" s="1040">
        <f t="shared" si="28"/>
        <v>3970972.0001510838</v>
      </c>
      <c r="L57" s="1038">
        <f>'3_Levels 1&amp;2'!D57</f>
        <v>6495</v>
      </c>
      <c r="M57" s="1037">
        <f t="shared" si="29"/>
        <v>611.38906853750325</v>
      </c>
      <c r="N57" s="1038">
        <f>'3_Levels 1&amp;2'!G57</f>
        <v>237.87</v>
      </c>
      <c r="O57" s="1039">
        <f t="shared" si="30"/>
        <v>1.9321634918816968E-2</v>
      </c>
      <c r="P57" s="1040">
        <f t="shared" si="31"/>
        <v>661050.5351500723</v>
      </c>
      <c r="Q57" s="1038">
        <f>'3_Levels 1&amp;2'!F57</f>
        <v>3964.5</v>
      </c>
      <c r="R57" s="1037">
        <f t="shared" si="32"/>
        <v>166.74247323750089</v>
      </c>
      <c r="S57" s="1038">
        <f>'3_Levels 1&amp;2'!I57</f>
        <v>2065.5</v>
      </c>
      <c r="T57" s="1039">
        <f t="shared" si="33"/>
        <v>0.16777583102037436</v>
      </c>
      <c r="U57" s="1040">
        <f t="shared" si="34"/>
        <v>5740109.6412009681</v>
      </c>
      <c r="V57" s="1038">
        <f>'3_Levels 1&amp;2'!H57</f>
        <v>1377</v>
      </c>
      <c r="W57" s="1037">
        <f t="shared" si="35"/>
        <v>4168.5618309375222</v>
      </c>
      <c r="X57" s="1038">
        <f>'3_Levels 1&amp;2'!K57</f>
        <v>310.8</v>
      </c>
      <c r="Y57" s="1039">
        <f t="shared" si="36"/>
        <v>2.5245571668425247E-2</v>
      </c>
      <c r="Z57" s="1040">
        <f t="shared" si="37"/>
        <v>863726.01137025456</v>
      </c>
      <c r="AA57" s="1038">
        <f>'3_Levels 1&amp;2'!J57</f>
        <v>518</v>
      </c>
      <c r="AB57" s="1037">
        <f t="shared" si="38"/>
        <v>1667.4247323750087</v>
      </c>
      <c r="AC57" s="1038">
        <f>'3_Levels 1&amp;2'!N57</f>
        <v>0</v>
      </c>
      <c r="AD57" s="1039">
        <f t="shared" si="39"/>
        <v>0</v>
      </c>
      <c r="AE57" s="1040">
        <f t="shared" si="40"/>
        <v>0</v>
      </c>
      <c r="AF57" s="1038">
        <f t="shared" si="41"/>
        <v>8268</v>
      </c>
      <c r="AG57" s="1037">
        <f t="shared" si="42"/>
        <v>0</v>
      </c>
      <c r="AH57" s="1041"/>
      <c r="AI57" s="1044">
        <f t="shared" si="43"/>
        <v>34212971</v>
      </c>
      <c r="AJ57" s="1043">
        <f t="shared" si="44"/>
        <v>0</v>
      </c>
      <c r="AK57" s="1044">
        <f t="shared" si="45"/>
        <v>34212971</v>
      </c>
      <c r="AL57" s="1043">
        <f t="shared" si="46"/>
        <v>0</v>
      </c>
    </row>
    <row r="58" spans="1:38" s="450" customFormat="1" ht="16.149999999999999" customHeight="1" x14ac:dyDescent="0.2">
      <c r="A58" s="1036">
        <v>52</v>
      </c>
      <c r="B58" s="1036" t="s">
        <v>55</v>
      </c>
      <c r="C58" s="1037">
        <f>'3_Levels 1&amp;2'!U58</f>
        <v>153554457</v>
      </c>
      <c r="D58" s="1038">
        <f>'3_Levels 1&amp;2'!P58</f>
        <v>55329.36</v>
      </c>
      <c r="E58" s="1038">
        <f>'3_Levels 1&amp;2'!C58</f>
        <v>37718</v>
      </c>
      <c r="F58" s="1039">
        <f t="shared" si="24"/>
        <v>0.6816995533655188</v>
      </c>
      <c r="G58" s="1040">
        <f t="shared" si="25"/>
        <v>104678004.75418477</v>
      </c>
      <c r="H58" s="1037">
        <f t="shared" si="26"/>
        <v>2775.2798333470696</v>
      </c>
      <c r="I58" s="1038">
        <f>'3_Levels 1&amp;2'!E58</f>
        <v>4372.72</v>
      </c>
      <c r="J58" s="1039">
        <f t="shared" si="27"/>
        <v>7.9030735219059109E-2</v>
      </c>
      <c r="K58" s="1040">
        <f t="shared" si="28"/>
        <v>12135521.632873397</v>
      </c>
      <c r="L58" s="1038">
        <f>'3_Levels 1&amp;2'!D58</f>
        <v>19876</v>
      </c>
      <c r="M58" s="1037">
        <f t="shared" si="29"/>
        <v>610.56156333635522</v>
      </c>
      <c r="N58" s="1038">
        <f>'3_Levels 1&amp;2'!G58</f>
        <v>878.33999999999992</v>
      </c>
      <c r="O58" s="1039">
        <f t="shared" si="30"/>
        <v>1.5874754379953063E-2</v>
      </c>
      <c r="P58" s="1040">
        <f t="shared" si="31"/>
        <v>2437639.2888220642</v>
      </c>
      <c r="Q58" s="1038">
        <f>'3_Levels 1&amp;2'!F58</f>
        <v>14639</v>
      </c>
      <c r="R58" s="1037">
        <f t="shared" si="32"/>
        <v>166.5167900008241</v>
      </c>
      <c r="S58" s="1038">
        <f>'3_Levels 1&amp;2'!I58</f>
        <v>10702.5</v>
      </c>
      <c r="T58" s="1039">
        <f t="shared" si="33"/>
        <v>0.19343256455523794</v>
      </c>
      <c r="U58" s="1040">
        <f t="shared" si="34"/>
        <v>29702432.416397009</v>
      </c>
      <c r="V58" s="1038">
        <f>'3_Levels 1&amp;2'!H58</f>
        <v>7135</v>
      </c>
      <c r="W58" s="1037">
        <f t="shared" si="35"/>
        <v>4162.9197500206037</v>
      </c>
      <c r="X58" s="1038">
        <f>'3_Levels 1&amp;2'!K58</f>
        <v>1657.8</v>
      </c>
      <c r="Y58" s="1039">
        <f t="shared" si="36"/>
        <v>2.9962392480231109E-2</v>
      </c>
      <c r="Z58" s="1040">
        <f t="shared" si="37"/>
        <v>4600858.9077227712</v>
      </c>
      <c r="AA58" s="1038">
        <f>'3_Levels 1&amp;2'!J58</f>
        <v>2763</v>
      </c>
      <c r="AB58" s="1037">
        <f t="shared" si="38"/>
        <v>1665.1679000082415</v>
      </c>
      <c r="AC58" s="1038">
        <f>'3_Levels 1&amp;2'!N58</f>
        <v>0</v>
      </c>
      <c r="AD58" s="1039">
        <f t="shared" si="39"/>
        <v>0</v>
      </c>
      <c r="AE58" s="1040">
        <f t="shared" si="40"/>
        <v>0</v>
      </c>
      <c r="AF58" s="1038">
        <f t="shared" si="41"/>
        <v>37718</v>
      </c>
      <c r="AG58" s="1037">
        <f t="shared" si="42"/>
        <v>0</v>
      </c>
      <c r="AH58" s="1041"/>
      <c r="AI58" s="1044">
        <f t="shared" si="43"/>
        <v>153554457</v>
      </c>
      <c r="AJ58" s="1043">
        <f t="shared" si="44"/>
        <v>0</v>
      </c>
      <c r="AK58" s="1044">
        <f t="shared" si="45"/>
        <v>153554457.00000003</v>
      </c>
      <c r="AL58" s="1043">
        <f t="shared" si="46"/>
        <v>0</v>
      </c>
    </row>
    <row r="59" spans="1:38" s="450" customFormat="1" ht="16.149999999999999" customHeight="1" x14ac:dyDescent="0.2">
      <c r="A59" s="1036">
        <v>53</v>
      </c>
      <c r="B59" s="1036" t="s">
        <v>56</v>
      </c>
      <c r="C59" s="1037">
        <f>'3_Levels 1&amp;2'!U59</f>
        <v>84052112</v>
      </c>
      <c r="D59" s="1038">
        <f>'3_Levels 1&amp;2'!P59</f>
        <v>27262.62</v>
      </c>
      <c r="E59" s="1038">
        <f>'3_Levels 1&amp;2'!C59</f>
        <v>19479</v>
      </c>
      <c r="F59" s="1039">
        <f t="shared" si="24"/>
        <v>0.71449479176982988</v>
      </c>
      <c r="G59" s="1040">
        <f t="shared" si="25"/>
        <v>60054796.261254422</v>
      </c>
      <c r="H59" s="1037">
        <f t="shared" si="26"/>
        <v>3083.0533529059203</v>
      </c>
      <c r="I59" s="1038">
        <f>'3_Levels 1&amp;2'!E59</f>
        <v>3148.86</v>
      </c>
      <c r="J59" s="1039">
        <f t="shared" si="27"/>
        <v>0.11550100467233157</v>
      </c>
      <c r="K59" s="1040">
        <f t="shared" si="28"/>
        <v>9708103.3808313366</v>
      </c>
      <c r="L59" s="1038">
        <f>'3_Levels 1&amp;2'!D59</f>
        <v>14313</v>
      </c>
      <c r="M59" s="1037">
        <f t="shared" si="29"/>
        <v>678.2717376393025</v>
      </c>
      <c r="N59" s="1038">
        <f>'3_Levels 1&amp;2'!G59</f>
        <v>632.76</v>
      </c>
      <c r="O59" s="1039">
        <f t="shared" si="30"/>
        <v>2.3209801552455341E-2</v>
      </c>
      <c r="P59" s="1040">
        <f t="shared" si="31"/>
        <v>1950832.8395847501</v>
      </c>
      <c r="Q59" s="1038">
        <f>'3_Levels 1&amp;2'!F59</f>
        <v>10546</v>
      </c>
      <c r="R59" s="1037">
        <f t="shared" si="32"/>
        <v>184.98320117435523</v>
      </c>
      <c r="S59" s="1038">
        <f>'3_Levels 1&amp;2'!I59</f>
        <v>3732</v>
      </c>
      <c r="T59" s="1039">
        <f t="shared" si="33"/>
        <v>0.13689073170516994</v>
      </c>
      <c r="U59" s="1040">
        <f t="shared" si="34"/>
        <v>11505955.113044895</v>
      </c>
      <c r="V59" s="1038">
        <f>'3_Levels 1&amp;2'!H59</f>
        <v>2488</v>
      </c>
      <c r="W59" s="1037">
        <f t="shared" si="35"/>
        <v>4624.5800293588809</v>
      </c>
      <c r="X59" s="1038">
        <f>'3_Levels 1&amp;2'!K59</f>
        <v>270</v>
      </c>
      <c r="Y59" s="1039">
        <f t="shared" si="36"/>
        <v>9.9036703002132586E-3</v>
      </c>
      <c r="Z59" s="1040">
        <f t="shared" si="37"/>
        <v>832424.40528459847</v>
      </c>
      <c r="AA59" s="1038">
        <f>'3_Levels 1&amp;2'!J59</f>
        <v>450</v>
      </c>
      <c r="AB59" s="1037">
        <f t="shared" si="38"/>
        <v>1849.8320117435521</v>
      </c>
      <c r="AC59" s="1038">
        <f>'3_Levels 1&amp;2'!N59</f>
        <v>0</v>
      </c>
      <c r="AD59" s="1039">
        <f t="shared" si="39"/>
        <v>0</v>
      </c>
      <c r="AE59" s="1040">
        <f t="shared" si="40"/>
        <v>0</v>
      </c>
      <c r="AF59" s="1038">
        <f t="shared" si="41"/>
        <v>19479</v>
      </c>
      <c r="AG59" s="1037">
        <f t="shared" si="42"/>
        <v>0</v>
      </c>
      <c r="AH59" s="1041"/>
      <c r="AI59" s="1044">
        <f t="shared" si="43"/>
        <v>84052112</v>
      </c>
      <c r="AJ59" s="1043">
        <f t="shared" si="44"/>
        <v>0</v>
      </c>
      <c r="AK59" s="1044">
        <f t="shared" si="45"/>
        <v>84052112.000000015</v>
      </c>
      <c r="AL59" s="1043">
        <f t="shared" si="46"/>
        <v>0</v>
      </c>
    </row>
    <row r="60" spans="1:38" s="450" customFormat="1" ht="16.149999999999999" customHeight="1" x14ac:dyDescent="0.2">
      <c r="A60" s="1036">
        <v>54</v>
      </c>
      <c r="B60" s="1036" t="s">
        <v>57</v>
      </c>
      <c r="C60" s="1037">
        <f>'3_Levels 1&amp;2'!U60</f>
        <v>2185948</v>
      </c>
      <c r="D60" s="1038">
        <f>'3_Levels 1&amp;2'!P60</f>
        <v>848.16143999999997</v>
      </c>
      <c r="E60" s="1038">
        <f>'3_Levels 1&amp;2'!C60</f>
        <v>486</v>
      </c>
      <c r="F60" s="1039">
        <f t="shared" si="24"/>
        <v>0.5730041205362979</v>
      </c>
      <c r="G60" s="1040">
        <f t="shared" si="25"/>
        <v>1252557.2112780793</v>
      </c>
      <c r="H60" s="1037">
        <f t="shared" si="26"/>
        <v>2577.2782125063359</v>
      </c>
      <c r="I60" s="1038">
        <f>'3_Levels 1&amp;2'!E60</f>
        <v>99.66</v>
      </c>
      <c r="J60" s="1039">
        <f t="shared" si="27"/>
        <v>0.11750121533466554</v>
      </c>
      <c r="K60" s="1040">
        <f t="shared" si="28"/>
        <v>256851.54665838147</v>
      </c>
      <c r="L60" s="1038">
        <f>'3_Levels 1&amp;2'!D60</f>
        <v>453</v>
      </c>
      <c r="M60" s="1037">
        <f t="shared" si="29"/>
        <v>567.00120675139397</v>
      </c>
      <c r="N60" s="1038">
        <f>'3_Levels 1&amp;2'!G60</f>
        <v>24.599999999999998</v>
      </c>
      <c r="O60" s="1039">
        <f t="shared" si="30"/>
        <v>2.9003912274059521E-2</v>
      </c>
      <c r="P60" s="1040">
        <f t="shared" si="31"/>
        <v>63401.044027655866</v>
      </c>
      <c r="Q60" s="1038">
        <f>'3_Levels 1&amp;2'!F60</f>
        <v>410</v>
      </c>
      <c r="R60" s="1037">
        <f t="shared" si="32"/>
        <v>154.63669275038015</v>
      </c>
      <c r="S60" s="1038">
        <f>'3_Levels 1&amp;2'!I60</f>
        <v>135</v>
      </c>
      <c r="T60" s="1039">
        <f t="shared" si="33"/>
        <v>0.15916781126008275</v>
      </c>
      <c r="U60" s="1040">
        <f t="shared" si="34"/>
        <v>347932.55868835538</v>
      </c>
      <c r="V60" s="1038">
        <f>'3_Levels 1&amp;2'!H60</f>
        <v>90</v>
      </c>
      <c r="W60" s="1037">
        <f t="shared" si="35"/>
        <v>3865.9173187595043</v>
      </c>
      <c r="X60" s="1038">
        <f>'3_Levels 1&amp;2'!K60</f>
        <v>12</v>
      </c>
      <c r="Y60" s="1039">
        <f t="shared" si="36"/>
        <v>1.4148249889785134E-2</v>
      </c>
      <c r="Z60" s="1040">
        <f t="shared" si="37"/>
        <v>30927.338550076034</v>
      </c>
      <c r="AA60" s="1038">
        <f>'3_Levels 1&amp;2'!J60</f>
        <v>20</v>
      </c>
      <c r="AB60" s="1037">
        <f t="shared" si="38"/>
        <v>1546.3669275038017</v>
      </c>
      <c r="AC60" s="1038">
        <f>'3_Levels 1&amp;2'!N60</f>
        <v>90.901440000000008</v>
      </c>
      <c r="AD60" s="1039">
        <f t="shared" si="39"/>
        <v>0.10717469070510917</v>
      </c>
      <c r="AE60" s="1040">
        <f t="shared" si="40"/>
        <v>234278.30079745199</v>
      </c>
      <c r="AF60" s="1038">
        <f t="shared" si="41"/>
        <v>486</v>
      </c>
      <c r="AG60" s="1037">
        <f t="shared" si="42"/>
        <v>482.05411686718514</v>
      </c>
      <c r="AH60" s="1041"/>
      <c r="AI60" s="1044">
        <f t="shared" si="43"/>
        <v>2185948</v>
      </c>
      <c r="AJ60" s="1043">
        <f t="shared" si="44"/>
        <v>0</v>
      </c>
      <c r="AK60" s="1044">
        <f t="shared" si="45"/>
        <v>2185948</v>
      </c>
      <c r="AL60" s="1043">
        <f t="shared" si="46"/>
        <v>0</v>
      </c>
    </row>
    <row r="61" spans="1:38" s="451" customFormat="1" ht="16.149999999999999" customHeight="1" x14ac:dyDescent="0.2">
      <c r="A61" s="1045">
        <v>55</v>
      </c>
      <c r="B61" s="1045" t="s">
        <v>58</v>
      </c>
      <c r="C61" s="1046">
        <f>'3_Levels 1&amp;2'!U61</f>
        <v>62975114</v>
      </c>
      <c r="D61" s="1047">
        <f>'3_Levels 1&amp;2'!P61</f>
        <v>23325.41</v>
      </c>
      <c r="E61" s="1048">
        <f>'3_Levels 1&amp;2'!C61</f>
        <v>16755</v>
      </c>
      <c r="F61" s="1049">
        <f t="shared" si="24"/>
        <v>0.71831534794029339</v>
      </c>
      <c r="G61" s="1050">
        <f t="shared" si="25"/>
        <v>45235990.92448964</v>
      </c>
      <c r="H61" s="1046">
        <f t="shared" si="26"/>
        <v>2699.8502491488894</v>
      </c>
      <c r="I61" s="1047">
        <f>'3_Levels 1&amp;2'!E61</f>
        <v>2677.4</v>
      </c>
      <c r="J61" s="1049">
        <f t="shared" si="27"/>
        <v>0.11478469188751667</v>
      </c>
      <c r="K61" s="1050">
        <f t="shared" si="28"/>
        <v>7228579.0570712369</v>
      </c>
      <c r="L61" s="1047">
        <f>'3_Levels 1&amp;2'!D61</f>
        <v>12170</v>
      </c>
      <c r="M61" s="1046">
        <f t="shared" si="29"/>
        <v>593.96705481275569</v>
      </c>
      <c r="N61" s="1047">
        <f>'3_Levels 1&amp;2'!G61</f>
        <v>497.31</v>
      </c>
      <c r="O61" s="1049">
        <f t="shared" si="30"/>
        <v>2.1320525555606526E-2</v>
      </c>
      <c r="P61" s="1050">
        <f t="shared" si="31"/>
        <v>1342662.5274042343</v>
      </c>
      <c r="Q61" s="1047">
        <f>'3_Levels 1&amp;2'!F61</f>
        <v>8288.5</v>
      </c>
      <c r="R61" s="1046">
        <f t="shared" si="32"/>
        <v>161.99101494893338</v>
      </c>
      <c r="S61" s="1047">
        <f>'3_Levels 1&amp;2'!I61</f>
        <v>3022.5</v>
      </c>
      <c r="T61" s="1049">
        <f t="shared" si="33"/>
        <v>0.12957971585494102</v>
      </c>
      <c r="U61" s="1050">
        <f t="shared" si="34"/>
        <v>8160297.3780525178</v>
      </c>
      <c r="V61" s="1047">
        <f>'3_Levels 1&amp;2'!H61</f>
        <v>2015</v>
      </c>
      <c r="W61" s="1046">
        <f t="shared" si="35"/>
        <v>4049.7753737233338</v>
      </c>
      <c r="X61" s="1047">
        <f>'3_Levels 1&amp;2'!K61</f>
        <v>373.2</v>
      </c>
      <c r="Y61" s="1049">
        <f t="shared" si="36"/>
        <v>1.5999718761642346E-2</v>
      </c>
      <c r="Z61" s="1050">
        <f t="shared" si="37"/>
        <v>1007584.1129823655</v>
      </c>
      <c r="AA61" s="1047">
        <f>'3_Levels 1&amp;2'!J61</f>
        <v>622</v>
      </c>
      <c r="AB61" s="1046">
        <f t="shared" si="38"/>
        <v>1619.9101494893337</v>
      </c>
      <c r="AC61" s="1047">
        <f>'3_Levels 1&amp;2'!N61</f>
        <v>0</v>
      </c>
      <c r="AD61" s="1049">
        <f t="shared" si="39"/>
        <v>0</v>
      </c>
      <c r="AE61" s="1050">
        <f t="shared" si="40"/>
        <v>0</v>
      </c>
      <c r="AF61" s="1048">
        <f t="shared" si="41"/>
        <v>16755</v>
      </c>
      <c r="AG61" s="1046">
        <f t="shared" si="42"/>
        <v>0</v>
      </c>
      <c r="AH61" s="1041"/>
      <c r="AI61" s="1051">
        <f t="shared" si="43"/>
        <v>62975113.999999993</v>
      </c>
      <c r="AJ61" s="1051">
        <f t="shared" si="44"/>
        <v>0</v>
      </c>
      <c r="AK61" s="1051">
        <f t="shared" si="45"/>
        <v>62975113.999999993</v>
      </c>
      <c r="AL61" s="1051">
        <f t="shared" si="46"/>
        <v>0</v>
      </c>
    </row>
    <row r="62" spans="1:38" s="450" customFormat="1" ht="16.149999999999999" customHeight="1" x14ac:dyDescent="0.2">
      <c r="A62" s="1036">
        <v>56</v>
      </c>
      <c r="B62" s="1036" t="s">
        <v>59</v>
      </c>
      <c r="C62" s="1037">
        <f>'3_Levels 1&amp;2'!U62</f>
        <v>13931823</v>
      </c>
      <c r="D62" s="1038">
        <f>'3_Levels 1&amp;2'!P62</f>
        <v>4518.4593999999997</v>
      </c>
      <c r="E62" s="1038">
        <f>'3_Levels 1&amp;2'!C62</f>
        <v>2980</v>
      </c>
      <c r="F62" s="1039">
        <f t="shared" si="24"/>
        <v>0.65951682557997537</v>
      </c>
      <c r="G62" s="1040">
        <f t="shared" si="25"/>
        <v>9188271.6795020886</v>
      </c>
      <c r="H62" s="1037">
        <f t="shared" si="26"/>
        <v>3083.3126441282175</v>
      </c>
      <c r="I62" s="1038">
        <f>'3_Levels 1&amp;2'!E62</f>
        <v>496.54</v>
      </c>
      <c r="J62" s="1039">
        <f t="shared" si="27"/>
        <v>0.10989143777633591</v>
      </c>
      <c r="K62" s="1040">
        <f t="shared" si="28"/>
        <v>1530988.0603154255</v>
      </c>
      <c r="L62" s="1038">
        <f>'3_Levels 1&amp;2'!D62</f>
        <v>2257</v>
      </c>
      <c r="M62" s="1037">
        <f t="shared" si="29"/>
        <v>678.328781708208</v>
      </c>
      <c r="N62" s="1038">
        <f>'3_Levels 1&amp;2'!G62</f>
        <v>82.44</v>
      </c>
      <c r="O62" s="1039">
        <f t="shared" si="30"/>
        <v>1.8245156745239317E-2</v>
      </c>
      <c r="P62" s="1040">
        <f t="shared" si="31"/>
        <v>254188.29438193026</v>
      </c>
      <c r="Q62" s="1038">
        <f>'3_Levels 1&amp;2'!F62</f>
        <v>1374</v>
      </c>
      <c r="R62" s="1037">
        <f t="shared" si="32"/>
        <v>184.99875864769305</v>
      </c>
      <c r="S62" s="1038">
        <f>'3_Levels 1&amp;2'!I62</f>
        <v>583.5</v>
      </c>
      <c r="T62" s="1039">
        <f t="shared" si="33"/>
        <v>0.12913693547849517</v>
      </c>
      <c r="U62" s="1040">
        <f t="shared" si="34"/>
        <v>1799112.927848815</v>
      </c>
      <c r="V62" s="1038">
        <f>'3_Levels 1&amp;2'!H62</f>
        <v>389</v>
      </c>
      <c r="W62" s="1037">
        <f t="shared" si="35"/>
        <v>4624.9689661923267</v>
      </c>
      <c r="X62" s="1038">
        <f>'3_Levels 1&amp;2'!K62</f>
        <v>16.8</v>
      </c>
      <c r="Y62" s="1039">
        <f t="shared" si="36"/>
        <v>3.7180814327998613E-3</v>
      </c>
      <c r="Z62" s="1040">
        <f t="shared" si="37"/>
        <v>51799.652421354062</v>
      </c>
      <c r="AA62" s="1038">
        <f>'3_Levels 1&amp;2'!J62</f>
        <v>28</v>
      </c>
      <c r="AB62" s="1037">
        <f t="shared" si="38"/>
        <v>1849.9875864769308</v>
      </c>
      <c r="AC62" s="1038">
        <f>'3_Levels 1&amp;2'!N62</f>
        <v>359.17939999999999</v>
      </c>
      <c r="AD62" s="1039">
        <f t="shared" si="39"/>
        <v>7.9491562987154429E-2</v>
      </c>
      <c r="AE62" s="1040">
        <f t="shared" si="40"/>
        <v>1107462.3855303868</v>
      </c>
      <c r="AF62" s="1038">
        <f t="shared" si="41"/>
        <v>2980</v>
      </c>
      <c r="AG62" s="1037">
        <f t="shared" si="42"/>
        <v>371.63167299677411</v>
      </c>
      <c r="AH62" s="1041"/>
      <c r="AI62" s="1044">
        <f t="shared" si="43"/>
        <v>13931823</v>
      </c>
      <c r="AJ62" s="1043">
        <f t="shared" si="44"/>
        <v>0</v>
      </c>
      <c r="AK62" s="1044">
        <f t="shared" si="45"/>
        <v>13931822.999999998</v>
      </c>
      <c r="AL62" s="1043">
        <f t="shared" si="46"/>
        <v>0</v>
      </c>
    </row>
    <row r="63" spans="1:38" s="450" customFormat="1" ht="16.149999999999999" customHeight="1" x14ac:dyDescent="0.2">
      <c r="A63" s="1036">
        <v>57</v>
      </c>
      <c r="B63" s="1036" t="s">
        <v>60</v>
      </c>
      <c r="C63" s="1037">
        <f>'3_Levels 1&amp;2'!U63</f>
        <v>39339786</v>
      </c>
      <c r="D63" s="1038">
        <f>'3_Levels 1&amp;2'!P63</f>
        <v>12681.55</v>
      </c>
      <c r="E63" s="1038">
        <f>'3_Levels 1&amp;2'!C63</f>
        <v>9264</v>
      </c>
      <c r="F63" s="1039">
        <f t="shared" si="24"/>
        <v>0.73051007171836257</v>
      </c>
      <c r="G63" s="1040">
        <f t="shared" si="25"/>
        <v>28738109.892245036</v>
      </c>
      <c r="H63" s="1037">
        <f t="shared" si="26"/>
        <v>3102.1275790419945</v>
      </c>
      <c r="I63" s="1038">
        <f>'3_Levels 1&amp;2'!E63</f>
        <v>1228.48</v>
      </c>
      <c r="J63" s="1039">
        <f t="shared" si="27"/>
        <v>9.6871439216814986E-2</v>
      </c>
      <c r="K63" s="1040">
        <f t="shared" si="28"/>
        <v>3810901.6883015092</v>
      </c>
      <c r="L63" s="1038">
        <f>'3_Levels 1&amp;2'!D63</f>
        <v>5584</v>
      </c>
      <c r="M63" s="1037">
        <f t="shared" si="29"/>
        <v>682.46806738923874</v>
      </c>
      <c r="N63" s="1038">
        <f>'3_Levels 1&amp;2'!G63</f>
        <v>242.97</v>
      </c>
      <c r="O63" s="1039">
        <f t="shared" si="30"/>
        <v>1.9159329892639309E-2</v>
      </c>
      <c r="P63" s="1040">
        <f t="shared" si="31"/>
        <v>753723.93787983339</v>
      </c>
      <c r="Q63" s="1038">
        <f>'3_Levels 1&amp;2'!F63</f>
        <v>4049.5</v>
      </c>
      <c r="R63" s="1037">
        <f t="shared" si="32"/>
        <v>186.12765474251967</v>
      </c>
      <c r="S63" s="1038">
        <f>'3_Levels 1&amp;2'!I63</f>
        <v>1816.5</v>
      </c>
      <c r="T63" s="1039">
        <f t="shared" si="33"/>
        <v>0.14323958822068281</v>
      </c>
      <c r="U63" s="1040">
        <f t="shared" si="34"/>
        <v>5635014.7473297827</v>
      </c>
      <c r="V63" s="1038">
        <f>'3_Levels 1&amp;2'!H63</f>
        <v>1211</v>
      </c>
      <c r="W63" s="1037">
        <f t="shared" si="35"/>
        <v>4653.1913685629916</v>
      </c>
      <c r="X63" s="1038">
        <f>'3_Levels 1&amp;2'!K63</f>
        <v>129.6</v>
      </c>
      <c r="Y63" s="1039">
        <f t="shared" si="36"/>
        <v>1.0219570951500409E-2</v>
      </c>
      <c r="Z63" s="1040">
        <f t="shared" si="37"/>
        <v>402035.73424384248</v>
      </c>
      <c r="AA63" s="1038">
        <f>'3_Levels 1&amp;2'!J63</f>
        <v>216</v>
      </c>
      <c r="AB63" s="1037">
        <f t="shared" si="38"/>
        <v>1861.2765474251967</v>
      </c>
      <c r="AC63" s="1038">
        <f>'3_Levels 1&amp;2'!N63</f>
        <v>0</v>
      </c>
      <c r="AD63" s="1039">
        <f t="shared" si="39"/>
        <v>0</v>
      </c>
      <c r="AE63" s="1040">
        <f t="shared" si="40"/>
        <v>0</v>
      </c>
      <c r="AF63" s="1038">
        <f t="shared" si="41"/>
        <v>9264</v>
      </c>
      <c r="AG63" s="1037">
        <f t="shared" si="42"/>
        <v>0</v>
      </c>
      <c r="AH63" s="1041"/>
      <c r="AI63" s="1044">
        <f t="shared" si="43"/>
        <v>39339786</v>
      </c>
      <c r="AJ63" s="1043">
        <f t="shared" si="44"/>
        <v>0</v>
      </c>
      <c r="AK63" s="1044">
        <f t="shared" si="45"/>
        <v>39339786</v>
      </c>
      <c r="AL63" s="1043">
        <f t="shared" si="46"/>
        <v>0</v>
      </c>
    </row>
    <row r="64" spans="1:38" s="450" customFormat="1" ht="16.149999999999999" customHeight="1" x14ac:dyDescent="0.2">
      <c r="A64" s="1036">
        <v>58</v>
      </c>
      <c r="B64" s="1036" t="s">
        <v>61</v>
      </c>
      <c r="C64" s="1037">
        <f>'3_Levels 1&amp;2'!U64</f>
        <v>37972098</v>
      </c>
      <c r="D64" s="1038">
        <f>'3_Levels 1&amp;2'!P64</f>
        <v>11136.58</v>
      </c>
      <c r="E64" s="1038">
        <f>'3_Levels 1&amp;2'!C64</f>
        <v>8079</v>
      </c>
      <c r="F64" s="1039">
        <f t="shared" si="24"/>
        <v>0.72544713008841133</v>
      </c>
      <c r="G64" s="1040">
        <f t="shared" si="25"/>
        <v>27546749.517535903</v>
      </c>
      <c r="H64" s="1037">
        <f t="shared" si="26"/>
        <v>3409.6731671662214</v>
      </c>
      <c r="I64" s="1038">
        <f>'3_Levels 1&amp;2'!E64</f>
        <v>1111.6600000000001</v>
      </c>
      <c r="J64" s="1039">
        <f t="shared" si="27"/>
        <v>9.9820591240757942E-2</v>
      </c>
      <c r="K64" s="1040">
        <f t="shared" si="28"/>
        <v>3790397.273012002</v>
      </c>
      <c r="L64" s="1038">
        <f>'3_Levels 1&amp;2'!D64</f>
        <v>5053</v>
      </c>
      <c r="M64" s="1037">
        <f t="shared" si="29"/>
        <v>750.12809677656878</v>
      </c>
      <c r="N64" s="1038">
        <f>'3_Levels 1&amp;2'!G64</f>
        <v>208.32</v>
      </c>
      <c r="O64" s="1039">
        <f t="shared" si="30"/>
        <v>1.8705922284938465E-2</v>
      </c>
      <c r="P64" s="1040">
        <f t="shared" si="31"/>
        <v>710303.11418406735</v>
      </c>
      <c r="Q64" s="1038">
        <f>'3_Levels 1&amp;2'!F64</f>
        <v>3472</v>
      </c>
      <c r="R64" s="1037">
        <f t="shared" si="32"/>
        <v>204.5803900299733</v>
      </c>
      <c r="S64" s="1038">
        <f>'3_Levels 1&amp;2'!I64</f>
        <v>1641</v>
      </c>
      <c r="T64" s="1039">
        <f t="shared" si="33"/>
        <v>0.14735223919731191</v>
      </c>
      <c r="U64" s="1040">
        <f t="shared" si="34"/>
        <v>5595273.667319769</v>
      </c>
      <c r="V64" s="1038">
        <f>'3_Levels 1&amp;2'!H64</f>
        <v>1094</v>
      </c>
      <c r="W64" s="1037">
        <f t="shared" si="35"/>
        <v>5114.5097507493319</v>
      </c>
      <c r="X64" s="1038">
        <f>'3_Levels 1&amp;2'!K64</f>
        <v>96.6</v>
      </c>
      <c r="Y64" s="1039">
        <f t="shared" si="36"/>
        <v>8.6741171885803357E-3</v>
      </c>
      <c r="Z64" s="1040">
        <f t="shared" si="37"/>
        <v>329374.42794825701</v>
      </c>
      <c r="AA64" s="1038">
        <f>'3_Levels 1&amp;2'!J64</f>
        <v>161</v>
      </c>
      <c r="AB64" s="1037">
        <f t="shared" si="38"/>
        <v>2045.803900299733</v>
      </c>
      <c r="AC64" s="1038">
        <f>'3_Levels 1&amp;2'!N64</f>
        <v>0</v>
      </c>
      <c r="AD64" s="1039">
        <f t="shared" si="39"/>
        <v>0</v>
      </c>
      <c r="AE64" s="1040">
        <f t="shared" si="40"/>
        <v>0</v>
      </c>
      <c r="AF64" s="1038">
        <f t="shared" si="41"/>
        <v>8079</v>
      </c>
      <c r="AG64" s="1037">
        <f t="shared" si="42"/>
        <v>0</v>
      </c>
      <c r="AH64" s="1041"/>
      <c r="AI64" s="1044">
        <f t="shared" si="43"/>
        <v>37972098</v>
      </c>
      <c r="AJ64" s="1043">
        <f t="shared" si="44"/>
        <v>0</v>
      </c>
      <c r="AK64" s="1044">
        <f t="shared" si="45"/>
        <v>37972098</v>
      </c>
      <c r="AL64" s="1043">
        <f t="shared" si="46"/>
        <v>0</v>
      </c>
    </row>
    <row r="65" spans="1:38" s="450" customFormat="1" ht="16.149999999999999" customHeight="1" x14ac:dyDescent="0.2">
      <c r="A65" s="1036">
        <v>59</v>
      </c>
      <c r="B65" s="1036" t="s">
        <v>62</v>
      </c>
      <c r="C65" s="1037">
        <f>'3_Levels 1&amp;2'!U65</f>
        <v>28833123</v>
      </c>
      <c r="D65" s="1038">
        <f>'3_Levels 1&amp;2'!P65</f>
        <v>8034.5810700000002</v>
      </c>
      <c r="E65" s="1038">
        <f>'3_Levels 1&amp;2'!C65</f>
        <v>5033</v>
      </c>
      <c r="F65" s="1039">
        <f t="shared" si="24"/>
        <v>0.62641722774974751</v>
      </c>
      <c r="G65" s="1040">
        <f t="shared" si="25"/>
        <v>18061564.977027483</v>
      </c>
      <c r="H65" s="1037">
        <f t="shared" si="26"/>
        <v>3588.6280502736904</v>
      </c>
      <c r="I65" s="1038">
        <f>'3_Levels 1&amp;2'!E65</f>
        <v>789.58</v>
      </c>
      <c r="J65" s="1039">
        <f t="shared" si="27"/>
        <v>9.8272703096889652E-2</v>
      </c>
      <c r="K65" s="1040">
        <f t="shared" si="28"/>
        <v>2833508.9359351001</v>
      </c>
      <c r="L65" s="1038">
        <f>'3_Levels 1&amp;2'!D65</f>
        <v>3589</v>
      </c>
      <c r="M65" s="1037">
        <f t="shared" si="29"/>
        <v>789.4981710602118</v>
      </c>
      <c r="N65" s="1038">
        <f>'3_Levels 1&amp;2'!G65</f>
        <v>168.78</v>
      </c>
      <c r="O65" s="1039">
        <f t="shared" si="30"/>
        <v>2.1006695747983785E-2</v>
      </c>
      <c r="P65" s="1040">
        <f t="shared" si="31"/>
        <v>605688.6423251935</v>
      </c>
      <c r="Q65" s="1038">
        <f>'3_Levels 1&amp;2'!F65</f>
        <v>2813</v>
      </c>
      <c r="R65" s="1037">
        <f t="shared" si="32"/>
        <v>215.31768301642143</v>
      </c>
      <c r="S65" s="1038">
        <f>'3_Levels 1&amp;2'!I65</f>
        <v>1498.5</v>
      </c>
      <c r="T65" s="1039">
        <f t="shared" si="33"/>
        <v>0.18650630156626199</v>
      </c>
      <c r="U65" s="1040">
        <f t="shared" si="34"/>
        <v>5377559.1333351247</v>
      </c>
      <c r="V65" s="1038">
        <f>'3_Levels 1&amp;2'!H65</f>
        <v>999</v>
      </c>
      <c r="W65" s="1037">
        <f t="shared" si="35"/>
        <v>5382.9420754105349</v>
      </c>
      <c r="X65" s="1038">
        <f>'3_Levels 1&amp;2'!K65</f>
        <v>213.6</v>
      </c>
      <c r="Y65" s="1039">
        <f t="shared" si="36"/>
        <v>2.6585082425461169E-2</v>
      </c>
      <c r="Z65" s="1040">
        <f t="shared" si="37"/>
        <v>766530.95153846021</v>
      </c>
      <c r="AA65" s="1038">
        <f>'3_Levels 1&amp;2'!J65</f>
        <v>356</v>
      </c>
      <c r="AB65" s="1037">
        <f t="shared" si="38"/>
        <v>2153.1768301642142</v>
      </c>
      <c r="AC65" s="1038">
        <f>'3_Levels 1&amp;2'!N65</f>
        <v>331.12107000000003</v>
      </c>
      <c r="AD65" s="1039">
        <f t="shared" si="39"/>
        <v>4.1211989413655892E-2</v>
      </c>
      <c r="AE65" s="1040">
        <f t="shared" si="40"/>
        <v>1188270.3598386382</v>
      </c>
      <c r="AF65" s="1038">
        <f t="shared" si="41"/>
        <v>5033</v>
      </c>
      <c r="AG65" s="1037">
        <f t="shared" si="42"/>
        <v>236.09583942750609</v>
      </c>
      <c r="AH65" s="1041"/>
      <c r="AI65" s="1044">
        <f t="shared" si="43"/>
        <v>28833123</v>
      </c>
      <c r="AJ65" s="1043">
        <f t="shared" si="44"/>
        <v>0</v>
      </c>
      <c r="AK65" s="1044">
        <f t="shared" si="45"/>
        <v>28833122.999999996</v>
      </c>
      <c r="AL65" s="1043">
        <f t="shared" si="46"/>
        <v>0</v>
      </c>
    </row>
    <row r="66" spans="1:38" s="451" customFormat="1" ht="16.149999999999999" customHeight="1" x14ac:dyDescent="0.2">
      <c r="A66" s="1045">
        <v>60</v>
      </c>
      <c r="B66" s="1045" t="s">
        <v>63</v>
      </c>
      <c r="C66" s="1046">
        <f>'3_Levels 1&amp;2'!U66</f>
        <v>26036459</v>
      </c>
      <c r="D66" s="1047">
        <f>'3_Levels 1&amp;2'!P66</f>
        <v>8788.6890000000003</v>
      </c>
      <c r="E66" s="1048">
        <f>'3_Levels 1&amp;2'!C66</f>
        <v>5972</v>
      </c>
      <c r="F66" s="1049">
        <f t="shared" si="24"/>
        <v>0.67950976533587659</v>
      </c>
      <c r="G66" s="1050">
        <f t="shared" si="25"/>
        <v>17692028.145267174</v>
      </c>
      <c r="H66" s="1046">
        <f t="shared" si="26"/>
        <v>2962.4963404667069</v>
      </c>
      <c r="I66" s="1047">
        <f>'3_Levels 1&amp;2'!E66</f>
        <v>896.72</v>
      </c>
      <c r="J66" s="1049">
        <f t="shared" si="27"/>
        <v>0.10203114480441849</v>
      </c>
      <c r="K66" s="1050">
        <f t="shared" si="28"/>
        <v>2656529.7184233051</v>
      </c>
      <c r="L66" s="1047">
        <f>'3_Levels 1&amp;2'!D66</f>
        <v>4076</v>
      </c>
      <c r="M66" s="1046">
        <f t="shared" si="29"/>
        <v>651.74919490267541</v>
      </c>
      <c r="N66" s="1047">
        <f>'3_Levels 1&amp;2'!G66</f>
        <v>172.70999999999998</v>
      </c>
      <c r="O66" s="1049">
        <f t="shared" si="30"/>
        <v>1.965139510568641E-2</v>
      </c>
      <c r="P66" s="1050">
        <f t="shared" si="31"/>
        <v>511652.74296200485</v>
      </c>
      <c r="Q66" s="1047">
        <f>'3_Levels 1&amp;2'!F66</f>
        <v>2878.5</v>
      </c>
      <c r="R66" s="1046">
        <f t="shared" si="32"/>
        <v>177.74978042800237</v>
      </c>
      <c r="S66" s="1047">
        <f>'3_Levels 1&amp;2'!I66</f>
        <v>1291.5</v>
      </c>
      <c r="T66" s="1049">
        <f t="shared" si="33"/>
        <v>0.14695024479760291</v>
      </c>
      <c r="U66" s="1050">
        <f t="shared" si="34"/>
        <v>3826064.0237127515</v>
      </c>
      <c r="V66" s="1047">
        <f>'3_Levels 1&amp;2'!H66</f>
        <v>861</v>
      </c>
      <c r="W66" s="1046">
        <f t="shared" si="35"/>
        <v>4443.7445107000594</v>
      </c>
      <c r="X66" s="1047">
        <f>'3_Levels 1&amp;2'!K66</f>
        <v>212.4</v>
      </c>
      <c r="Y66" s="1049">
        <f t="shared" si="36"/>
        <v>2.4167427018978598E-2</v>
      </c>
      <c r="Z66" s="1050">
        <f t="shared" si="37"/>
        <v>629234.22271512845</v>
      </c>
      <c r="AA66" s="1047">
        <f>'3_Levels 1&amp;2'!J66</f>
        <v>354</v>
      </c>
      <c r="AB66" s="1046">
        <f t="shared" si="38"/>
        <v>1777.497804280024</v>
      </c>
      <c r="AC66" s="1047">
        <f>'3_Levels 1&amp;2'!N66</f>
        <v>243.35900000000001</v>
      </c>
      <c r="AD66" s="1049">
        <f t="shared" si="39"/>
        <v>2.769002293743697E-2</v>
      </c>
      <c r="AE66" s="1050">
        <f t="shared" si="40"/>
        <v>720950.14691963722</v>
      </c>
      <c r="AF66" s="1048">
        <f t="shared" si="41"/>
        <v>5972</v>
      </c>
      <c r="AG66" s="1046">
        <f t="shared" si="42"/>
        <v>120.72172587401829</v>
      </c>
      <c r="AH66" s="1041"/>
      <c r="AI66" s="1051">
        <f t="shared" si="43"/>
        <v>26036459</v>
      </c>
      <c r="AJ66" s="1051">
        <f t="shared" si="44"/>
        <v>0</v>
      </c>
      <c r="AK66" s="1051">
        <f t="shared" si="45"/>
        <v>26036459.000000004</v>
      </c>
      <c r="AL66" s="1051">
        <f t="shared" si="46"/>
        <v>0</v>
      </c>
    </row>
    <row r="67" spans="1:38" s="450" customFormat="1" ht="16.149999999999999" customHeight="1" x14ac:dyDescent="0.2">
      <c r="A67" s="1036">
        <v>61</v>
      </c>
      <c r="B67" s="1036" t="s">
        <v>64</v>
      </c>
      <c r="C67" s="1037">
        <f>'3_Levels 1&amp;2'!U67</f>
        <v>9756467</v>
      </c>
      <c r="D67" s="1038">
        <f>'3_Levels 1&amp;2'!P67</f>
        <v>5481.7934399999995</v>
      </c>
      <c r="E67" s="1038">
        <f>'3_Levels 1&amp;2'!C67</f>
        <v>3636</v>
      </c>
      <c r="F67" s="1039">
        <f t="shared" si="24"/>
        <v>0.663286575788963</v>
      </c>
      <c r="G67" s="1040">
        <f t="shared" si="25"/>
        <v>6471333.5882280162</v>
      </c>
      <c r="H67" s="1037">
        <f t="shared" si="26"/>
        <v>1779.7947162343278</v>
      </c>
      <c r="I67" s="1038">
        <f>'3_Levels 1&amp;2'!E67</f>
        <v>553.74</v>
      </c>
      <c r="J67" s="1039">
        <f t="shared" si="27"/>
        <v>0.10101438626990659</v>
      </c>
      <c r="K67" s="1040">
        <f t="shared" si="28"/>
        <v>985543.52616759681</v>
      </c>
      <c r="L67" s="1038">
        <f>'3_Levels 1&amp;2'!D67</f>
        <v>2517</v>
      </c>
      <c r="M67" s="1037">
        <f t="shared" si="29"/>
        <v>391.55483757155218</v>
      </c>
      <c r="N67" s="1038">
        <f>'3_Levels 1&amp;2'!G67</f>
        <v>112.8</v>
      </c>
      <c r="O67" s="1039">
        <f t="shared" si="30"/>
        <v>2.0577207301703804E-2</v>
      </c>
      <c r="P67" s="1040">
        <f t="shared" si="31"/>
        <v>200760.84399123222</v>
      </c>
      <c r="Q67" s="1038">
        <f>'3_Levels 1&amp;2'!F67</f>
        <v>1880</v>
      </c>
      <c r="R67" s="1037">
        <f t="shared" si="32"/>
        <v>106.78768297405969</v>
      </c>
      <c r="S67" s="1038">
        <f>'3_Levels 1&amp;2'!I67</f>
        <v>666</v>
      </c>
      <c r="T67" s="1039">
        <f t="shared" si="33"/>
        <v>0.12149308566431501</v>
      </c>
      <c r="U67" s="1040">
        <f t="shared" si="34"/>
        <v>1185343.2810120624</v>
      </c>
      <c r="V67" s="1038">
        <f>'3_Levels 1&amp;2'!H67</f>
        <v>444</v>
      </c>
      <c r="W67" s="1037">
        <f t="shared" si="35"/>
        <v>2669.692074351492</v>
      </c>
      <c r="X67" s="1038">
        <f>'3_Levels 1&amp;2'!K67</f>
        <v>138.6</v>
      </c>
      <c r="Y67" s="1039">
        <f t="shared" si="36"/>
        <v>2.5283696205816907E-2</v>
      </c>
      <c r="Z67" s="1040">
        <f t="shared" si="37"/>
        <v>246679.54767007785</v>
      </c>
      <c r="AA67" s="1038">
        <f>'3_Levels 1&amp;2'!J67</f>
        <v>231</v>
      </c>
      <c r="AB67" s="1037">
        <f t="shared" si="38"/>
        <v>1067.8768297405968</v>
      </c>
      <c r="AC67" s="1038">
        <f>'3_Levels 1&amp;2'!N67</f>
        <v>374.65344000000005</v>
      </c>
      <c r="AD67" s="1039">
        <f t="shared" si="39"/>
        <v>6.8345048769294758E-2</v>
      </c>
      <c r="AE67" s="1040">
        <f t="shared" si="40"/>
        <v>666806.21293101495</v>
      </c>
      <c r="AF67" s="1038">
        <f t="shared" si="41"/>
        <v>3636</v>
      </c>
      <c r="AG67" s="1037">
        <f t="shared" si="42"/>
        <v>183.39004756078518</v>
      </c>
      <c r="AH67" s="1041"/>
      <c r="AI67" s="1044">
        <f t="shared" si="43"/>
        <v>9756467</v>
      </c>
      <c r="AJ67" s="1043">
        <f t="shared" si="44"/>
        <v>0</v>
      </c>
      <c r="AK67" s="1044">
        <f t="shared" si="45"/>
        <v>9756467</v>
      </c>
      <c r="AL67" s="1043">
        <f t="shared" si="46"/>
        <v>0</v>
      </c>
    </row>
    <row r="68" spans="1:38" s="450" customFormat="1" ht="16.149999999999999" customHeight="1" x14ac:dyDescent="0.2">
      <c r="A68" s="1036">
        <v>62</v>
      </c>
      <c r="B68" s="1036" t="s">
        <v>65</v>
      </c>
      <c r="C68" s="1037">
        <f>'3_Levels 1&amp;2'!U68</f>
        <v>10330987</v>
      </c>
      <c r="D68" s="1038">
        <f>'3_Levels 1&amp;2'!P68</f>
        <v>3075.0242399999997</v>
      </c>
      <c r="E68" s="1038">
        <f>'3_Levels 1&amp;2'!C68</f>
        <v>1971</v>
      </c>
      <c r="F68" s="1039">
        <f t="shared" si="24"/>
        <v>0.64097055703209682</v>
      </c>
      <c r="G68" s="1040">
        <f t="shared" si="25"/>
        <v>6621858.4920813506</v>
      </c>
      <c r="H68" s="1037">
        <f t="shared" si="26"/>
        <v>3359.6440852771948</v>
      </c>
      <c r="I68" s="1038">
        <f>'3_Levels 1&amp;2'!E68</f>
        <v>310.86</v>
      </c>
      <c r="J68" s="1039">
        <f t="shared" si="27"/>
        <v>0.10109188602688871</v>
      </c>
      <c r="K68" s="1040">
        <f t="shared" si="28"/>
        <v>1044378.9603492689</v>
      </c>
      <c r="L68" s="1038">
        <f>'3_Levels 1&amp;2'!D68</f>
        <v>1413</v>
      </c>
      <c r="M68" s="1037">
        <f t="shared" si="29"/>
        <v>739.12169876098289</v>
      </c>
      <c r="N68" s="1038">
        <f>'3_Levels 1&amp;2'!G68</f>
        <v>53.76</v>
      </c>
      <c r="O68" s="1039">
        <f t="shared" si="30"/>
        <v>1.7482789013721727E-2</v>
      </c>
      <c r="P68" s="1040">
        <f t="shared" si="31"/>
        <v>180614.46602450198</v>
      </c>
      <c r="Q68" s="1038">
        <f>'3_Levels 1&amp;2'!F68</f>
        <v>896</v>
      </c>
      <c r="R68" s="1037">
        <f t="shared" si="32"/>
        <v>201.57864511663166</v>
      </c>
      <c r="S68" s="1038">
        <f>'3_Levels 1&amp;2'!I68</f>
        <v>447</v>
      </c>
      <c r="T68" s="1039">
        <f t="shared" si="33"/>
        <v>0.14536470775918178</v>
      </c>
      <c r="U68" s="1040">
        <f t="shared" si="34"/>
        <v>1501760.9061189061</v>
      </c>
      <c r="V68" s="1038">
        <f>'3_Levels 1&amp;2'!H68</f>
        <v>298</v>
      </c>
      <c r="W68" s="1037">
        <f t="shared" si="35"/>
        <v>5039.4661279157926</v>
      </c>
      <c r="X68" s="1038">
        <f>'3_Levels 1&amp;2'!K68</f>
        <v>1.7999999999999998</v>
      </c>
      <c r="Y68" s="1039">
        <f t="shared" si="36"/>
        <v>5.8536123929871849E-4</v>
      </c>
      <c r="Z68" s="1040">
        <f t="shared" si="37"/>
        <v>6047.3593534989495</v>
      </c>
      <c r="AA68" s="1038">
        <f>'3_Levels 1&amp;2'!J68</f>
        <v>3</v>
      </c>
      <c r="AB68" s="1037">
        <f t="shared" si="38"/>
        <v>2015.7864511663165</v>
      </c>
      <c r="AC68" s="1038">
        <f>'3_Levels 1&amp;2'!N68</f>
        <v>290.60423999999995</v>
      </c>
      <c r="AD68" s="1039">
        <f t="shared" si="39"/>
        <v>9.4504698928812331E-2</v>
      </c>
      <c r="AE68" s="1040">
        <f t="shared" si="40"/>
        <v>976326.81607247412</v>
      </c>
      <c r="AF68" s="1038">
        <f t="shared" si="41"/>
        <v>1971</v>
      </c>
      <c r="AG68" s="1037">
        <f t="shared" si="42"/>
        <v>495.34592393326949</v>
      </c>
      <c r="AH68" s="1041"/>
      <c r="AI68" s="1044">
        <f t="shared" si="43"/>
        <v>10330987</v>
      </c>
      <c r="AJ68" s="1043">
        <f t="shared" si="44"/>
        <v>0</v>
      </c>
      <c r="AK68" s="1044">
        <f t="shared" si="45"/>
        <v>10330987</v>
      </c>
      <c r="AL68" s="1043">
        <f t="shared" si="46"/>
        <v>0</v>
      </c>
    </row>
    <row r="69" spans="1:38" s="450" customFormat="1" ht="16.149999999999999" customHeight="1" x14ac:dyDescent="0.2">
      <c r="A69" s="1036">
        <v>63</v>
      </c>
      <c r="B69" s="1036" t="s">
        <v>66</v>
      </c>
      <c r="C69" s="1037">
        <f>'3_Levels 1&amp;2'!U69</f>
        <v>6676342</v>
      </c>
      <c r="D69" s="1038">
        <f>'3_Levels 1&amp;2'!P69</f>
        <v>3238.77412</v>
      </c>
      <c r="E69" s="1038">
        <f>'3_Levels 1&amp;2'!C69</f>
        <v>2116</v>
      </c>
      <c r="F69" s="1039">
        <f t="shared" si="24"/>
        <v>0.6533336137686564</v>
      </c>
      <c r="G69" s="1040">
        <f t="shared" si="25"/>
        <v>4361878.6456154594</v>
      </c>
      <c r="H69" s="1037">
        <f t="shared" si="26"/>
        <v>2061.3793221245082</v>
      </c>
      <c r="I69" s="1038">
        <f>'3_Levels 1&amp;2'!E69</f>
        <v>230.56</v>
      </c>
      <c r="J69" s="1039">
        <f t="shared" si="27"/>
        <v>7.1187428161862673E-2</v>
      </c>
      <c r="K69" s="1040">
        <f t="shared" si="28"/>
        <v>475271.61650902656</v>
      </c>
      <c r="L69" s="1038">
        <f>'3_Levels 1&amp;2'!D69</f>
        <v>1048</v>
      </c>
      <c r="M69" s="1037">
        <f t="shared" si="29"/>
        <v>453.50345086739173</v>
      </c>
      <c r="N69" s="1038">
        <f>'3_Levels 1&amp;2'!G69</f>
        <v>67.02</v>
      </c>
      <c r="O69" s="1039">
        <f t="shared" si="30"/>
        <v>2.0693014553296477E-2</v>
      </c>
      <c r="P69" s="1040">
        <f t="shared" si="31"/>
        <v>138153.64216878451</v>
      </c>
      <c r="Q69" s="1038">
        <f>'3_Levels 1&amp;2'!F69</f>
        <v>1117</v>
      </c>
      <c r="R69" s="1037">
        <f t="shared" si="32"/>
        <v>123.68275932747046</v>
      </c>
      <c r="S69" s="1038">
        <f>'3_Levels 1&amp;2'!I69</f>
        <v>435</v>
      </c>
      <c r="T69" s="1039">
        <f t="shared" si="33"/>
        <v>0.13431007655452057</v>
      </c>
      <c r="U69" s="1040">
        <f t="shared" si="34"/>
        <v>896700.00512416102</v>
      </c>
      <c r="V69" s="1038">
        <f>'3_Levels 1&amp;2'!H69</f>
        <v>290</v>
      </c>
      <c r="W69" s="1037">
        <f t="shared" si="35"/>
        <v>3092.0689831867621</v>
      </c>
      <c r="X69" s="1038">
        <f>'3_Levels 1&amp;2'!K69</f>
        <v>86.399999999999991</v>
      </c>
      <c r="Y69" s="1039">
        <f t="shared" si="36"/>
        <v>2.6676760032897876E-2</v>
      </c>
      <c r="Z69" s="1040">
        <f t="shared" si="37"/>
        <v>178103.17343155749</v>
      </c>
      <c r="AA69" s="1038">
        <f>'3_Levels 1&amp;2'!J69</f>
        <v>144</v>
      </c>
      <c r="AB69" s="1037">
        <f t="shared" si="38"/>
        <v>1236.8275932747047</v>
      </c>
      <c r="AC69" s="1038">
        <f>'3_Levels 1&amp;2'!N69</f>
        <v>303.79412000000002</v>
      </c>
      <c r="AD69" s="1039">
        <f t="shared" si="39"/>
        <v>9.3799106928766002E-2</v>
      </c>
      <c r="AE69" s="1040">
        <f t="shared" si="40"/>
        <v>626234.91715101141</v>
      </c>
      <c r="AF69" s="1038">
        <f t="shared" si="41"/>
        <v>2116</v>
      </c>
      <c r="AG69" s="1037">
        <f t="shared" si="42"/>
        <v>295.9522292774156</v>
      </c>
      <c r="AH69" s="1041"/>
      <c r="AI69" s="1044">
        <f t="shared" si="43"/>
        <v>6676342</v>
      </c>
      <c r="AJ69" s="1043">
        <f t="shared" si="44"/>
        <v>0</v>
      </c>
      <c r="AK69" s="1044">
        <f t="shared" si="45"/>
        <v>6676342.0000000009</v>
      </c>
      <c r="AL69" s="1043">
        <f t="shared" si="46"/>
        <v>0</v>
      </c>
    </row>
    <row r="70" spans="1:38" s="450" customFormat="1" ht="16.149999999999999" customHeight="1" x14ac:dyDescent="0.2">
      <c r="A70" s="1036">
        <v>64</v>
      </c>
      <c r="B70" s="1036" t="s">
        <v>67</v>
      </c>
      <c r="C70" s="1037">
        <f>'3_Levels 1&amp;2'!U70</f>
        <v>10711386</v>
      </c>
      <c r="D70" s="1038">
        <f>'3_Levels 1&amp;2'!P70</f>
        <v>3344.7796699999999</v>
      </c>
      <c r="E70" s="1038">
        <f>'3_Levels 1&amp;2'!C70</f>
        <v>2093</v>
      </c>
      <c r="F70" s="1039">
        <f t="shared" si="24"/>
        <v>0.6257512322179356</v>
      </c>
      <c r="G70" s="1040">
        <f t="shared" si="25"/>
        <v>6702662.9882619446</v>
      </c>
      <c r="H70" s="1037">
        <f t="shared" si="26"/>
        <v>3202.4190101585973</v>
      </c>
      <c r="I70" s="1038">
        <f>'3_Levels 1&amp;2'!E70</f>
        <v>326.92</v>
      </c>
      <c r="J70" s="1039">
        <f t="shared" si="27"/>
        <v>9.7740369248297904E-2</v>
      </c>
      <c r="K70" s="1040">
        <f t="shared" si="28"/>
        <v>1046934.8228010486</v>
      </c>
      <c r="L70" s="1038">
        <f>'3_Levels 1&amp;2'!D70</f>
        <v>1486</v>
      </c>
      <c r="M70" s="1037">
        <f t="shared" si="29"/>
        <v>704.53218223489137</v>
      </c>
      <c r="N70" s="1038">
        <f>'3_Levels 1&amp;2'!G70</f>
        <v>97.77</v>
      </c>
      <c r="O70" s="1039">
        <f t="shared" si="30"/>
        <v>2.9230624927829699E-2</v>
      </c>
      <c r="P70" s="1040">
        <f t="shared" si="31"/>
        <v>313100.50662320602</v>
      </c>
      <c r="Q70" s="1038">
        <f>'3_Levels 1&amp;2'!F70</f>
        <v>1629.5</v>
      </c>
      <c r="R70" s="1037">
        <f t="shared" si="32"/>
        <v>192.14514060951581</v>
      </c>
      <c r="S70" s="1038">
        <f>'3_Levels 1&amp;2'!I70</f>
        <v>490.5</v>
      </c>
      <c r="T70" s="1039">
        <f t="shared" si="33"/>
        <v>0.1466464306750585</v>
      </c>
      <c r="U70" s="1040">
        <f t="shared" si="34"/>
        <v>1570786.5244827922</v>
      </c>
      <c r="V70" s="1038">
        <f>'3_Levels 1&amp;2'!H70</f>
        <v>327</v>
      </c>
      <c r="W70" s="1037">
        <f t="shared" si="35"/>
        <v>4803.6285152378969</v>
      </c>
      <c r="X70" s="1038">
        <f>'3_Levels 1&amp;2'!K70</f>
        <v>34.799999999999997</v>
      </c>
      <c r="Y70" s="1039">
        <f t="shared" si="36"/>
        <v>1.040427275737418E-2</v>
      </c>
      <c r="Z70" s="1040">
        <f t="shared" si="37"/>
        <v>111444.18155351919</v>
      </c>
      <c r="AA70" s="1038">
        <f>'3_Levels 1&amp;2'!J70</f>
        <v>58</v>
      </c>
      <c r="AB70" s="1037">
        <f t="shared" si="38"/>
        <v>1921.4514060951583</v>
      </c>
      <c r="AC70" s="1038">
        <f>'3_Levels 1&amp;2'!N70</f>
        <v>301.78967</v>
      </c>
      <c r="AD70" s="1039">
        <f t="shared" si="39"/>
        <v>9.0227070173504134E-2</v>
      </c>
      <c r="AE70" s="1040">
        <f t="shared" si="40"/>
        <v>966456.9762774898</v>
      </c>
      <c r="AF70" s="1038">
        <f t="shared" si="41"/>
        <v>2093</v>
      </c>
      <c r="AG70" s="1037">
        <f t="shared" si="42"/>
        <v>461.7567970747682</v>
      </c>
      <c r="AH70" s="1041"/>
      <c r="AI70" s="1044">
        <f t="shared" si="43"/>
        <v>10711386</v>
      </c>
      <c r="AJ70" s="1043">
        <f t="shared" si="44"/>
        <v>0</v>
      </c>
      <c r="AK70" s="1044">
        <f t="shared" si="45"/>
        <v>10711385.999999998</v>
      </c>
      <c r="AL70" s="1043">
        <f t="shared" si="46"/>
        <v>0</v>
      </c>
    </row>
    <row r="71" spans="1:38" s="450" customFormat="1" ht="16.149999999999999" customHeight="1" x14ac:dyDescent="0.2">
      <c r="A71" s="1045">
        <v>65</v>
      </c>
      <c r="B71" s="1045" t="s">
        <v>68</v>
      </c>
      <c r="C71" s="1046">
        <f>'3_Levels 1&amp;2'!U71</f>
        <v>31561503</v>
      </c>
      <c r="D71" s="1047">
        <f>'3_Levels 1&amp;2'!P71</f>
        <v>12017.22</v>
      </c>
      <c r="E71" s="1048">
        <f>'3_Levels 1&amp;2'!C71</f>
        <v>7945</v>
      </c>
      <c r="F71" s="1049">
        <f t="shared" ref="F71:F76" si="47">E71/D71</f>
        <v>0.66113460517490741</v>
      </c>
      <c r="G71" s="1050">
        <f>C71*F71</f>
        <v>20866401.824631657</v>
      </c>
      <c r="H71" s="1046">
        <f t="shared" ref="H71:H76" si="48">G71/E71</f>
        <v>2626.3564285250668</v>
      </c>
      <c r="I71" s="1047">
        <f>'3_Levels 1&amp;2'!E71</f>
        <v>1460.36</v>
      </c>
      <c r="J71" s="1049">
        <f t="shared" ref="J71:J76" si="49">I71/D71</f>
        <v>0.12152228219172155</v>
      </c>
      <c r="K71" s="1050">
        <f>C71*J71</f>
        <v>3835425.8739608661</v>
      </c>
      <c r="L71" s="1047">
        <f>'3_Levels 1&amp;2'!D71</f>
        <v>6638</v>
      </c>
      <c r="M71" s="1046">
        <f t="shared" ref="M71:M76" si="50">IFERROR(K71/L71,0)</f>
        <v>577.79841427551469</v>
      </c>
      <c r="N71" s="1047">
        <f>'3_Levels 1&amp;2'!G71</f>
        <v>172.26</v>
      </c>
      <c r="O71" s="1049">
        <f t="shared" ref="O71:O76" si="51">N71/D71</f>
        <v>1.4334430092816808E-2</v>
      </c>
      <c r="P71" s="1050">
        <f>C71*O71</f>
        <v>452416.15837772796</v>
      </c>
      <c r="Q71" s="1047">
        <f>'3_Levels 1&amp;2'!F71</f>
        <v>2871</v>
      </c>
      <c r="R71" s="1046">
        <f t="shared" ref="R71:R76" si="52">IFERROR(P71/Q71,0)</f>
        <v>157.581385711504</v>
      </c>
      <c r="S71" s="1047">
        <f>'3_Levels 1&amp;2'!I71</f>
        <v>2016</v>
      </c>
      <c r="T71" s="1049">
        <f t="shared" ref="T71:T76" si="53">S71/D71</f>
        <v>0.16775926545407341</v>
      </c>
      <c r="U71" s="1050">
        <f>C71*T71</f>
        <v>5294734.5599065339</v>
      </c>
      <c r="V71" s="1047">
        <f>'3_Levels 1&amp;2'!H71</f>
        <v>1344</v>
      </c>
      <c r="W71" s="1046">
        <f t="shared" ref="W71:W76" si="54">IFERROR(U71/V71,0)</f>
        <v>3939.5346427875998</v>
      </c>
      <c r="X71" s="1047">
        <f>'3_Levels 1&amp;2'!K71</f>
        <v>423.59999999999997</v>
      </c>
      <c r="Y71" s="1049">
        <f t="shared" ref="Y71:Y76" si="55">X71/D71</f>
        <v>3.5249417086480897E-2</v>
      </c>
      <c r="Z71" s="1050">
        <f>C71*Y71</f>
        <v>1112524.583123218</v>
      </c>
      <c r="AA71" s="1047">
        <f>'3_Levels 1&amp;2'!J71</f>
        <v>706</v>
      </c>
      <c r="AB71" s="1046">
        <f t="shared" ref="AB71:AB76" si="56">IFERROR(Z71/AA71,0)</f>
        <v>1575.8138571150398</v>
      </c>
      <c r="AC71" s="1047">
        <f>'3_Levels 1&amp;2'!N71</f>
        <v>0</v>
      </c>
      <c r="AD71" s="1049">
        <f t="shared" ref="AD71:AD76" si="57">AC71/D71</f>
        <v>0</v>
      </c>
      <c r="AE71" s="1050">
        <f>C71*AD71</f>
        <v>0</v>
      </c>
      <c r="AF71" s="1048">
        <f t="shared" si="41"/>
        <v>7945</v>
      </c>
      <c r="AG71" s="1046">
        <f t="shared" ref="AG71:AG76" si="58">IFERROR(AE71/AF71,0)</f>
        <v>0</v>
      </c>
      <c r="AH71" s="1041"/>
      <c r="AI71" s="1051">
        <f t="shared" si="43"/>
        <v>31561503.000000004</v>
      </c>
      <c r="AJ71" s="1051">
        <f>C71-AI71</f>
        <v>0</v>
      </c>
      <c r="AK71" s="1051">
        <f t="shared" si="45"/>
        <v>31561503.000000007</v>
      </c>
      <c r="AL71" s="1051">
        <f>C71-AK71</f>
        <v>0</v>
      </c>
    </row>
    <row r="72" spans="1:38" s="450" customFormat="1" ht="16.149999999999999" customHeight="1" x14ac:dyDescent="0.2">
      <c r="A72" s="1036">
        <v>66</v>
      </c>
      <c r="B72" s="1036" t="s">
        <v>69</v>
      </c>
      <c r="C72" s="1037">
        <f>'3_Levels 1&amp;2'!U72</f>
        <v>10074597</v>
      </c>
      <c r="D72" s="1038">
        <f>'3_Levels 1&amp;2'!P72</f>
        <v>3382.4439200000002</v>
      </c>
      <c r="E72" s="1038">
        <f>'3_Levels 1&amp;2'!C72</f>
        <v>1904</v>
      </c>
      <c r="F72" s="1039">
        <f t="shared" si="47"/>
        <v>0.5629065980198128</v>
      </c>
      <c r="G72" s="1040">
        <f>C72*F72</f>
        <v>5671057.1236906117</v>
      </c>
      <c r="H72" s="1037">
        <f t="shared" si="48"/>
        <v>2978.4963884929684</v>
      </c>
      <c r="I72" s="1038">
        <f>'3_Levels 1&amp;2'!E72</f>
        <v>396.88</v>
      </c>
      <c r="J72" s="1039">
        <f t="shared" si="49"/>
        <v>0.11733527868807947</v>
      </c>
      <c r="K72" s="1040">
        <f>C72*J72</f>
        <v>1182105.6466650893</v>
      </c>
      <c r="L72" s="1038">
        <f>'3_Levels 1&amp;2'!D72</f>
        <v>1804</v>
      </c>
      <c r="M72" s="1037">
        <f t="shared" si="50"/>
        <v>655.26920546845304</v>
      </c>
      <c r="N72" s="1038">
        <f>'3_Levels 1&amp;2'!G72</f>
        <v>58.23</v>
      </c>
      <c r="O72" s="1039">
        <f t="shared" si="51"/>
        <v>1.7215363026624842E-2</v>
      </c>
      <c r="P72" s="1040">
        <f>C72*O72</f>
        <v>173437.84470194555</v>
      </c>
      <c r="Q72" s="1038">
        <f>'3_Levels 1&amp;2'!F72</f>
        <v>970.5</v>
      </c>
      <c r="R72" s="1037">
        <f t="shared" si="52"/>
        <v>178.70978330957811</v>
      </c>
      <c r="S72" s="1038">
        <f>'3_Levels 1&amp;2'!I72</f>
        <v>636</v>
      </c>
      <c r="T72" s="1039">
        <f t="shared" si="53"/>
        <v>0.18802972496880302</v>
      </c>
      <c r="U72" s="1040">
        <f>C72*T72</f>
        <v>1894323.703081528</v>
      </c>
      <c r="V72" s="1038">
        <f>'3_Levels 1&amp;2'!H72</f>
        <v>424</v>
      </c>
      <c r="W72" s="1037">
        <f t="shared" si="54"/>
        <v>4467.7445827394531</v>
      </c>
      <c r="X72" s="1038">
        <f>'3_Levels 1&amp;2'!K72</f>
        <v>103.2</v>
      </c>
      <c r="Y72" s="1039">
        <f t="shared" si="55"/>
        <v>3.0510483674183131E-2</v>
      </c>
      <c r="Z72" s="1040">
        <f>C72*Y72</f>
        <v>307380.82729247434</v>
      </c>
      <c r="AA72" s="1038">
        <f>'3_Levels 1&amp;2'!J72</f>
        <v>172</v>
      </c>
      <c r="AB72" s="1037">
        <f t="shared" si="56"/>
        <v>1787.097833095781</v>
      </c>
      <c r="AC72" s="1038">
        <f>'3_Levels 1&amp;2'!N72</f>
        <v>284.13391999999999</v>
      </c>
      <c r="AD72" s="1039">
        <f t="shared" si="57"/>
        <v>8.400255162249666E-2</v>
      </c>
      <c r="AE72" s="1040">
        <f>C72*AD72</f>
        <v>846291.85456835001</v>
      </c>
      <c r="AF72" s="1038">
        <f t="shared" si="41"/>
        <v>1904</v>
      </c>
      <c r="AG72" s="1037">
        <f t="shared" si="58"/>
        <v>444.48101605480571</v>
      </c>
      <c r="AH72" s="1041"/>
      <c r="AI72" s="1044">
        <f t="shared" si="43"/>
        <v>10074597</v>
      </c>
      <c r="AJ72" s="1043">
        <f>C72-AI72</f>
        <v>0</v>
      </c>
      <c r="AK72" s="1044">
        <f t="shared" si="45"/>
        <v>10074596.999999998</v>
      </c>
      <c r="AL72" s="1043">
        <f>C72-AK72</f>
        <v>0</v>
      </c>
    </row>
    <row r="73" spans="1:38" s="450" customFormat="1" ht="16.149999999999999" customHeight="1" x14ac:dyDescent="0.2">
      <c r="A73" s="1036">
        <v>67</v>
      </c>
      <c r="B73" s="1036" t="s">
        <v>2</v>
      </c>
      <c r="C73" s="1037">
        <f>'3_Levels 1&amp;2'!U73</f>
        <v>22128909</v>
      </c>
      <c r="D73" s="1038">
        <f>'3_Levels 1&amp;2'!P73</f>
        <v>7545.7847999999994</v>
      </c>
      <c r="E73" s="1038">
        <f>'3_Levels 1&amp;2'!C73</f>
        <v>5432</v>
      </c>
      <c r="F73" s="1039">
        <f t="shared" si="47"/>
        <v>0.71987210660977241</v>
      </c>
      <c r="G73" s="1040">
        <f>C73*F73</f>
        <v>15929984.338805953</v>
      </c>
      <c r="H73" s="1037">
        <f t="shared" si="48"/>
        <v>2932.618619073261</v>
      </c>
      <c r="I73" s="1038">
        <f>'3_Levels 1&amp;2'!E73</f>
        <v>601.04</v>
      </c>
      <c r="J73" s="1039">
        <f t="shared" si="49"/>
        <v>7.9652417333714587E-2</v>
      </c>
      <c r="K73" s="1040">
        <f>C73*J73</f>
        <v>1762621.0948077927</v>
      </c>
      <c r="L73" s="1038">
        <f>'3_Levels 1&amp;2'!D73</f>
        <v>2732</v>
      </c>
      <c r="M73" s="1037">
        <f t="shared" si="50"/>
        <v>645.17609619611733</v>
      </c>
      <c r="N73" s="1038">
        <f>'3_Levels 1&amp;2'!G73</f>
        <v>109.77</v>
      </c>
      <c r="O73" s="1039">
        <f t="shared" si="51"/>
        <v>1.4547194613872371E-2</v>
      </c>
      <c r="P73" s="1040">
        <f>C73*O73</f>
        <v>321913.54581567185</v>
      </c>
      <c r="Q73" s="1038">
        <f>'3_Levels 1&amp;2'!F73</f>
        <v>1829.5</v>
      </c>
      <c r="R73" s="1037">
        <f t="shared" si="52"/>
        <v>175.95711714439565</v>
      </c>
      <c r="S73" s="1038">
        <f>'3_Levels 1&amp;2'!I73</f>
        <v>813</v>
      </c>
      <c r="T73" s="1039">
        <f t="shared" si="53"/>
        <v>0.10774227221534334</v>
      </c>
      <c r="U73" s="1040">
        <f>C73*T73</f>
        <v>2384218.937306561</v>
      </c>
      <c r="V73" s="1038">
        <f>'3_Levels 1&amp;2'!H73</f>
        <v>542</v>
      </c>
      <c r="W73" s="1037">
        <f t="shared" si="54"/>
        <v>4398.9279286098908</v>
      </c>
      <c r="X73" s="1038">
        <f>'3_Levels 1&amp;2'!K73</f>
        <v>290.39999999999998</v>
      </c>
      <c r="Y73" s="1039">
        <f t="shared" si="55"/>
        <v>3.8485062547768394E-2</v>
      </c>
      <c r="Z73" s="1040">
        <f>C73*Y73</f>
        <v>851632.44697887497</v>
      </c>
      <c r="AA73" s="1038">
        <f>'3_Levels 1&amp;2'!J73</f>
        <v>484</v>
      </c>
      <c r="AB73" s="1037">
        <f t="shared" si="56"/>
        <v>1759.5711714439565</v>
      </c>
      <c r="AC73" s="1038">
        <f>'3_Levels 1&amp;2'!N73</f>
        <v>299.57479999999998</v>
      </c>
      <c r="AD73" s="1039">
        <f t="shared" si="57"/>
        <v>3.9700946679528948E-2</v>
      </c>
      <c r="AE73" s="1040">
        <f>C73*AD73</f>
        <v>878538.63628514821</v>
      </c>
      <c r="AF73" s="1038">
        <f t="shared" si="41"/>
        <v>5432</v>
      </c>
      <c r="AG73" s="1037">
        <f t="shared" si="58"/>
        <v>161.73391684189031</v>
      </c>
      <c r="AH73" s="1041"/>
      <c r="AI73" s="1044">
        <f t="shared" si="43"/>
        <v>22128909</v>
      </c>
      <c r="AJ73" s="1043">
        <f>C73-AI73</f>
        <v>0</v>
      </c>
      <c r="AK73" s="1044">
        <f t="shared" si="45"/>
        <v>22128909.000000004</v>
      </c>
      <c r="AL73" s="1043">
        <f>C73-AK73</f>
        <v>0</v>
      </c>
    </row>
    <row r="74" spans="1:38" ht="16.149999999999999" customHeight="1" x14ac:dyDescent="0.2">
      <c r="A74" s="1036">
        <v>68</v>
      </c>
      <c r="B74" s="1036" t="s">
        <v>1</v>
      </c>
      <c r="C74" s="1037">
        <f>'3_Levels 1&amp;2'!U74</f>
        <v>9254014</v>
      </c>
      <c r="D74" s="1038">
        <f>'3_Levels 1&amp;2'!P74</f>
        <v>2811.6440000000002</v>
      </c>
      <c r="E74" s="1038">
        <f>'3_Levels 1&amp;2'!C74</f>
        <v>1815</v>
      </c>
      <c r="F74" s="1039">
        <f t="shared" si="47"/>
        <v>0.64552980391543158</v>
      </c>
      <c r="G74" s="1040">
        <f>C74*F74</f>
        <v>5973741.842850659</v>
      </c>
      <c r="H74" s="1037">
        <f t="shared" si="48"/>
        <v>3291.3178197524294</v>
      </c>
      <c r="I74" s="1038">
        <f>'3_Levels 1&amp;2'!E74</f>
        <v>356.84</v>
      </c>
      <c r="J74" s="1039">
        <f t="shared" si="49"/>
        <v>0.12691507175161576</v>
      </c>
      <c r="K74" s="1040">
        <f>C74*J74</f>
        <v>1174473.8508004567</v>
      </c>
      <c r="L74" s="1038">
        <f>'3_Levels 1&amp;2'!D74</f>
        <v>1622</v>
      </c>
      <c r="M74" s="1037">
        <f t="shared" si="50"/>
        <v>724.08992034553432</v>
      </c>
      <c r="N74" s="1038">
        <f>'3_Levels 1&amp;2'!G74</f>
        <v>50.85</v>
      </c>
      <c r="O74" s="1039">
        <f t="shared" si="51"/>
        <v>1.8085504423746391E-2</v>
      </c>
      <c r="P74" s="1040">
        <f>C74*O74</f>
        <v>167363.51113441103</v>
      </c>
      <c r="Q74" s="1038">
        <f>'3_Levels 1&amp;2'!F74</f>
        <v>847.5</v>
      </c>
      <c r="R74" s="1037">
        <f t="shared" si="52"/>
        <v>197.47906918514576</v>
      </c>
      <c r="S74" s="1038">
        <f>'3_Levels 1&amp;2'!I74</f>
        <v>309</v>
      </c>
      <c r="T74" s="1039">
        <f t="shared" si="53"/>
        <v>0.10990011537733795</v>
      </c>
      <c r="U74" s="1040">
        <f>C74*T74</f>
        <v>1017017.2063035006</v>
      </c>
      <c r="V74" s="1038">
        <f>'3_Levels 1&amp;2'!H74</f>
        <v>206</v>
      </c>
      <c r="W74" s="1037">
        <f t="shared" si="54"/>
        <v>4936.9767296286436</v>
      </c>
      <c r="X74" s="1038">
        <f>'3_Levels 1&amp;2'!K74</f>
        <v>4.8</v>
      </c>
      <c r="Y74" s="1039">
        <f t="shared" si="55"/>
        <v>1.7071862582887446E-3</v>
      </c>
      <c r="Z74" s="1040">
        <f>C74*Y74</f>
        <v>15798.325534811658</v>
      </c>
      <c r="AA74" s="1038">
        <f>'3_Levels 1&amp;2'!J74</f>
        <v>8</v>
      </c>
      <c r="AB74" s="1037">
        <f t="shared" si="56"/>
        <v>1974.7906918514573</v>
      </c>
      <c r="AC74" s="1038">
        <f>'3_Levels 1&amp;2'!N74</f>
        <v>275.154</v>
      </c>
      <c r="AD74" s="1039">
        <f t="shared" si="57"/>
        <v>9.7862318273579441E-2</v>
      </c>
      <c r="AE74" s="1040">
        <f>C74*AD74</f>
        <v>905619.26337615994</v>
      </c>
      <c r="AF74" s="1038">
        <f t="shared" si="41"/>
        <v>1815</v>
      </c>
      <c r="AG74" s="1037">
        <f t="shared" si="58"/>
        <v>498.96378147446831</v>
      </c>
      <c r="AH74" s="460"/>
      <c r="AI74" s="1044">
        <f t="shared" si="43"/>
        <v>9254014</v>
      </c>
      <c r="AJ74" s="1043">
        <f>C74-AI74</f>
        <v>0</v>
      </c>
      <c r="AK74" s="1044">
        <f t="shared" si="45"/>
        <v>9254013.9999999981</v>
      </c>
      <c r="AL74" s="1043">
        <f>C74-AK74</f>
        <v>0</v>
      </c>
    </row>
    <row r="75" spans="1:38" ht="16.149999999999999" customHeight="1" x14ac:dyDescent="0.2">
      <c r="A75" s="1045">
        <v>69</v>
      </c>
      <c r="B75" s="1045" t="s">
        <v>74</v>
      </c>
      <c r="C75" s="1046">
        <f>'3_Levels 1&amp;2'!U75</f>
        <v>21639003</v>
      </c>
      <c r="D75" s="1047">
        <f>'3_Levels 1&amp;2'!P75</f>
        <v>6570.9530599999998</v>
      </c>
      <c r="E75" s="1048">
        <f>'3_Levels 1&amp;2'!C75</f>
        <v>4714</v>
      </c>
      <c r="F75" s="1049">
        <f t="shared" si="47"/>
        <v>0.71739973744387087</v>
      </c>
      <c r="G75" s="1050">
        <f>C75*F75</f>
        <v>15523815.070747133</v>
      </c>
      <c r="H75" s="1046">
        <f t="shared" si="48"/>
        <v>3293.1300531920097</v>
      </c>
      <c r="I75" s="1047">
        <f>'3_Levels 1&amp;2'!E75</f>
        <v>489.72</v>
      </c>
      <c r="J75" s="1049">
        <f t="shared" si="49"/>
        <v>7.4528001574249575E-2</v>
      </c>
      <c r="K75" s="1050">
        <f>C75*J75</f>
        <v>1612711.6496491912</v>
      </c>
      <c r="L75" s="1047">
        <f>'3_Levels 1&amp;2'!D75</f>
        <v>2226</v>
      </c>
      <c r="M75" s="1046">
        <f t="shared" si="50"/>
        <v>724.48861170224222</v>
      </c>
      <c r="N75" s="1047">
        <f>'3_Levels 1&amp;2'!G75</f>
        <v>138.93</v>
      </c>
      <c r="O75" s="1049">
        <f t="shared" si="51"/>
        <v>2.114305165954115E-2</v>
      </c>
      <c r="P75" s="1050">
        <f>C75*O75</f>
        <v>457514.55828996591</v>
      </c>
      <c r="Q75" s="1047">
        <f>'3_Levels 1&amp;2'!F75</f>
        <v>2315.5</v>
      </c>
      <c r="R75" s="1046">
        <f t="shared" si="52"/>
        <v>197.58780319152058</v>
      </c>
      <c r="S75" s="1047">
        <f>'3_Levels 1&amp;2'!I75</f>
        <v>625.5</v>
      </c>
      <c r="T75" s="1049">
        <f t="shared" si="53"/>
        <v>9.5191670719376592E-2</v>
      </c>
      <c r="U75" s="1050">
        <f>C75*T75</f>
        <v>2059852.8482716023</v>
      </c>
      <c r="V75" s="1047">
        <f>'3_Levels 1&amp;2'!H75</f>
        <v>417</v>
      </c>
      <c r="W75" s="1046">
        <f t="shared" si="54"/>
        <v>4939.6950797880154</v>
      </c>
      <c r="X75" s="1047">
        <f>'3_Levels 1&amp;2'!K75</f>
        <v>252.6</v>
      </c>
      <c r="Y75" s="1049">
        <f t="shared" si="55"/>
        <v>3.8441912108256635E-2</v>
      </c>
      <c r="Z75" s="1050">
        <f>C75*Y75</f>
        <v>831844.65143630165</v>
      </c>
      <c r="AA75" s="1047">
        <f>'3_Levels 1&amp;2'!J75</f>
        <v>421</v>
      </c>
      <c r="AB75" s="1046">
        <f t="shared" si="56"/>
        <v>1975.8780319152058</v>
      </c>
      <c r="AC75" s="1047">
        <f>'3_Levels 1&amp;2'!N75</f>
        <v>350.20305999999999</v>
      </c>
      <c r="AD75" s="1049">
        <f t="shared" si="57"/>
        <v>5.3295626494705171E-2</v>
      </c>
      <c r="AE75" s="1050">
        <f>C75*AD75</f>
        <v>1153264.2216058047</v>
      </c>
      <c r="AF75" s="1048">
        <f t="shared" si="41"/>
        <v>4714</v>
      </c>
      <c r="AG75" s="1046">
        <f t="shared" si="58"/>
        <v>244.64663165163444</v>
      </c>
      <c r="AH75" s="460"/>
      <c r="AI75" s="1051">
        <f t="shared" si="43"/>
        <v>21639003</v>
      </c>
      <c r="AJ75" s="1043">
        <f>C75-AI75</f>
        <v>0</v>
      </c>
      <c r="AK75" s="1051">
        <f t="shared" si="45"/>
        <v>21639003</v>
      </c>
      <c r="AL75" s="1043">
        <f>C75-AK75</f>
        <v>0</v>
      </c>
    </row>
    <row r="76" spans="1:38" ht="16.149999999999999" customHeight="1" thickBot="1" x14ac:dyDescent="0.25">
      <c r="A76" s="1052"/>
      <c r="B76" s="1052" t="s">
        <v>4</v>
      </c>
      <c r="C76" s="1053">
        <f>SUM(C7:C75)</f>
        <v>2534368098</v>
      </c>
      <c r="D76" s="1054">
        <f>SUM(D7:D75)</f>
        <v>971140.29316</v>
      </c>
      <c r="E76" s="1054">
        <f>SUM(E7:E75)</f>
        <v>681088</v>
      </c>
      <c r="F76" s="1055">
        <f t="shared" si="47"/>
        <v>0.70132812405898959</v>
      </c>
      <c r="G76" s="1056">
        <f>SUM(G7:G75)</f>
        <v>1776864216.4251339</v>
      </c>
      <c r="H76" s="1053">
        <f t="shared" si="48"/>
        <v>2608.8614340953504</v>
      </c>
      <c r="I76" s="1054">
        <f>SUM(I7:I75)</f>
        <v>104190.46000000002</v>
      </c>
      <c r="J76" s="1055">
        <f t="shared" si="49"/>
        <v>0.10728672338470684</v>
      </c>
      <c r="K76" s="1056">
        <f>SUM(K7:K75)</f>
        <v>269763156.88560879</v>
      </c>
      <c r="L76" s="1054">
        <f>SUM(L7:L75)</f>
        <v>473593</v>
      </c>
      <c r="M76" s="1053">
        <f t="shared" si="50"/>
        <v>569.60967937788098</v>
      </c>
      <c r="N76" s="1054">
        <f>SUM(N7:N75)</f>
        <v>18089.099999999995</v>
      </c>
      <c r="O76" s="1055">
        <f t="shared" si="51"/>
        <v>1.8626659945433579E-2</v>
      </c>
      <c r="P76" s="1056">
        <f>SUM(P7:P75)</f>
        <v>47823693.498865113</v>
      </c>
      <c r="Q76" s="1054">
        <f>SUM(Q7:Q75)</f>
        <v>301485</v>
      </c>
      <c r="R76" s="1053">
        <f t="shared" si="52"/>
        <v>158.62710748085348</v>
      </c>
      <c r="S76" s="1054">
        <f>SUM(S7:S75)</f>
        <v>137349</v>
      </c>
      <c r="T76" s="1055">
        <f t="shared" si="53"/>
        <v>0.14143064701092686</v>
      </c>
      <c r="U76" s="1056">
        <f>SUM(U7:U75)</f>
        <v>360330734.76021624</v>
      </c>
      <c r="V76" s="1054">
        <f>SUM(V7:V75)</f>
        <v>91566</v>
      </c>
      <c r="W76" s="1053">
        <f t="shared" si="54"/>
        <v>3935.2023104669443</v>
      </c>
      <c r="X76" s="1054">
        <f>SUM(X7:X75)</f>
        <v>17296.199999999997</v>
      </c>
      <c r="Y76" s="1055">
        <f t="shared" si="55"/>
        <v>1.7810197066089981E-2</v>
      </c>
      <c r="Z76" s="1056">
        <f>SUM(Z7:Z75)</f>
        <v>43975362.828009546</v>
      </c>
      <c r="AA76" s="1054">
        <f>SUM(AA7:AA75)</f>
        <v>28827</v>
      </c>
      <c r="AB76" s="1053">
        <f t="shared" si="56"/>
        <v>1525.492171506211</v>
      </c>
      <c r="AC76" s="1054">
        <f>SUM(AC7:AC75)</f>
        <v>13127.533160000003</v>
      </c>
      <c r="AD76" s="1055">
        <f t="shared" si="57"/>
        <v>1.3517648533853161E-2</v>
      </c>
      <c r="AE76" s="1056">
        <f>SUM(AE7:AE75)</f>
        <v>35610933.602166548</v>
      </c>
      <c r="AF76" s="1054">
        <f>SUM(AF7:AF75)</f>
        <v>681088</v>
      </c>
      <c r="AG76" s="1053">
        <f t="shared" si="58"/>
        <v>52.285363421711359</v>
      </c>
      <c r="AH76" s="460"/>
      <c r="AI76" s="1057">
        <f>SUM(AI7:AI75)</f>
        <v>2534368098</v>
      </c>
      <c r="AJ76" s="1058">
        <f>SUM(AJ7:AJ75)</f>
        <v>0</v>
      </c>
      <c r="AK76" s="1057">
        <f>SUM(AK7:AK75)</f>
        <v>2534368098</v>
      </c>
      <c r="AL76" s="1058">
        <f>SUM(AL7:AL75)</f>
        <v>0</v>
      </c>
    </row>
    <row r="77" spans="1:38" ht="13.5" thickTop="1" x14ac:dyDescent="0.2">
      <c r="A77" s="449"/>
      <c r="B77" s="449"/>
      <c r="C77" s="447"/>
      <c r="D77" s="447"/>
      <c r="E77" s="447"/>
      <c r="F77" s="447"/>
      <c r="G77" s="447"/>
      <c r="H77" s="447"/>
      <c r="I77" s="447"/>
      <c r="J77" s="447"/>
      <c r="K77" s="448"/>
      <c r="L77" s="447"/>
      <c r="M77" s="447"/>
      <c r="N77" s="1580"/>
      <c r="O77" s="1580"/>
      <c r="P77" s="447"/>
      <c r="Q77" s="447"/>
      <c r="R77" s="447"/>
      <c r="S77" s="1580"/>
      <c r="T77" s="1580"/>
      <c r="U77" s="447"/>
      <c r="V77" s="447"/>
      <c r="W77" s="447"/>
      <c r="X77" s="1580"/>
      <c r="Y77" s="1580"/>
      <c r="Z77" s="447"/>
      <c r="AA77" s="447"/>
      <c r="AB77" s="447"/>
      <c r="AC77" s="447"/>
      <c r="AD77" s="447"/>
      <c r="AE77" s="447"/>
      <c r="AI77" s="447"/>
      <c r="AK77" s="447"/>
    </row>
    <row r="78" spans="1:38" ht="13.5" customHeight="1" thickBot="1" x14ac:dyDescent="0.25">
      <c r="A78" s="443"/>
      <c r="B78" s="443"/>
      <c r="C78" s="442"/>
      <c r="D78" s="442"/>
      <c r="E78" s="442"/>
      <c r="F78" s="444">
        <f>G76/$C$76</f>
        <v>0.70110739549923662</v>
      </c>
      <c r="G78" s="442"/>
      <c r="H78" s="442"/>
      <c r="I78" s="446"/>
      <c r="J78" s="444">
        <f>K76/$C$76</f>
        <v>0.1064419794024762</v>
      </c>
      <c r="K78" s="442"/>
      <c r="L78" s="442"/>
      <c r="M78" s="445"/>
      <c r="N78" s="445"/>
      <c r="O78" s="444">
        <f>P76/$C$76</f>
        <v>1.8870066087323795E-2</v>
      </c>
      <c r="P78" s="442"/>
      <c r="Q78" s="442"/>
      <c r="R78" s="1576"/>
      <c r="S78" s="1576"/>
      <c r="T78" s="444">
        <f>U76/$C$76</f>
        <v>0.14217774246944306</v>
      </c>
      <c r="U78" s="442"/>
      <c r="V78" s="442"/>
      <c r="W78" s="1576"/>
      <c r="X78" s="1576"/>
      <c r="Y78" s="444">
        <f>Z76/$C$76</f>
        <v>1.7351608419752744E-2</v>
      </c>
      <c r="Z78" s="442"/>
      <c r="AA78" s="442"/>
      <c r="AB78" s="442"/>
      <c r="AC78" s="442"/>
      <c r="AD78" s="444">
        <f>AE76/$C$76</f>
        <v>1.4051208121767696E-2</v>
      </c>
      <c r="AH78" s="442"/>
      <c r="AI78" s="440"/>
      <c r="AJ78" s="442"/>
      <c r="AK78" s="440"/>
      <c r="AL78" s="439"/>
    </row>
    <row r="79" spans="1:38" ht="14.25" customHeight="1" thickTop="1" x14ac:dyDescent="0.2">
      <c r="A79" s="443"/>
      <c r="B79" s="443"/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I79" s="442"/>
      <c r="AK79" s="442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R78:S78"/>
    <mergeCell ref="W78:X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&amp;C&amp;20FY2019-20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BI77"/>
  <sheetViews>
    <sheetView view="pageBreakPreview" zoomScaleNormal="100" zoomScaleSheetLayoutView="100" workbookViewId="0">
      <pane xSplit="2" ySplit="6" topLeftCell="C7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8.85546875" defaultRowHeight="12.75" x14ac:dyDescent="0.2"/>
  <cols>
    <col min="1" max="1" width="4" style="100" bestFit="1" customWidth="1"/>
    <col min="2" max="2" width="31" style="100" bestFit="1" customWidth="1"/>
    <col min="3" max="17" width="13.28515625" style="100" customWidth="1"/>
    <col min="18" max="18" width="10.28515625" style="100" hidden="1" customWidth="1"/>
    <col min="19" max="25" width="13.28515625" style="100" customWidth="1"/>
    <col min="26" max="26" width="13.28515625" style="100" hidden="1" customWidth="1"/>
    <col min="27" max="28" width="13.28515625" style="100" customWidth="1"/>
    <col min="29" max="31" width="13.28515625" style="100" hidden="1" customWidth="1"/>
    <col min="32" max="35" width="13.28515625" style="100" customWidth="1"/>
    <col min="36" max="40" width="12.42578125" style="100" customWidth="1"/>
    <col min="41" max="45" width="13.28515625" style="100" hidden="1" customWidth="1"/>
    <col min="46" max="47" width="12.42578125" style="100" customWidth="1"/>
    <col min="48" max="61" width="13.28515625" style="100" customWidth="1"/>
    <col min="62" max="16384" width="8.85546875" style="100"/>
  </cols>
  <sheetData>
    <row r="1" spans="1:61" s="271" customFormat="1" ht="18.75" customHeight="1" x14ac:dyDescent="0.2">
      <c r="A1" s="1602" t="s">
        <v>534</v>
      </c>
      <c r="B1" s="1603"/>
      <c r="C1" s="1606" t="s">
        <v>1117</v>
      </c>
      <c r="D1" s="1607" t="s">
        <v>905</v>
      </c>
      <c r="E1" s="1601" t="s">
        <v>1118</v>
      </c>
      <c r="F1" s="1601"/>
      <c r="G1" s="1601"/>
      <c r="H1" s="1601"/>
      <c r="I1" s="1601"/>
      <c r="J1" s="1601" t="s">
        <v>1118</v>
      </c>
      <c r="K1" s="1601"/>
      <c r="L1" s="1601"/>
      <c r="M1" s="1601"/>
      <c r="N1" s="1601"/>
      <c r="O1" s="1601"/>
      <c r="P1" s="1601"/>
      <c r="Q1" s="1601" t="s">
        <v>1118</v>
      </c>
      <c r="R1" s="1601"/>
      <c r="S1" s="1601"/>
      <c r="T1" s="1601"/>
      <c r="U1" s="1601"/>
      <c r="V1" s="1601"/>
      <c r="W1" s="1601"/>
      <c r="X1" s="1601"/>
      <c r="Y1" s="1601" t="s">
        <v>1118</v>
      </c>
      <c r="Z1" s="1601"/>
      <c r="AA1" s="1601"/>
      <c r="AB1" s="1601"/>
      <c r="AC1" s="1601"/>
      <c r="AD1" s="1601"/>
      <c r="AE1" s="1601"/>
      <c r="AF1" s="1601"/>
      <c r="AG1" s="1601"/>
      <c r="AH1" s="1601"/>
      <c r="AI1" s="1601"/>
      <c r="AJ1" s="1601" t="s">
        <v>1118</v>
      </c>
      <c r="AK1" s="1601"/>
      <c r="AL1" s="1601"/>
      <c r="AM1" s="1601"/>
      <c r="AN1" s="1601"/>
      <c r="AO1" s="1601"/>
      <c r="AP1" s="1601"/>
      <c r="AQ1" s="1601"/>
      <c r="AR1" s="1601"/>
      <c r="AS1" s="1601"/>
      <c r="AT1" s="1601"/>
      <c r="AU1" s="1601"/>
      <c r="AV1" s="1560" t="s">
        <v>468</v>
      </c>
      <c r="AW1" s="1561" t="s">
        <v>232</v>
      </c>
      <c r="AX1" s="1561"/>
      <c r="AY1" s="1561"/>
      <c r="AZ1" s="1561"/>
      <c r="BA1" s="1561"/>
      <c r="BB1" s="1561"/>
      <c r="BC1" s="1561"/>
      <c r="BD1" s="1562" t="s">
        <v>1119</v>
      </c>
      <c r="BE1" s="1562"/>
      <c r="BF1" s="1562"/>
      <c r="BG1" s="1562"/>
      <c r="BH1" s="1562"/>
      <c r="BI1" s="1560" t="s">
        <v>467</v>
      </c>
    </row>
    <row r="2" spans="1:61" s="272" customFormat="1" ht="69.75" customHeight="1" x14ac:dyDescent="0.2">
      <c r="A2" s="1604"/>
      <c r="B2" s="1605"/>
      <c r="C2" s="1606"/>
      <c r="D2" s="1607"/>
      <c r="E2" s="1136" t="s">
        <v>632</v>
      </c>
      <c r="F2" s="1136" t="s">
        <v>631</v>
      </c>
      <c r="G2" s="1136" t="s">
        <v>1120</v>
      </c>
      <c r="H2" s="1136" t="s">
        <v>636</v>
      </c>
      <c r="I2" s="1136" t="s">
        <v>635</v>
      </c>
      <c r="J2" s="1136" t="s">
        <v>634</v>
      </c>
      <c r="K2" s="1136" t="s">
        <v>651</v>
      </c>
      <c r="L2" s="1136" t="s">
        <v>650</v>
      </c>
      <c r="M2" s="1136" t="s">
        <v>646</v>
      </c>
      <c r="N2" s="1136" t="s">
        <v>908</v>
      </c>
      <c r="O2" s="1136" t="s">
        <v>903</v>
      </c>
      <c r="P2" s="1136" t="s">
        <v>642</v>
      </c>
      <c r="Q2" s="1136" t="s">
        <v>648</v>
      </c>
      <c r="R2" s="1146"/>
      <c r="S2" s="1136" t="s">
        <v>637</v>
      </c>
      <c r="T2" s="1136" t="s">
        <v>641</v>
      </c>
      <c r="U2" s="1136" t="s">
        <v>643</v>
      </c>
      <c r="V2" s="1136" t="s">
        <v>644</v>
      </c>
      <c r="W2" s="1136" t="s">
        <v>645</v>
      </c>
      <c r="X2" s="1136" t="s">
        <v>647</v>
      </c>
      <c r="Y2" s="1136" t="s">
        <v>638</v>
      </c>
      <c r="Z2" s="1146"/>
      <c r="AA2" s="1136" t="s">
        <v>652</v>
      </c>
      <c r="AB2" s="1136" t="s">
        <v>639</v>
      </c>
      <c r="AC2" s="1146"/>
      <c r="AD2" s="1146"/>
      <c r="AE2" s="1146"/>
      <c r="AF2" s="1136" t="s">
        <v>640</v>
      </c>
      <c r="AG2" s="1136" t="s">
        <v>696</v>
      </c>
      <c r="AH2" s="1136" t="s">
        <v>574</v>
      </c>
      <c r="AI2" s="1136" t="s">
        <v>701</v>
      </c>
      <c r="AJ2" s="1136" t="s">
        <v>700</v>
      </c>
      <c r="AK2" s="1136" t="s">
        <v>1173</v>
      </c>
      <c r="AL2" s="1136" t="s">
        <v>1174</v>
      </c>
      <c r="AM2" s="1136" t="s">
        <v>1442</v>
      </c>
      <c r="AN2" s="1136" t="s">
        <v>1443</v>
      </c>
      <c r="AO2" s="1136"/>
      <c r="AP2" s="1136"/>
      <c r="AQ2" s="1136"/>
      <c r="AR2" s="1136"/>
      <c r="AS2" s="1136"/>
      <c r="AT2" s="1136" t="s">
        <v>649</v>
      </c>
      <c r="AU2" s="1136" t="s">
        <v>633</v>
      </c>
      <c r="AV2" s="1560"/>
      <c r="AW2" s="841" t="s">
        <v>1121</v>
      </c>
      <c r="AX2" s="841" t="s">
        <v>1122</v>
      </c>
      <c r="AY2" s="841" t="s">
        <v>1123</v>
      </c>
      <c r="AZ2" s="841" t="s">
        <v>1124</v>
      </c>
      <c r="BA2" s="841" t="s">
        <v>1125</v>
      </c>
      <c r="BB2" s="841" t="s">
        <v>1126</v>
      </c>
      <c r="BC2" s="841" t="s">
        <v>1127</v>
      </c>
      <c r="BD2" s="842" t="s">
        <v>653</v>
      </c>
      <c r="BE2" s="842" t="s">
        <v>654</v>
      </c>
      <c r="BF2" s="843" t="s">
        <v>655</v>
      </c>
      <c r="BG2" s="843" t="s">
        <v>656</v>
      </c>
      <c r="BH2" s="843" t="s">
        <v>904</v>
      </c>
      <c r="BI2" s="1560"/>
    </row>
    <row r="3" spans="1:61" s="272" customFormat="1" ht="15" customHeight="1" x14ac:dyDescent="0.2">
      <c r="A3" s="1604"/>
      <c r="B3" s="1605"/>
      <c r="C3" s="1606"/>
      <c r="D3" s="1607"/>
      <c r="E3" s="1137">
        <v>343001</v>
      </c>
      <c r="F3" s="1137">
        <v>341001</v>
      </c>
      <c r="G3" s="1137">
        <v>344001</v>
      </c>
      <c r="H3" s="1137">
        <v>348001</v>
      </c>
      <c r="I3" s="1137">
        <v>347001</v>
      </c>
      <c r="J3" s="1137">
        <v>346001</v>
      </c>
      <c r="K3" s="1137" t="s">
        <v>466</v>
      </c>
      <c r="L3" s="1137" t="s">
        <v>465</v>
      </c>
      <c r="M3" s="1137" t="s">
        <v>461</v>
      </c>
      <c r="N3" s="1137" t="s">
        <v>452</v>
      </c>
      <c r="O3" s="1137" t="s">
        <v>699</v>
      </c>
      <c r="P3" s="1137" t="s">
        <v>457</v>
      </c>
      <c r="Q3" s="1137" t="s">
        <v>463</v>
      </c>
      <c r="R3" s="1147"/>
      <c r="S3" s="1137" t="s">
        <v>453</v>
      </c>
      <c r="T3" s="1137" t="s">
        <v>456</v>
      </c>
      <c r="U3" s="1137" t="s">
        <v>458</v>
      </c>
      <c r="V3" s="1137" t="s">
        <v>459</v>
      </c>
      <c r="W3" s="1137" t="s">
        <v>460</v>
      </c>
      <c r="X3" s="1137" t="s">
        <v>462</v>
      </c>
      <c r="Y3" s="1137" t="s">
        <v>454</v>
      </c>
      <c r="Z3" s="1147"/>
      <c r="AA3" s="1137" t="s">
        <v>371</v>
      </c>
      <c r="AB3" s="1137" t="s">
        <v>505</v>
      </c>
      <c r="AC3" s="1147"/>
      <c r="AD3" s="1147"/>
      <c r="AE3" s="1147"/>
      <c r="AF3" s="1137" t="s">
        <v>546</v>
      </c>
      <c r="AG3" s="1137" t="s">
        <v>695</v>
      </c>
      <c r="AH3" s="1137" t="s">
        <v>697</v>
      </c>
      <c r="AI3" s="1137" t="s">
        <v>698</v>
      </c>
      <c r="AJ3" s="1137" t="s">
        <v>474</v>
      </c>
      <c r="AK3" s="1137" t="s">
        <v>913</v>
      </c>
      <c r="AL3" s="1137" t="s">
        <v>915</v>
      </c>
      <c r="AM3" s="1137" t="s">
        <v>1377</v>
      </c>
      <c r="AN3" s="1137" t="s">
        <v>1379</v>
      </c>
      <c r="AO3" s="1137"/>
      <c r="AP3" s="1137"/>
      <c r="AQ3" s="1137"/>
      <c r="AR3" s="1137"/>
      <c r="AS3" s="1137"/>
      <c r="AT3" s="1137" t="s">
        <v>464</v>
      </c>
      <c r="AU3" s="1137">
        <v>345001</v>
      </c>
      <c r="AV3" s="1560"/>
      <c r="AW3" s="845">
        <v>321001</v>
      </c>
      <c r="AX3" s="845">
        <v>329001</v>
      </c>
      <c r="AY3" s="845">
        <v>331001</v>
      </c>
      <c r="AZ3" s="845">
        <v>333001</v>
      </c>
      <c r="BA3" s="845">
        <v>336001</v>
      </c>
      <c r="BB3" s="845">
        <v>337001</v>
      </c>
      <c r="BC3" s="845">
        <v>340001</v>
      </c>
      <c r="BD3" s="846">
        <v>318001</v>
      </c>
      <c r="BE3" s="846">
        <v>319001</v>
      </c>
      <c r="BF3" s="847">
        <v>302006</v>
      </c>
      <c r="BG3" s="847">
        <v>334001</v>
      </c>
      <c r="BH3" s="847" t="s">
        <v>890</v>
      </c>
      <c r="BI3" s="1560"/>
    </row>
    <row r="4" spans="1:61" s="272" customFormat="1" ht="15" customHeight="1" x14ac:dyDescent="0.2">
      <c r="A4" s="1142"/>
      <c r="B4" s="1143"/>
      <c r="C4" s="1140">
        <f>'3B_Pay Raise'!O76</f>
        <v>96412813</v>
      </c>
      <c r="D4" s="1138">
        <f>'3B_Pay Raise'!O120</f>
        <v>371375</v>
      </c>
      <c r="E4" s="1139">
        <f>VLOOKUP(E$3,'3B_Pay Raise'!$A$78:$O$138,15,FALSE)</f>
        <v>57714</v>
      </c>
      <c r="F4" s="1139">
        <f>VLOOKUP(F$3,'3B_Pay Raise'!$A$78:$O$138,15,FALSE)</f>
        <v>104643</v>
      </c>
      <c r="G4" s="1139">
        <f>VLOOKUP(G$3,'3B_Pay Raise'!$A$78:$O$138,15,FALSE)</f>
        <v>70926</v>
      </c>
      <c r="H4" s="1139">
        <f>VLOOKUP(H$3,'3B_Pay Raise'!$A$78:$O$138,15,FALSE)</f>
        <v>111251</v>
      </c>
      <c r="I4" s="1139">
        <f>VLOOKUP(I$3,'3B_Pay Raise'!$A$78:$O$138,15,FALSE)</f>
        <v>152391</v>
      </c>
      <c r="J4" s="1139">
        <f>VLOOKUP(J$3,'3B_Pay Raise'!$A$78:$O$138,15,FALSE)</f>
        <v>99160</v>
      </c>
      <c r="K4" s="1139">
        <f>VLOOKUP(K$3,'3B_Pay Raise'!$A$78:$O$138,15,FALSE)</f>
        <v>32976</v>
      </c>
      <c r="L4" s="1139">
        <f>VLOOKUP(L$3,'3B_Pay Raise'!$A$78:$O$138,15,FALSE)</f>
        <v>79107</v>
      </c>
      <c r="M4" s="1139">
        <f>VLOOKUP(M$3,'3B_Pay Raise'!$A$78:$O$138,15,FALSE)</f>
        <v>72749</v>
      </c>
      <c r="N4" s="1139">
        <f>VLOOKUP(N$3,'3B_Pay Raise'!$A$78:$O$138,15,FALSE)</f>
        <v>34680</v>
      </c>
      <c r="O4" s="1139">
        <f>VLOOKUP(O$3,'3B_Pay Raise'!$A$78:$O$138,15,FALSE)</f>
        <v>95775</v>
      </c>
      <c r="P4" s="1139">
        <f>VLOOKUP(P$3,'3B_Pay Raise'!$A$78:$O$138,15,FALSE)</f>
        <v>59451</v>
      </c>
      <c r="Q4" s="1139">
        <f>VLOOKUP(Q$3,'3B_Pay Raise'!$A$78:$O$138,15,FALSE)</f>
        <v>50331</v>
      </c>
      <c r="R4" s="1139"/>
      <c r="S4" s="1139">
        <f>VLOOKUP(S$3,'3B_Pay Raise'!$A$78:$O$138,15,FALSE)</f>
        <v>67651</v>
      </c>
      <c r="T4" s="1139">
        <f>VLOOKUP(T$3,'3B_Pay Raise'!$A$78:$O$138,15,FALSE)</f>
        <v>37391</v>
      </c>
      <c r="U4" s="1139">
        <f>VLOOKUP(U$3,'3B_Pay Raise'!$A$78:$O$138,15,FALSE)</f>
        <v>60003</v>
      </c>
      <c r="V4" s="1139">
        <f>VLOOKUP(V$3,'3B_Pay Raise'!$A$78:$O$138,15,FALSE)</f>
        <v>13349</v>
      </c>
      <c r="W4" s="1139">
        <f>VLOOKUP(W$3,'3B_Pay Raise'!$A$78:$O$138,15,FALSE)</f>
        <v>90224</v>
      </c>
      <c r="X4" s="1139">
        <f>VLOOKUP(X$3,'3B_Pay Raise'!$A$78:$O$138,15,FALSE)</f>
        <v>99468</v>
      </c>
      <c r="Y4" s="1139">
        <f>VLOOKUP(Y$3,'3B_Pay Raise'!$A$78:$O$138,15,FALSE)</f>
        <v>68373</v>
      </c>
      <c r="Z4" s="1139"/>
      <c r="AA4" s="1139">
        <f>VLOOKUP(AA$3,'3B_Pay Raise'!$A$78:$O$138,15,FALSE)</f>
        <v>96187</v>
      </c>
      <c r="AB4" s="1139">
        <f>VLOOKUP(AB$3,'3B_Pay Raise'!$A$78:$O$138,15,FALSE)</f>
        <v>76042</v>
      </c>
      <c r="AC4" s="1139"/>
      <c r="AD4" s="1139"/>
      <c r="AE4" s="1139"/>
      <c r="AF4" s="1139">
        <f>VLOOKUP(AF$3,'3B_Pay Raise'!$A$78:$O$138,15,FALSE)</f>
        <v>15222</v>
      </c>
      <c r="AG4" s="1139">
        <f>VLOOKUP(AG$3,'3B_Pay Raise'!$A$78:$O$138,15,FALSE)</f>
        <v>11143</v>
      </c>
      <c r="AH4" s="1139">
        <f>VLOOKUP(AH$3,'3B_Pay Raise'!$A$78:$O$138,15,FALSE)</f>
        <v>12640</v>
      </c>
      <c r="AI4" s="1139">
        <f>VLOOKUP(AI$3,'3B_Pay Raise'!$A$78:$O$138,15,FALSE)</f>
        <v>55746</v>
      </c>
      <c r="AJ4" s="1139">
        <f>VLOOKUP(AJ$3,'3B_Pay Raise'!$A$78:$O$138,15,FALSE)</f>
        <v>30495</v>
      </c>
      <c r="AK4" s="1139">
        <f>VLOOKUP(AK$3,'3B_Pay Raise'!$A$78:$O$138,15,FALSE)</f>
        <v>21220</v>
      </c>
      <c r="AL4" s="1139">
        <f>VLOOKUP(AL$3,'3B_Pay Raise'!$A$78:$O$138,15,FALSE)</f>
        <v>113076</v>
      </c>
      <c r="AM4" s="1139">
        <f>VLOOKUP(AM$3,'3B_Pay Raise'!$A$78:$O$138,15,FALSE)</f>
        <v>14015</v>
      </c>
      <c r="AN4" s="1139">
        <f>VLOOKUP(AN$3,'3B_Pay Raise'!$A$78:$O$138,15,FALSE)</f>
        <v>17095</v>
      </c>
      <c r="AO4" s="1139"/>
      <c r="AP4" s="1139"/>
      <c r="AQ4" s="1139"/>
      <c r="AR4" s="1139"/>
      <c r="AS4" s="1139"/>
      <c r="AT4" s="1139">
        <f>VLOOKUP(AT$3,'3B_Pay Raise'!$A$78:$O$138,15,FALSE)</f>
        <v>110645</v>
      </c>
      <c r="AU4" s="1139">
        <f>VLOOKUP(AU$3,'3B_Pay Raise'!$A$78:$O$138,15,FALSE)</f>
        <v>313602</v>
      </c>
      <c r="AV4" s="1090">
        <f>SUM(C4:AU4)</f>
        <v>99128929</v>
      </c>
      <c r="AW4" s="1091">
        <f>VLOOKUP(AW$3,'3B_Pay Raise'!$A$78:$O$138,15,FALSE)</f>
        <v>26951</v>
      </c>
      <c r="AX4" s="1091">
        <f>VLOOKUP(AX$3,'3B_Pay Raise'!$A$78:$O$138,15,FALSE)</f>
        <v>50515</v>
      </c>
      <c r="AY4" s="1091">
        <f>VLOOKUP(AY$3,'3B_Pay Raise'!$A$78:$O$138,15,FALSE)</f>
        <v>213769</v>
      </c>
      <c r="AZ4" s="1091">
        <f>VLOOKUP(AZ$3,'3B_Pay Raise'!$A$78:$O$138,15,FALSE)</f>
        <v>68513</v>
      </c>
      <c r="BA4" s="1091">
        <f>VLOOKUP(BA$3,'3B_Pay Raise'!$A$78:$O$138,15,FALSE)</f>
        <v>104242</v>
      </c>
      <c r="BB4" s="1091">
        <f>VLOOKUP(BB$3,'3B_Pay Raise'!$A$78:$O$138,15,FALSE)</f>
        <v>170578</v>
      </c>
      <c r="BC4" s="1091">
        <f>VLOOKUP(BC$3,'3B_Pay Raise'!$A$78:$O$138,15,FALSE)</f>
        <v>23332</v>
      </c>
      <c r="BD4" s="1092">
        <f>VLOOKUP(BD$3,'3B_Pay Raise'!$A$78:$O$138,15,FALSE)</f>
        <v>144252</v>
      </c>
      <c r="BE4" s="1092">
        <f>VLOOKUP(BE$3,'3B_Pay Raise'!$A$78:$O$138,15,FALSE)</f>
        <v>36633</v>
      </c>
      <c r="BF4" s="1093">
        <f>VLOOKUP(BF$3,'3B_Pay Raise'!$A$78:$O$138,15,FALSE)</f>
        <v>68429</v>
      </c>
      <c r="BG4" s="1093">
        <f>VLOOKUP(BG$3,'3B_Pay Raise'!$A$78:$O$138,15,FALSE)</f>
        <v>90521</v>
      </c>
      <c r="BH4" s="1093">
        <f>VLOOKUP(BH$3,'3B_Pay Raise'!$A$78:$O$138,15,FALSE)</f>
        <v>38012</v>
      </c>
      <c r="BI4" s="1090">
        <f>SUM(AV4:BH4)</f>
        <v>100164676</v>
      </c>
    </row>
    <row r="5" spans="1:61" s="272" customFormat="1" ht="13.9" customHeight="1" x14ac:dyDescent="0.2">
      <c r="A5" s="1141"/>
      <c r="B5" s="1141"/>
      <c r="C5" s="491">
        <f>B5+1</f>
        <v>1</v>
      </c>
      <c r="D5" s="491">
        <f t="shared" ref="D5:BI5" si="0">C5+1</f>
        <v>2</v>
      </c>
      <c r="E5" s="491">
        <f t="shared" si="0"/>
        <v>3</v>
      </c>
      <c r="F5" s="491">
        <f t="shared" si="0"/>
        <v>4</v>
      </c>
      <c r="G5" s="491">
        <f t="shared" si="0"/>
        <v>5</v>
      </c>
      <c r="H5" s="491">
        <f t="shared" si="0"/>
        <v>6</v>
      </c>
      <c r="I5" s="491">
        <f t="shared" si="0"/>
        <v>7</v>
      </c>
      <c r="J5" s="491">
        <f t="shared" si="0"/>
        <v>8</v>
      </c>
      <c r="K5" s="491">
        <f t="shared" si="0"/>
        <v>9</v>
      </c>
      <c r="L5" s="491">
        <f t="shared" si="0"/>
        <v>10</v>
      </c>
      <c r="M5" s="491">
        <f t="shared" si="0"/>
        <v>11</v>
      </c>
      <c r="N5" s="491">
        <f t="shared" si="0"/>
        <v>12</v>
      </c>
      <c r="O5" s="491">
        <f t="shared" si="0"/>
        <v>13</v>
      </c>
      <c r="P5" s="491">
        <f t="shared" si="0"/>
        <v>14</v>
      </c>
      <c r="Q5" s="491">
        <f t="shared" si="0"/>
        <v>15</v>
      </c>
      <c r="R5" s="491">
        <v>15</v>
      </c>
      <c r="S5" s="491">
        <f>R5+1</f>
        <v>16</v>
      </c>
      <c r="T5" s="491">
        <f t="shared" si="0"/>
        <v>17</v>
      </c>
      <c r="U5" s="491">
        <f t="shared" si="0"/>
        <v>18</v>
      </c>
      <c r="V5" s="491">
        <f t="shared" si="0"/>
        <v>19</v>
      </c>
      <c r="W5" s="491">
        <f t="shared" si="0"/>
        <v>20</v>
      </c>
      <c r="X5" s="491">
        <f t="shared" si="0"/>
        <v>21</v>
      </c>
      <c r="Y5" s="491">
        <f t="shared" si="0"/>
        <v>22</v>
      </c>
      <c r="Z5" s="491">
        <v>22</v>
      </c>
      <c r="AA5" s="491">
        <f>Z5+1</f>
        <v>23</v>
      </c>
      <c r="AB5" s="491">
        <f t="shared" si="0"/>
        <v>24</v>
      </c>
      <c r="AC5" s="491"/>
      <c r="AD5" s="491"/>
      <c r="AE5" s="491">
        <v>24</v>
      </c>
      <c r="AF5" s="491">
        <f>AE5+1</f>
        <v>25</v>
      </c>
      <c r="AG5" s="491">
        <f t="shared" si="0"/>
        <v>26</v>
      </c>
      <c r="AH5" s="491">
        <f t="shared" si="0"/>
        <v>27</v>
      </c>
      <c r="AI5" s="491">
        <f t="shared" si="0"/>
        <v>28</v>
      </c>
      <c r="AJ5" s="491">
        <f t="shared" si="0"/>
        <v>29</v>
      </c>
      <c r="AK5" s="491">
        <f t="shared" si="0"/>
        <v>30</v>
      </c>
      <c r="AL5" s="491">
        <f t="shared" si="0"/>
        <v>31</v>
      </c>
      <c r="AM5" s="491">
        <f>AL5+1</f>
        <v>32</v>
      </c>
      <c r="AN5" s="491">
        <f>AM5+1</f>
        <v>33</v>
      </c>
      <c r="AO5" s="491"/>
      <c r="AP5" s="491"/>
      <c r="AQ5" s="491"/>
      <c r="AR5" s="491"/>
      <c r="AS5" s="491">
        <f>AN5</f>
        <v>33</v>
      </c>
      <c r="AT5" s="491">
        <f t="shared" si="0"/>
        <v>34</v>
      </c>
      <c r="AU5" s="491">
        <f t="shared" si="0"/>
        <v>35</v>
      </c>
      <c r="AV5" s="491">
        <f t="shared" si="0"/>
        <v>36</v>
      </c>
      <c r="AW5" s="491">
        <f t="shared" si="0"/>
        <v>37</v>
      </c>
      <c r="AX5" s="491">
        <f t="shared" si="0"/>
        <v>38</v>
      </c>
      <c r="AY5" s="491">
        <f t="shared" si="0"/>
        <v>39</v>
      </c>
      <c r="AZ5" s="491">
        <f t="shared" si="0"/>
        <v>40</v>
      </c>
      <c r="BA5" s="491">
        <f t="shared" si="0"/>
        <v>41</v>
      </c>
      <c r="BB5" s="491">
        <f t="shared" si="0"/>
        <v>42</v>
      </c>
      <c r="BC5" s="491">
        <f t="shared" si="0"/>
        <v>43</v>
      </c>
      <c r="BD5" s="491">
        <f t="shared" si="0"/>
        <v>44</v>
      </c>
      <c r="BE5" s="491">
        <f t="shared" si="0"/>
        <v>45</v>
      </c>
      <c r="BF5" s="491">
        <f t="shared" si="0"/>
        <v>46</v>
      </c>
      <c r="BG5" s="491">
        <f t="shared" si="0"/>
        <v>47</v>
      </c>
      <c r="BH5" s="491">
        <f t="shared" si="0"/>
        <v>48</v>
      </c>
      <c r="BI5" s="491">
        <f t="shared" si="0"/>
        <v>49</v>
      </c>
    </row>
    <row r="6" spans="1:61" s="272" customFormat="1" ht="51" hidden="1" x14ac:dyDescent="0.2">
      <c r="A6" s="547"/>
      <c r="B6" s="547"/>
      <c r="C6" s="546" t="s">
        <v>694</v>
      </c>
      <c r="D6" s="546" t="s">
        <v>694</v>
      </c>
      <c r="E6" s="546" t="s">
        <v>694</v>
      </c>
      <c r="F6" s="546" t="s">
        <v>694</v>
      </c>
      <c r="G6" s="546" t="s">
        <v>694</v>
      </c>
      <c r="H6" s="546" t="s">
        <v>694</v>
      </c>
      <c r="I6" s="546" t="s">
        <v>694</v>
      </c>
      <c r="J6" s="546" t="s">
        <v>694</v>
      </c>
      <c r="K6" s="546" t="s">
        <v>694</v>
      </c>
      <c r="L6" s="546" t="s">
        <v>694</v>
      </c>
      <c r="M6" s="546" t="s">
        <v>694</v>
      </c>
      <c r="N6" s="546" t="s">
        <v>694</v>
      </c>
      <c r="O6" s="546" t="s">
        <v>694</v>
      </c>
      <c r="P6" s="546" t="s">
        <v>694</v>
      </c>
      <c r="Q6" s="546" t="s">
        <v>694</v>
      </c>
      <c r="R6" s="546" t="s">
        <v>694</v>
      </c>
      <c r="S6" s="546" t="s">
        <v>694</v>
      </c>
      <c r="T6" s="546" t="s">
        <v>694</v>
      </c>
      <c r="U6" s="546" t="s">
        <v>694</v>
      </c>
      <c r="V6" s="546" t="s">
        <v>694</v>
      </c>
      <c r="W6" s="546" t="s">
        <v>694</v>
      </c>
      <c r="X6" s="546" t="s">
        <v>694</v>
      </c>
      <c r="Y6" s="546" t="s">
        <v>694</v>
      </c>
      <c r="Z6" s="546" t="s">
        <v>694</v>
      </c>
      <c r="AA6" s="546" t="s">
        <v>694</v>
      </c>
      <c r="AB6" s="546" t="s">
        <v>694</v>
      </c>
      <c r="AC6" s="546" t="s">
        <v>694</v>
      </c>
      <c r="AD6" s="546" t="s">
        <v>694</v>
      </c>
      <c r="AE6" s="546" t="s">
        <v>694</v>
      </c>
      <c r="AF6" s="546" t="s">
        <v>694</v>
      </c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6"/>
      <c r="AT6" s="546" t="s">
        <v>694</v>
      </c>
      <c r="AU6" s="546" t="s">
        <v>694</v>
      </c>
      <c r="AV6" s="546" t="s">
        <v>604</v>
      </c>
      <c r="AW6" s="546" t="s">
        <v>694</v>
      </c>
      <c r="AX6" s="546" t="s">
        <v>694</v>
      </c>
      <c r="AY6" s="546" t="s">
        <v>694</v>
      </c>
      <c r="AZ6" s="546" t="s">
        <v>694</v>
      </c>
      <c r="BA6" s="546" t="s">
        <v>694</v>
      </c>
      <c r="BB6" s="546" t="s">
        <v>694</v>
      </c>
      <c r="BC6" s="546" t="s">
        <v>694</v>
      </c>
      <c r="BD6" s="546" t="s">
        <v>694</v>
      </c>
      <c r="BE6" s="546" t="s">
        <v>694</v>
      </c>
      <c r="BF6" s="546" t="s">
        <v>694</v>
      </c>
      <c r="BG6" s="546" t="s">
        <v>694</v>
      </c>
      <c r="BH6" s="605"/>
      <c r="BI6" s="491" t="s">
        <v>604</v>
      </c>
    </row>
    <row r="7" spans="1:61" s="270" customFormat="1" ht="16.149999999999999" customHeight="1" x14ac:dyDescent="0.2">
      <c r="A7" s="273" t="s">
        <v>84</v>
      </c>
      <c r="B7" s="264" t="s">
        <v>137</v>
      </c>
      <c r="C7" s="1079">
        <f>'3B_Pay Raise'!O7</f>
        <v>1233217</v>
      </c>
      <c r="D7" s="1079"/>
      <c r="E7" s="1079">
        <f>IFERROR([16]Base!E7/[16]Base!E$76*E$4,0)</f>
        <v>0</v>
      </c>
      <c r="F7" s="1079">
        <f>IFERROR([16]Base!F7/[16]Base!F$76*F$4,0)</f>
        <v>0</v>
      </c>
      <c r="G7" s="1079">
        <f>IFERROR([16]Base!G7/[16]Base!G$76*G$4,0)</f>
        <v>0</v>
      </c>
      <c r="H7" s="1079">
        <f>IFERROR([16]Base!H7/[16]Base!H$76*H$4,0)</f>
        <v>0</v>
      </c>
      <c r="I7" s="1079">
        <f>IFERROR([16]Base!I7/[16]Base!I$76*I$4,0)</f>
        <v>0</v>
      </c>
      <c r="J7" s="1079">
        <f>IFERROR([16]Base!J7/[16]Base!J$76*J$4,0)</f>
        <v>0</v>
      </c>
      <c r="K7" s="1079">
        <f>IFERROR([16]Base!K7/[16]Base!K$76*K$4,0)</f>
        <v>0</v>
      </c>
      <c r="L7" s="1079">
        <f>IFERROR([16]Base!L7/[16]Base!L$76*L$4,0)</f>
        <v>0</v>
      </c>
      <c r="M7" s="1079">
        <f>IFERROR([16]Base!M7/[16]Base!M$76*M$4,0)</f>
        <v>0</v>
      </c>
      <c r="N7" s="1079">
        <f>IFERROR([16]Base!N7/[16]Base!N$76*N$4,0)</f>
        <v>0</v>
      </c>
      <c r="O7" s="1079">
        <f>IFERROR([16]Base!O7/[16]Base!O$76*O$4,0)</f>
        <v>0</v>
      </c>
      <c r="P7" s="1079">
        <f>IFERROR([16]Base!P7/[16]Base!P$76*P$4,0)</f>
        <v>0</v>
      </c>
      <c r="Q7" s="1079">
        <f>IFERROR([16]Base!Q7/[16]Base!Q$76*Q$4,0)</f>
        <v>0</v>
      </c>
      <c r="R7" s="1079"/>
      <c r="S7" s="1079">
        <f>IFERROR([16]Base!S7/[16]Base!S$76*S$4,0)</f>
        <v>0</v>
      </c>
      <c r="T7" s="1079">
        <f>IFERROR([16]Base!T7/[16]Base!T$76*T$4,0)</f>
        <v>0</v>
      </c>
      <c r="U7" s="1079">
        <f>IFERROR([16]Base!U7/[16]Base!U$76*U$4,0)</f>
        <v>0</v>
      </c>
      <c r="V7" s="1079">
        <f>IFERROR([16]Base!V7/[16]Base!V$76*V$4,0)</f>
        <v>0</v>
      </c>
      <c r="W7" s="1079">
        <f>IFERROR([16]Base!W7/[16]Base!W$76*W$4,0)</f>
        <v>100.69642857142857</v>
      </c>
      <c r="X7" s="1079">
        <f>IFERROR([16]Base!X7/[16]Base!X$76*X$4,0)</f>
        <v>1422.4228804902964</v>
      </c>
      <c r="Y7" s="1079">
        <f>IFERROR([16]Base!Y7/[16]Base!Y$76*Y$4,0)</f>
        <v>670.32352941176475</v>
      </c>
      <c r="Z7" s="1079"/>
      <c r="AA7" s="1079">
        <f>IFERROR([16]Base!AA7/[16]Base!AA$76*AA$4,0)</f>
        <v>0</v>
      </c>
      <c r="AB7" s="1080">
        <f>IFERROR([16]Base!AB7/[16]Base!AB$76*AB$4,0)</f>
        <v>0</v>
      </c>
      <c r="AC7" s="1080"/>
      <c r="AD7" s="1080"/>
      <c r="AE7" s="1080"/>
      <c r="AF7" s="1080">
        <f>IFERROR([16]Base!AF7/[16]Base!AF$76*AF$4,0)</f>
        <v>0</v>
      </c>
      <c r="AG7" s="1080">
        <f>IFERROR([16]Base!AG7/[16]Base!AG$76*AG$4,0)</f>
        <v>0</v>
      </c>
      <c r="AH7" s="1080">
        <f>IFERROR([16]Base!AH7/[16]Base!AH$76*AH$4,0)</f>
        <v>185.88235294117646</v>
      </c>
      <c r="AI7" s="1080">
        <f>IFERROR([16]Base!AI7/[16]Base!AI$76*AI$4,0)</f>
        <v>0</v>
      </c>
      <c r="AJ7" s="1080">
        <f>IFERROR([16]Base!AJ7/[16]Base!AJ$76*AJ$4,0)</f>
        <v>0</v>
      </c>
      <c r="AK7" s="1080">
        <f>IFERROR([16]Base!AK7/[16]Base!AK$76*AK$4,0)</f>
        <v>0</v>
      </c>
      <c r="AL7" s="1080">
        <f>IFERROR([16]Base!AL7/[16]Base!AL$76*AL$4,0)</f>
        <v>0</v>
      </c>
      <c r="AM7" s="1080">
        <f>IFERROR([16]Base!AM7/[16]Base!AM$76*AM$4,0)</f>
        <v>0</v>
      </c>
      <c r="AN7" s="1080">
        <f>IFERROR([16]Base!AN7/[16]Base!AN$76*AN$4,0)</f>
        <v>0</v>
      </c>
      <c r="AO7" s="1080">
        <f>IFERROR('8_2.1.19 SIS'!AO7/'8_2.1.19 SIS'!AO$76*AO$4,0)</f>
        <v>0</v>
      </c>
      <c r="AP7" s="1080">
        <f>IFERROR('8_2.1.19 SIS'!AP7/'8_2.1.19 SIS'!AP$76*AP$4,0)</f>
        <v>0</v>
      </c>
      <c r="AQ7" s="1080">
        <f>IFERROR('8_2.1.19 SIS'!AQ7/'8_2.1.19 SIS'!AQ$76*AQ$4,0)</f>
        <v>0</v>
      </c>
      <c r="AR7" s="1080">
        <f>IFERROR('8_2.1.19 SIS'!AR7/'8_2.1.19 SIS'!AR$76*AR$4,0)</f>
        <v>0</v>
      </c>
      <c r="AS7" s="1080">
        <f>IFERROR('8_2.1.19 SIS'!AS7/'8_2.1.19 SIS'!AS$76*AS$4,0)</f>
        <v>0</v>
      </c>
      <c r="AT7" s="1079">
        <f>IFERROR([16]Base!AT7/[16]Base!AT$76*AT$4,0)</f>
        <v>1152.5520833333333</v>
      </c>
      <c r="AU7" s="1079">
        <f>IFERROR([16]Base!AU7/[16]Base!AU$76*AU$4,0)</f>
        <v>3931.0811657787526</v>
      </c>
      <c r="AV7" s="1081">
        <f t="shared" ref="AV7:AV38" si="1">SUM(C7:AU7)</f>
        <v>1240679.9584405266</v>
      </c>
      <c r="AW7" s="1079">
        <f>IFERROR([16]Base!AW7/[16]Base!AW$76*AW$4,0)</f>
        <v>0</v>
      </c>
      <c r="AX7" s="1079">
        <f>IFERROR([16]Base!AX7/[16]Base!AX$76*AX$4,0)</f>
        <v>0</v>
      </c>
      <c r="AY7" s="1079">
        <f>IFERROR([16]Base!AY7/[16]Base!AY$76*AY$4,0)</f>
        <v>0</v>
      </c>
      <c r="AZ7" s="1079">
        <f>IFERROR([16]Base!AZ7/[16]Base!AZ$76*AZ$4,0)</f>
        <v>0</v>
      </c>
      <c r="BA7" s="1079">
        <f>IFERROR([16]Base!BA7/[16]Base!BA$76*BA$4,0)</f>
        <v>0</v>
      </c>
      <c r="BB7" s="1079">
        <f>IFERROR([16]Base!BB7/[16]Base!BB$76*BB$4,0)</f>
        <v>0</v>
      </c>
      <c r="BC7" s="1079">
        <f>IFERROR([16]Base!BC7/[16]Base!BC$76*BC$4,0)</f>
        <v>0</v>
      </c>
      <c r="BD7" s="1079">
        <f>IFERROR([16]Base!BD7/[16]Base!BD$76*BD$4,0)</f>
        <v>0</v>
      </c>
      <c r="BE7" s="1079">
        <f>IFERROR([16]Base!BE7/[16]Base!BE$76*BE$4,0)</f>
        <v>0</v>
      </c>
      <c r="BF7" s="1079">
        <f>IFERROR([16]Base!BF7/[16]Base!BF$76*BF$4,0)</f>
        <v>1529.1396648044692</v>
      </c>
      <c r="BG7" s="1079">
        <f>IFERROR([16]Base!BG7/[16]Base!BG$76*BG$4,0)</f>
        <v>0</v>
      </c>
      <c r="BH7" s="1082">
        <f>IFERROR([16]Base!BH7/[16]Base!BH$76*BH$4,0)</f>
        <v>0</v>
      </c>
      <c r="BI7" s="1079">
        <f t="shared" ref="BI7:BI70" si="2">SUM(AV7:BH7)</f>
        <v>1242209.0981053312</v>
      </c>
    </row>
    <row r="8" spans="1:61" s="270" customFormat="1" ht="16.149999999999999" customHeight="1" x14ac:dyDescent="0.2">
      <c r="A8" s="275" t="s">
        <v>138</v>
      </c>
      <c r="B8" s="260" t="s">
        <v>139</v>
      </c>
      <c r="C8" s="1083">
        <f>'3B_Pay Raise'!O8</f>
        <v>637588</v>
      </c>
      <c r="D8" s="1083"/>
      <c r="E8" s="1083">
        <f>IFERROR([16]Base!E8/[16]Base!E$76*E$4,0)</f>
        <v>0</v>
      </c>
      <c r="F8" s="1083">
        <f>IFERROR([16]Base!F8/[16]Base!F$76*F$4,0)</f>
        <v>0</v>
      </c>
      <c r="G8" s="1083">
        <f>IFERROR([16]Base!G8/[16]Base!G$76*G$4,0)</f>
        <v>0</v>
      </c>
      <c r="H8" s="1083">
        <f>IFERROR([16]Base!H8/[16]Base!H$76*H$4,0)</f>
        <v>0</v>
      </c>
      <c r="I8" s="1083">
        <f>IFERROR([16]Base!I8/[16]Base!I$76*I$4,0)</f>
        <v>0</v>
      </c>
      <c r="J8" s="1083">
        <f>IFERROR([16]Base!J8/[16]Base!J$76*J$4,0)</f>
        <v>105.37725823591923</v>
      </c>
      <c r="K8" s="1083">
        <f>IFERROR([16]Base!K8/[16]Base!K$76*K$4,0)</f>
        <v>0</v>
      </c>
      <c r="L8" s="1083">
        <f>IFERROR([16]Base!L8/[16]Base!L$76*L$4,0)</f>
        <v>0</v>
      </c>
      <c r="M8" s="1083">
        <f>IFERROR([16]Base!M8/[16]Base!M$76*M$4,0)</f>
        <v>0</v>
      </c>
      <c r="N8" s="1083">
        <f>IFERROR([16]Base!N8/[16]Base!N$76*N$4,0)</f>
        <v>0</v>
      </c>
      <c r="O8" s="1083">
        <f>IFERROR([16]Base!O8/[16]Base!O$76*O$4,0)</f>
        <v>0</v>
      </c>
      <c r="P8" s="1083">
        <f>IFERROR([16]Base!P8/[16]Base!P$76*P$4,0)</f>
        <v>0</v>
      </c>
      <c r="Q8" s="1083">
        <f>IFERROR([16]Base!Q8/[16]Base!Q$76*Q$4,0)</f>
        <v>0</v>
      </c>
      <c r="R8" s="1083"/>
      <c r="S8" s="1083">
        <f>IFERROR([16]Base!S8/[16]Base!S$76*S$4,0)</f>
        <v>0</v>
      </c>
      <c r="T8" s="1083">
        <f>IFERROR([16]Base!T8/[16]Base!T$76*T$4,0)</f>
        <v>0</v>
      </c>
      <c r="U8" s="1083">
        <f>IFERROR([16]Base!U8/[16]Base!U$76*U$4,0)</f>
        <v>119.05357142857142</v>
      </c>
      <c r="V8" s="1083">
        <f>IFERROR([16]Base!V8/[16]Base!V$76*V$4,0)</f>
        <v>0</v>
      </c>
      <c r="W8" s="1083">
        <f>IFERROR([16]Base!W8/[16]Base!W$76*W$4,0)</f>
        <v>0</v>
      </c>
      <c r="X8" s="1083">
        <f>IFERROR([16]Base!X8/[16]Base!X$76*X$4,0)</f>
        <v>0</v>
      </c>
      <c r="Y8" s="1083">
        <f>IFERROR([16]Base!Y8/[16]Base!Y$76*Y$4,0)</f>
        <v>0</v>
      </c>
      <c r="Z8" s="1083"/>
      <c r="AA8" s="1083">
        <f>IFERROR([16]Base!AA8/[16]Base!AA$76*AA$4,0)</f>
        <v>0</v>
      </c>
      <c r="AB8" s="1083">
        <f>IFERROR([16]Base!AB8/[16]Base!AB$76*AB$4,0)</f>
        <v>0</v>
      </c>
      <c r="AC8" s="1083"/>
      <c r="AD8" s="1083"/>
      <c r="AE8" s="1083"/>
      <c r="AF8" s="1083">
        <f>IFERROR([16]Base!AF8/[16]Base!AF$76*AF$4,0)</f>
        <v>0</v>
      </c>
      <c r="AG8" s="1083">
        <f>IFERROR([16]Base!AG8/[16]Base!AG$76*AG$4,0)</f>
        <v>0</v>
      </c>
      <c r="AH8" s="1083">
        <f>IFERROR([16]Base!AH8/[16]Base!AH$76*AH$4,0)</f>
        <v>0</v>
      </c>
      <c r="AI8" s="1083">
        <f>IFERROR([16]Base!AI8/[16]Base!AI$76*AI$4,0)</f>
        <v>0</v>
      </c>
      <c r="AJ8" s="1083">
        <f>IFERROR([16]Base!AJ8/[16]Base!AJ$76*AJ$4,0)</f>
        <v>0</v>
      </c>
      <c r="AK8" s="1083">
        <f>IFERROR([16]Base!AK8/[16]Base!AK$76*AK$4,0)</f>
        <v>0</v>
      </c>
      <c r="AL8" s="1083">
        <f>IFERROR([16]Base!AL8/[16]Base!AL$76*AL$4,0)</f>
        <v>0</v>
      </c>
      <c r="AM8" s="1083">
        <f>IFERROR([16]Base!AM8/[16]Base!AM$76*AM$4,0)</f>
        <v>0</v>
      </c>
      <c r="AN8" s="1083">
        <f>IFERROR([16]Base!AN8/[16]Base!AN$76*AN$4,0)</f>
        <v>0</v>
      </c>
      <c r="AO8" s="1083">
        <f>IFERROR('8_2.1.19 SIS'!AO8/'8_2.1.19 SIS'!AO$76*AO$4,0)</f>
        <v>0</v>
      </c>
      <c r="AP8" s="1083">
        <f>IFERROR('8_2.1.19 SIS'!AP8/'8_2.1.19 SIS'!AP$76*AP$4,0)</f>
        <v>0</v>
      </c>
      <c r="AQ8" s="1083">
        <f>IFERROR('8_2.1.19 SIS'!AQ8/'8_2.1.19 SIS'!AQ$76*AQ$4,0)</f>
        <v>0</v>
      </c>
      <c r="AR8" s="1083">
        <f>IFERROR('8_2.1.19 SIS'!AR8/'8_2.1.19 SIS'!AR$76*AR$4,0)</f>
        <v>0</v>
      </c>
      <c r="AS8" s="1083">
        <f>IFERROR('8_2.1.19 SIS'!AS8/'8_2.1.19 SIS'!AS$76*AS$4,0)</f>
        <v>0</v>
      </c>
      <c r="AT8" s="1083">
        <f>IFERROR([16]Base!AT8/[16]Base!AT$76*AT$4,0)</f>
        <v>633.90364583333326</v>
      </c>
      <c r="AU8" s="1083">
        <f>IFERROR([16]Base!AU8/[16]Base!AU$76*AU$4,0)</f>
        <v>1670.7094954559698</v>
      </c>
      <c r="AV8" s="1084">
        <f t="shared" si="1"/>
        <v>640117.04397095379</v>
      </c>
      <c r="AW8" s="1083">
        <f>IFERROR([16]Base!AW8/[16]Base!AW$76*AW$4,0)</f>
        <v>0</v>
      </c>
      <c r="AX8" s="1083">
        <f>IFERROR([16]Base!AX8/[16]Base!AX$76*AX$4,0)</f>
        <v>0</v>
      </c>
      <c r="AY8" s="1083">
        <f>IFERROR([16]Base!AY8/[16]Base!AY$76*AY$4,0)</f>
        <v>0</v>
      </c>
      <c r="AZ8" s="1083">
        <f>IFERROR([16]Base!AZ8/[16]Base!AZ$76*AZ$4,0)</f>
        <v>0</v>
      </c>
      <c r="BA8" s="1083">
        <f>IFERROR([16]Base!BA8/[16]Base!BA$76*BA$4,0)</f>
        <v>0</v>
      </c>
      <c r="BB8" s="1083">
        <f>IFERROR([16]Base!BB8/[16]Base!BB$76*BB$4,0)</f>
        <v>0</v>
      </c>
      <c r="BC8" s="1083">
        <f>IFERROR([16]Base!BC8/[16]Base!BC$76*BC$4,0)</f>
        <v>0</v>
      </c>
      <c r="BD8" s="1083">
        <f>IFERROR([16]Base!BD8/[16]Base!BD$76*BD$4,0)</f>
        <v>0</v>
      </c>
      <c r="BE8" s="1083">
        <f>IFERROR([16]Base!BE8/[16]Base!BE$76*BE$4,0)</f>
        <v>0</v>
      </c>
      <c r="BF8" s="1083">
        <f>IFERROR([16]Base!BF8/[16]Base!BF$76*BF$4,0)</f>
        <v>382.28491620111731</v>
      </c>
      <c r="BG8" s="1083">
        <f>IFERROR([16]Base!BG8/[16]Base!BG$76*BG$4,0)</f>
        <v>0</v>
      </c>
      <c r="BH8" s="1083">
        <f>IFERROR([16]Base!BH8/[16]Base!BH$76*BH$4,0)</f>
        <v>0</v>
      </c>
      <c r="BI8" s="1083">
        <f t="shared" si="2"/>
        <v>640499.32888715493</v>
      </c>
    </row>
    <row r="9" spans="1:61" s="270" customFormat="1" ht="16.149999999999999" customHeight="1" x14ac:dyDescent="0.2">
      <c r="A9" s="275" t="s">
        <v>85</v>
      </c>
      <c r="B9" s="260" t="s">
        <v>140</v>
      </c>
      <c r="C9" s="1083">
        <f>'3B_Pay Raise'!O9</f>
        <v>3039160</v>
      </c>
      <c r="D9" s="1083"/>
      <c r="E9" s="1083">
        <f>IFERROR([16]Base!E9/[16]Base!E$76*E$4,0)</f>
        <v>202.50526315789475</v>
      </c>
      <c r="F9" s="1083">
        <f>IFERROR([16]Base!F9/[16]Base!F$76*F$4,0)</f>
        <v>0</v>
      </c>
      <c r="G9" s="1083">
        <f>IFERROR([16]Base!G9/[16]Base!G$76*G$4,0)</f>
        <v>0</v>
      </c>
      <c r="H9" s="1083">
        <f>IFERROR([16]Base!H9/[16]Base!H$76*H$4,0)</f>
        <v>0</v>
      </c>
      <c r="I9" s="1083">
        <f>IFERROR([16]Base!I9/[16]Base!I$76*I$4,0)</f>
        <v>0</v>
      </c>
      <c r="J9" s="1083">
        <f>IFERROR([16]Base!J9/[16]Base!J$76*J$4,0)</f>
        <v>0</v>
      </c>
      <c r="K9" s="1083">
        <f>IFERROR([16]Base!K9/[16]Base!K$76*K$4,0)</f>
        <v>0</v>
      </c>
      <c r="L9" s="1083">
        <f>IFERROR([16]Base!L9/[16]Base!L$76*L$4,0)</f>
        <v>0</v>
      </c>
      <c r="M9" s="1083">
        <f>IFERROR([16]Base!M9/[16]Base!M$76*M$4,0)</f>
        <v>3063.1157894736843</v>
      </c>
      <c r="N9" s="1083">
        <f>IFERROR([16]Base!N9/[16]Base!N$76*N$4,0)</f>
        <v>0</v>
      </c>
      <c r="O9" s="1083">
        <f>IFERROR([16]Base!O9/[16]Base!O$76*O$4,0)</f>
        <v>401.85314685314682</v>
      </c>
      <c r="P9" s="1083">
        <f>IFERROR([16]Base!P9/[16]Base!P$76*P$4,0)</f>
        <v>0</v>
      </c>
      <c r="Q9" s="1083">
        <f>IFERROR([16]Base!Q9/[16]Base!Q$76*Q$4,0)</f>
        <v>0</v>
      </c>
      <c r="R9" s="1083"/>
      <c r="S9" s="1083">
        <f>IFERROR([16]Base!S9/[16]Base!S$76*S$4,0)</f>
        <v>0</v>
      </c>
      <c r="T9" s="1083">
        <f>IFERROR([16]Base!T9/[16]Base!T$76*T$4,0)</f>
        <v>1430.7780612244899</v>
      </c>
      <c r="U9" s="1083">
        <f>IFERROR([16]Base!U9/[16]Base!U$76*U$4,0)</f>
        <v>0</v>
      </c>
      <c r="V9" s="1083">
        <f>IFERROR([16]Base!V9/[16]Base!V$76*V$4,0)</f>
        <v>0</v>
      </c>
      <c r="W9" s="1083">
        <f>IFERROR([16]Base!W9/[16]Base!W$76*W$4,0)</f>
        <v>0</v>
      </c>
      <c r="X9" s="1083">
        <f>IFERROR([16]Base!X9/[16]Base!X$76*X$4,0)</f>
        <v>0</v>
      </c>
      <c r="Y9" s="1083">
        <f>IFERROR([16]Base!Y9/[16]Base!Y$76*Y$4,0)</f>
        <v>0</v>
      </c>
      <c r="Z9" s="1083"/>
      <c r="AA9" s="1083">
        <f>IFERROR([16]Base!AA9/[16]Base!AA$76*AA$4,0)</f>
        <v>0</v>
      </c>
      <c r="AB9" s="1083">
        <f>IFERROR([16]Base!AB9/[16]Base!AB$76*AB$4,0)</f>
        <v>0</v>
      </c>
      <c r="AC9" s="1083"/>
      <c r="AD9" s="1083"/>
      <c r="AE9" s="1083"/>
      <c r="AF9" s="1083">
        <f>IFERROR([16]Base!AF9/[16]Base!AF$76*AF$4,0)</f>
        <v>400.57894736842104</v>
      </c>
      <c r="AG9" s="1083">
        <f>IFERROR([16]Base!AG9/[16]Base!AG$76*AG$4,0)</f>
        <v>0</v>
      </c>
      <c r="AH9" s="1083">
        <f>IFERROR([16]Base!AH9/[16]Base!AH$76*AH$4,0)</f>
        <v>0</v>
      </c>
      <c r="AI9" s="1083">
        <f>IFERROR([16]Base!AI9/[16]Base!AI$76*AI$4,0)</f>
        <v>0</v>
      </c>
      <c r="AJ9" s="1083">
        <f>IFERROR([16]Base!AJ9/[16]Base!AJ$76*AJ$4,0)</f>
        <v>0</v>
      </c>
      <c r="AK9" s="1083">
        <f>IFERROR([16]Base!AK9/[16]Base!AK$76*AK$4,0)</f>
        <v>0</v>
      </c>
      <c r="AL9" s="1083">
        <f>IFERROR([16]Base!AL9/[16]Base!AL$76*AL$4,0)</f>
        <v>0</v>
      </c>
      <c r="AM9" s="1083">
        <f>IFERROR([16]Base!AM9/[16]Base!AM$76*AM$4,0)</f>
        <v>0</v>
      </c>
      <c r="AN9" s="1083">
        <f>IFERROR([16]Base!AN9/[16]Base!AN$76*AN$4,0)</f>
        <v>0</v>
      </c>
      <c r="AO9" s="1083">
        <f>IFERROR('8_2.1.19 SIS'!AO9/'8_2.1.19 SIS'!AO$76*AO$4,0)</f>
        <v>0</v>
      </c>
      <c r="AP9" s="1083">
        <f>IFERROR('8_2.1.19 SIS'!AP9/'8_2.1.19 SIS'!AP$76*AP$4,0)</f>
        <v>0</v>
      </c>
      <c r="AQ9" s="1083">
        <f>IFERROR('8_2.1.19 SIS'!AQ9/'8_2.1.19 SIS'!AQ$76*AQ$4,0)</f>
        <v>0</v>
      </c>
      <c r="AR9" s="1083">
        <f>IFERROR('8_2.1.19 SIS'!AR9/'8_2.1.19 SIS'!AR$76*AR$4,0)</f>
        <v>0</v>
      </c>
      <c r="AS9" s="1083">
        <f>IFERROR('8_2.1.19 SIS'!AS9/'8_2.1.19 SIS'!AS$76*AS$4,0)</f>
        <v>0</v>
      </c>
      <c r="AT9" s="1083">
        <f>IFERROR([16]Base!AT9/[16]Base!AT$76*AT$4,0)</f>
        <v>2016.9661458333335</v>
      </c>
      <c r="AU9" s="1083">
        <f>IFERROR([16]Base!AU9/[16]Base!AU$76*AU$4,0)</f>
        <v>8746.6555938577239</v>
      </c>
      <c r="AV9" s="1084">
        <f t="shared" si="1"/>
        <v>3055422.4529477688</v>
      </c>
      <c r="AW9" s="1083">
        <f>IFERROR([16]Base!AW9/[16]Base!AW$76*AW$4,0)</f>
        <v>0</v>
      </c>
      <c r="AX9" s="1083">
        <f>IFERROR([16]Base!AX9/[16]Base!AX$76*AX$4,0)</f>
        <v>0</v>
      </c>
      <c r="AY9" s="1083">
        <f>IFERROR([16]Base!AY9/[16]Base!AY$76*AY$4,0)</f>
        <v>0</v>
      </c>
      <c r="AZ9" s="1083">
        <f>IFERROR([16]Base!AZ9/[16]Base!AZ$76*AZ$4,0)</f>
        <v>0</v>
      </c>
      <c r="BA9" s="1083">
        <f>IFERROR([16]Base!BA9/[16]Base!BA$76*BA$4,0)</f>
        <v>0</v>
      </c>
      <c r="BB9" s="1083">
        <f>IFERROR([16]Base!BB9/[16]Base!BB$76*BB$4,0)</f>
        <v>0</v>
      </c>
      <c r="BC9" s="1083">
        <f>IFERROR([16]Base!BC9/[16]Base!BC$76*BC$4,0)</f>
        <v>0</v>
      </c>
      <c r="BD9" s="1083">
        <f>IFERROR([16]Base!BD9/[16]Base!BD$76*BD$4,0)</f>
        <v>0</v>
      </c>
      <c r="BE9" s="1083">
        <f>IFERROR([16]Base!BE9/[16]Base!BE$76*BE$4,0)</f>
        <v>0</v>
      </c>
      <c r="BF9" s="1083">
        <f>IFERROR([16]Base!BF9/[16]Base!BF$76*BF$4,0)</f>
        <v>2102.5670391061453</v>
      </c>
      <c r="BG9" s="1083">
        <f>IFERROR([16]Base!BG9/[16]Base!BG$76*BG$4,0)</f>
        <v>0</v>
      </c>
      <c r="BH9" s="1083">
        <f>IFERROR([16]Base!BH9/[16]Base!BH$76*BH$4,0)</f>
        <v>1538.057803468208</v>
      </c>
      <c r="BI9" s="1083">
        <f t="shared" si="2"/>
        <v>3059063.0777903432</v>
      </c>
    </row>
    <row r="10" spans="1:61" s="270" customFormat="1" ht="16.149999999999999" customHeight="1" x14ac:dyDescent="0.2">
      <c r="A10" s="275" t="s">
        <v>86</v>
      </c>
      <c r="B10" s="260" t="s">
        <v>141</v>
      </c>
      <c r="C10" s="1083">
        <f>'3B_Pay Raise'!O10</f>
        <v>442662</v>
      </c>
      <c r="D10" s="1083"/>
      <c r="E10" s="1083">
        <f>IFERROR([16]Base!E10/[16]Base!E$76*E$4,0)</f>
        <v>0</v>
      </c>
      <c r="F10" s="1083">
        <f>IFERROR([16]Base!F10/[16]Base!F$76*F$4,0)</f>
        <v>0</v>
      </c>
      <c r="G10" s="1083">
        <f>IFERROR([16]Base!G10/[16]Base!G$76*G$4,0)</f>
        <v>0</v>
      </c>
      <c r="H10" s="1083">
        <f>IFERROR([16]Base!H10/[16]Base!H$76*H$4,0)</f>
        <v>0</v>
      </c>
      <c r="I10" s="1083">
        <f>IFERROR([16]Base!I10/[16]Base!I$76*I$4,0)</f>
        <v>0</v>
      </c>
      <c r="J10" s="1083">
        <f>IFERROR([16]Base!J10/[16]Base!J$76*J$4,0)</f>
        <v>0</v>
      </c>
      <c r="K10" s="1083">
        <f>IFERROR([16]Base!K10/[16]Base!K$76*K$4,0)</f>
        <v>0</v>
      </c>
      <c r="L10" s="1083">
        <f>IFERROR([16]Base!L10/[16]Base!L$76*L$4,0)</f>
        <v>0</v>
      </c>
      <c r="M10" s="1083">
        <f>IFERROR([16]Base!M10/[16]Base!M$76*M$4,0)</f>
        <v>0</v>
      </c>
      <c r="N10" s="1083">
        <f>IFERROR([16]Base!N10/[16]Base!N$76*N$4,0)</f>
        <v>0</v>
      </c>
      <c r="O10" s="1083">
        <f>IFERROR([16]Base!O10/[16]Base!O$76*O$4,0)</f>
        <v>0</v>
      </c>
      <c r="P10" s="1083">
        <f>IFERROR([16]Base!P10/[16]Base!P$76*P$4,0)</f>
        <v>0</v>
      </c>
      <c r="Q10" s="1083">
        <f>IFERROR([16]Base!Q10/[16]Base!Q$76*Q$4,0)</f>
        <v>0</v>
      </c>
      <c r="R10" s="1083"/>
      <c r="S10" s="1083">
        <f>IFERROR([16]Base!S10/[16]Base!S$76*S$4,0)</f>
        <v>0</v>
      </c>
      <c r="T10" s="1083">
        <f>IFERROR([16]Base!T10/[16]Base!T$76*T$4,0)</f>
        <v>476.92602040816325</v>
      </c>
      <c r="U10" s="1083">
        <f>IFERROR([16]Base!U10/[16]Base!U$76*U$4,0)</f>
        <v>0</v>
      </c>
      <c r="V10" s="1083">
        <f>IFERROR([16]Base!V10/[16]Base!V$76*V$4,0)</f>
        <v>0</v>
      </c>
      <c r="W10" s="1083">
        <f>IFERROR([16]Base!W10/[16]Base!W$76*W$4,0)</f>
        <v>0</v>
      </c>
      <c r="X10" s="1083">
        <f>IFERROR([16]Base!X10/[16]Base!X$76*X$4,0)</f>
        <v>0</v>
      </c>
      <c r="Y10" s="1083">
        <f>IFERROR([16]Base!Y10/[16]Base!Y$76*Y$4,0)</f>
        <v>0</v>
      </c>
      <c r="Z10" s="1083"/>
      <c r="AA10" s="1083">
        <f>IFERROR([16]Base!AA10/[16]Base!AA$76*AA$4,0)</f>
        <v>0</v>
      </c>
      <c r="AB10" s="1083">
        <f>IFERROR([16]Base!AB10/[16]Base!AB$76*AB$4,0)</f>
        <v>0</v>
      </c>
      <c r="AC10" s="1083"/>
      <c r="AD10" s="1083"/>
      <c r="AE10" s="1083"/>
      <c r="AF10" s="1083">
        <f>IFERROR([16]Base!AF10/[16]Base!AF$76*AF$4,0)</f>
        <v>0</v>
      </c>
      <c r="AG10" s="1083">
        <f>IFERROR([16]Base!AG10/[16]Base!AG$76*AG$4,0)</f>
        <v>0</v>
      </c>
      <c r="AH10" s="1083">
        <f>IFERROR([16]Base!AH10/[16]Base!AH$76*AH$4,0)</f>
        <v>0</v>
      </c>
      <c r="AI10" s="1083">
        <f>IFERROR([16]Base!AI10/[16]Base!AI$76*AI$4,0)</f>
        <v>0</v>
      </c>
      <c r="AJ10" s="1083">
        <f>IFERROR([16]Base!AJ10/[16]Base!AJ$76*AJ$4,0)</f>
        <v>0</v>
      </c>
      <c r="AK10" s="1083">
        <f>IFERROR([16]Base!AK10/[16]Base!AK$76*AK$4,0)</f>
        <v>0</v>
      </c>
      <c r="AL10" s="1083">
        <f>IFERROR([16]Base!AL10/[16]Base!AL$76*AL$4,0)</f>
        <v>0</v>
      </c>
      <c r="AM10" s="1083">
        <f>IFERROR([16]Base!AM10/[16]Base!AM$76*AM$4,0)</f>
        <v>0</v>
      </c>
      <c r="AN10" s="1083">
        <f>IFERROR([16]Base!AN10/[16]Base!AN$76*AN$4,0)</f>
        <v>0</v>
      </c>
      <c r="AO10" s="1083">
        <f>IFERROR('8_2.1.19 SIS'!AO10/'8_2.1.19 SIS'!AO$76*AO$4,0)</f>
        <v>0</v>
      </c>
      <c r="AP10" s="1083">
        <f>IFERROR('8_2.1.19 SIS'!AP10/'8_2.1.19 SIS'!AP$76*AP$4,0)</f>
        <v>0</v>
      </c>
      <c r="AQ10" s="1083">
        <f>IFERROR('8_2.1.19 SIS'!AQ10/'8_2.1.19 SIS'!AQ$76*AQ$4,0)</f>
        <v>0</v>
      </c>
      <c r="AR10" s="1083">
        <f>IFERROR('8_2.1.19 SIS'!AR10/'8_2.1.19 SIS'!AR$76*AR$4,0)</f>
        <v>0</v>
      </c>
      <c r="AS10" s="1083">
        <f>IFERROR('8_2.1.19 SIS'!AS10/'8_2.1.19 SIS'!AS$76*AS$4,0)</f>
        <v>0</v>
      </c>
      <c r="AT10" s="1083">
        <f>IFERROR([16]Base!AT10/[16]Base!AT$76*AT$4,0)</f>
        <v>576.27604166666663</v>
      </c>
      <c r="AU10" s="1083">
        <f>IFERROR([16]Base!AU10/[16]Base!AU$76*AU$4,0)</f>
        <v>786.2162331557505</v>
      </c>
      <c r="AV10" s="1084">
        <f t="shared" si="1"/>
        <v>444501.4182952306</v>
      </c>
      <c r="AW10" s="1083">
        <f>IFERROR([16]Base!AW10/[16]Base!AW$76*AW$4,0)</f>
        <v>0</v>
      </c>
      <c r="AX10" s="1083">
        <f>IFERROR([16]Base!AX10/[16]Base!AX$76*AX$4,0)</f>
        <v>0</v>
      </c>
      <c r="AY10" s="1083">
        <f>IFERROR([16]Base!AY10/[16]Base!AY$76*AY$4,0)</f>
        <v>0</v>
      </c>
      <c r="AZ10" s="1083">
        <f>IFERROR([16]Base!AZ10/[16]Base!AZ$76*AZ$4,0)</f>
        <v>0</v>
      </c>
      <c r="BA10" s="1083">
        <f>IFERROR([16]Base!BA10/[16]Base!BA$76*BA$4,0)</f>
        <v>0</v>
      </c>
      <c r="BB10" s="1083">
        <f>IFERROR([16]Base!BB10/[16]Base!BB$76*BB$4,0)</f>
        <v>0</v>
      </c>
      <c r="BC10" s="1083">
        <f>IFERROR([16]Base!BC10/[16]Base!BC$76*BC$4,0)</f>
        <v>972.16666666666663</v>
      </c>
      <c r="BD10" s="1083">
        <f>IFERROR([16]Base!BD10/[16]Base!BD$76*BD$4,0)</f>
        <v>0</v>
      </c>
      <c r="BE10" s="1083">
        <f>IFERROR([16]Base!BE10/[16]Base!BE$76*BE$4,0)</f>
        <v>0</v>
      </c>
      <c r="BF10" s="1083">
        <f>IFERROR([16]Base!BF10/[16]Base!BF$76*BF$4,0)</f>
        <v>382.28491620111731</v>
      </c>
      <c r="BG10" s="1083">
        <f>IFERROR([16]Base!BG10/[16]Base!BG$76*BG$4,0)</f>
        <v>0</v>
      </c>
      <c r="BH10" s="1083">
        <f>IFERROR([16]Base!BH10/[16]Base!BH$76*BH$4,0)</f>
        <v>0</v>
      </c>
      <c r="BI10" s="1083">
        <f t="shared" si="2"/>
        <v>445855.86987809843</v>
      </c>
    </row>
    <row r="11" spans="1:61" s="270" customFormat="1" ht="16.149999999999999" customHeight="1" x14ac:dyDescent="0.2">
      <c r="A11" s="277" t="s">
        <v>142</v>
      </c>
      <c r="B11" s="262" t="s">
        <v>143</v>
      </c>
      <c r="C11" s="1085">
        <f>'3B_Pay Raise'!O11</f>
        <v>606972</v>
      </c>
      <c r="D11" s="1085"/>
      <c r="E11" s="1085">
        <f>IFERROR([16]Base!E11/[16]Base!E$76*E$4,0)</f>
        <v>0</v>
      </c>
      <c r="F11" s="1085">
        <f>IFERROR([16]Base!F11/[16]Base!F$76*F$4,0)</f>
        <v>0</v>
      </c>
      <c r="G11" s="1085">
        <f>IFERROR([16]Base!G11/[16]Base!G$76*G$4,0)</f>
        <v>0</v>
      </c>
      <c r="H11" s="1085">
        <f>IFERROR([16]Base!H11/[16]Base!H$76*H$4,0)</f>
        <v>0</v>
      </c>
      <c r="I11" s="1085">
        <f>IFERROR([16]Base!I11/[16]Base!I$76*I$4,0)</f>
        <v>0</v>
      </c>
      <c r="J11" s="1085">
        <f>IFERROR([16]Base!J11/[16]Base!J$76*J$4,0)</f>
        <v>0</v>
      </c>
      <c r="K11" s="1085">
        <f>IFERROR([16]Base!K11/[16]Base!K$76*K$4,0)</f>
        <v>0</v>
      </c>
      <c r="L11" s="1085">
        <f>IFERROR([16]Base!L11/[16]Base!L$76*L$4,0)</f>
        <v>0</v>
      </c>
      <c r="M11" s="1085">
        <f>IFERROR([16]Base!M11/[16]Base!M$76*M$4,0)</f>
        <v>0</v>
      </c>
      <c r="N11" s="1085">
        <f>IFERROR([16]Base!N11/[16]Base!N$76*N$4,0)</f>
        <v>0</v>
      </c>
      <c r="O11" s="1085">
        <f>IFERROR([16]Base!O11/[16]Base!O$76*O$4,0)</f>
        <v>0</v>
      </c>
      <c r="P11" s="1085">
        <f>IFERROR([16]Base!P11/[16]Base!P$76*P$4,0)</f>
        <v>0</v>
      </c>
      <c r="Q11" s="1085">
        <f>IFERROR([16]Base!Q11/[16]Base!Q$76*Q$4,0)</f>
        <v>0</v>
      </c>
      <c r="R11" s="1085"/>
      <c r="S11" s="1085">
        <f>IFERROR([16]Base!S11/[16]Base!S$76*S$4,0)</f>
        <v>0</v>
      </c>
      <c r="T11" s="1085">
        <f>IFERROR([16]Base!T11/[16]Base!T$76*T$4,0)</f>
        <v>0</v>
      </c>
      <c r="U11" s="1085">
        <f>IFERROR([16]Base!U11/[16]Base!U$76*U$4,0)</f>
        <v>0</v>
      </c>
      <c r="V11" s="1085">
        <f>IFERROR([16]Base!V11/[16]Base!V$76*V$4,0)</f>
        <v>0</v>
      </c>
      <c r="W11" s="1085">
        <f>IFERROR([16]Base!W11/[16]Base!W$76*W$4,0)</f>
        <v>0</v>
      </c>
      <c r="X11" s="1085">
        <f>IFERROR([16]Base!X11/[16]Base!X$76*X$4,0)</f>
        <v>0</v>
      </c>
      <c r="Y11" s="1085">
        <f>IFERROR([16]Base!Y11/[16]Base!Y$76*Y$4,0)</f>
        <v>0</v>
      </c>
      <c r="Z11" s="1085"/>
      <c r="AA11" s="1085">
        <f>IFERROR([16]Base!AA11/[16]Base!AA$76*AA$4,0)</f>
        <v>0</v>
      </c>
      <c r="AB11" s="1085">
        <f>IFERROR([16]Base!AB11/[16]Base!AB$76*AB$4,0)</f>
        <v>0</v>
      </c>
      <c r="AC11" s="1085"/>
      <c r="AD11" s="1085"/>
      <c r="AE11" s="1085"/>
      <c r="AF11" s="1085">
        <f>IFERROR([16]Base!AF11/[16]Base!AF$76*AF$4,0)</f>
        <v>0</v>
      </c>
      <c r="AG11" s="1085">
        <f>IFERROR([16]Base!AG11/[16]Base!AG$76*AG$4,0)</f>
        <v>0</v>
      </c>
      <c r="AH11" s="1085">
        <f>IFERROR([16]Base!AH11/[16]Base!AH$76*AH$4,0)</f>
        <v>0</v>
      </c>
      <c r="AI11" s="1085">
        <f>IFERROR([16]Base!AI11/[16]Base!AI$76*AI$4,0)</f>
        <v>0</v>
      </c>
      <c r="AJ11" s="1085">
        <f>IFERROR([16]Base!AJ11/[16]Base!AJ$76*AJ$4,0)</f>
        <v>0</v>
      </c>
      <c r="AK11" s="1085">
        <f>IFERROR([16]Base!AK11/[16]Base!AK$76*AK$4,0)</f>
        <v>0</v>
      </c>
      <c r="AL11" s="1085">
        <f>IFERROR([16]Base!AL11/[16]Base!AL$76*AL$4,0)</f>
        <v>0</v>
      </c>
      <c r="AM11" s="1085">
        <f>IFERROR([16]Base!AM11/[16]Base!AM$76*AM$4,0)</f>
        <v>0</v>
      </c>
      <c r="AN11" s="1085">
        <f>IFERROR([16]Base!AN11/[16]Base!AN$76*AN$4,0)</f>
        <v>16833.341836734693</v>
      </c>
      <c r="AO11" s="1085">
        <f>IFERROR('8_2.1.19 SIS'!AO11/'8_2.1.19 SIS'!AO$76*AO$4,0)</f>
        <v>0</v>
      </c>
      <c r="AP11" s="1085">
        <f>IFERROR('8_2.1.19 SIS'!AP11/'8_2.1.19 SIS'!AP$76*AP$4,0)</f>
        <v>0</v>
      </c>
      <c r="AQ11" s="1085">
        <f>IFERROR('8_2.1.19 SIS'!AQ11/'8_2.1.19 SIS'!AQ$76*AQ$4,0)</f>
        <v>0</v>
      </c>
      <c r="AR11" s="1085">
        <f>IFERROR('8_2.1.19 SIS'!AR11/'8_2.1.19 SIS'!AR$76*AR$4,0)</f>
        <v>0</v>
      </c>
      <c r="AS11" s="1085">
        <f>IFERROR('8_2.1.19 SIS'!AS11/'8_2.1.19 SIS'!AS$76*AS$4,0)</f>
        <v>0</v>
      </c>
      <c r="AT11" s="1085">
        <f>IFERROR([16]Base!AT11/[16]Base!AT$76*AT$4,0)</f>
        <v>1267.8072916666665</v>
      </c>
      <c r="AU11" s="1085">
        <f>IFERROR([16]Base!AU11/[16]Base!AU$76*AU$4,0)</f>
        <v>4520.7433406455657</v>
      </c>
      <c r="AV11" s="1086">
        <f t="shared" si="1"/>
        <v>629593.89246904687</v>
      </c>
      <c r="AW11" s="1085">
        <f>IFERROR([16]Base!AW11/[16]Base!AW$76*AW$4,0)</f>
        <v>0</v>
      </c>
      <c r="AX11" s="1085">
        <f>IFERROR([16]Base!AX11/[16]Base!AX$76*AX$4,0)</f>
        <v>0</v>
      </c>
      <c r="AY11" s="1085">
        <f>IFERROR([16]Base!AY11/[16]Base!AY$76*AY$4,0)</f>
        <v>0</v>
      </c>
      <c r="AZ11" s="1085">
        <f>IFERROR([16]Base!AZ11/[16]Base!AZ$76*AZ$4,0)</f>
        <v>67583.379918588864</v>
      </c>
      <c r="BA11" s="1085">
        <f>IFERROR([16]Base!BA11/[16]Base!BA$76*BA$4,0)</f>
        <v>0</v>
      </c>
      <c r="BB11" s="1085">
        <f>IFERROR([16]Base!BB11/[16]Base!BB$76*BB$4,0)</f>
        <v>0</v>
      </c>
      <c r="BC11" s="1085">
        <f>IFERROR([16]Base!BC11/[16]Base!BC$76*BC$4,0)</f>
        <v>0</v>
      </c>
      <c r="BD11" s="1085">
        <f>IFERROR([16]Base!BD11/[16]Base!BD$76*BD$4,0)</f>
        <v>0</v>
      </c>
      <c r="BE11" s="1085">
        <f>IFERROR([16]Base!BE11/[16]Base!BE$76*BE$4,0)</f>
        <v>0</v>
      </c>
      <c r="BF11" s="1085">
        <f>IFERROR([16]Base!BF11/[16]Base!BF$76*BF$4,0)</f>
        <v>573.42737430167597</v>
      </c>
      <c r="BG11" s="1085">
        <f>IFERROR([16]Base!BG11/[16]Base!BG$76*BG$4,0)</f>
        <v>0</v>
      </c>
      <c r="BH11" s="1087">
        <f>IFERROR([16]Base!BH11/[16]Base!BH$76*BH$4,0)</f>
        <v>0</v>
      </c>
      <c r="BI11" s="1085">
        <f t="shared" si="2"/>
        <v>697750.69976193749</v>
      </c>
    </row>
    <row r="12" spans="1:61" s="270" customFormat="1" ht="16.149999999999999" customHeight="1" x14ac:dyDescent="0.2">
      <c r="A12" s="273" t="s">
        <v>87</v>
      </c>
      <c r="B12" s="264" t="s">
        <v>144</v>
      </c>
      <c r="C12" s="1079">
        <f>'3B_Pay Raise'!O12</f>
        <v>853978</v>
      </c>
      <c r="D12" s="1079"/>
      <c r="E12" s="1079">
        <f>IFERROR([16]Base!E12/[16]Base!E$76*E$4,0)</f>
        <v>0</v>
      </c>
      <c r="F12" s="1079">
        <f>IFERROR([16]Base!F12/[16]Base!F$76*F$4,0)</f>
        <v>0</v>
      </c>
      <c r="G12" s="1079">
        <f>IFERROR([16]Base!G12/[16]Base!G$76*G$4,0)</f>
        <v>0</v>
      </c>
      <c r="H12" s="1079">
        <f>IFERROR([16]Base!H12/[16]Base!H$76*H$4,0)</f>
        <v>0</v>
      </c>
      <c r="I12" s="1079">
        <f>IFERROR([16]Base!I12/[16]Base!I$76*I$4,0)</f>
        <v>0</v>
      </c>
      <c r="J12" s="1079">
        <f>IFERROR([16]Base!J12/[16]Base!J$76*J$4,0)</f>
        <v>0</v>
      </c>
      <c r="K12" s="1079">
        <f>IFERROR([16]Base!K12/[16]Base!K$76*K$4,0)</f>
        <v>0</v>
      </c>
      <c r="L12" s="1079">
        <f>IFERROR([16]Base!L12/[16]Base!L$76*L$4,0)</f>
        <v>0</v>
      </c>
      <c r="M12" s="1079">
        <f>IFERROR([16]Base!M12/[16]Base!M$76*M$4,0)</f>
        <v>0</v>
      </c>
      <c r="N12" s="1079">
        <f>IFERROR([16]Base!N12/[16]Base!N$76*N$4,0)</f>
        <v>0</v>
      </c>
      <c r="O12" s="1079">
        <f>IFERROR([16]Base!O12/[16]Base!O$76*O$4,0)</f>
        <v>0</v>
      </c>
      <c r="P12" s="1079">
        <f>IFERROR([16]Base!P12/[16]Base!P$76*P$4,0)</f>
        <v>0</v>
      </c>
      <c r="Q12" s="1079">
        <f>IFERROR([16]Base!Q12/[16]Base!Q$76*Q$4,0)</f>
        <v>0</v>
      </c>
      <c r="R12" s="1079"/>
      <c r="S12" s="1079">
        <f>IFERROR([16]Base!S12/[16]Base!S$76*S$4,0)</f>
        <v>0</v>
      </c>
      <c r="T12" s="1079">
        <f>IFERROR([16]Base!T12/[16]Base!T$76*T$4,0)</f>
        <v>0</v>
      </c>
      <c r="U12" s="1079">
        <f>IFERROR([16]Base!U12/[16]Base!U$76*U$4,0)</f>
        <v>0</v>
      </c>
      <c r="V12" s="1079">
        <f>IFERROR([16]Base!V12/[16]Base!V$76*V$4,0)</f>
        <v>0</v>
      </c>
      <c r="W12" s="1079">
        <f>IFERROR([16]Base!W12/[16]Base!W$76*W$4,0)</f>
        <v>0</v>
      </c>
      <c r="X12" s="1079">
        <f>IFERROR([16]Base!X12/[16]Base!X$76*X$4,0)</f>
        <v>0</v>
      </c>
      <c r="Y12" s="1079">
        <f>IFERROR([16]Base!Y12/[16]Base!Y$76*Y$4,0)</f>
        <v>0</v>
      </c>
      <c r="Z12" s="1079"/>
      <c r="AA12" s="1079">
        <f>IFERROR([16]Base!AA12/[16]Base!AA$76*AA$4,0)</f>
        <v>0</v>
      </c>
      <c r="AB12" s="1080">
        <f>IFERROR([16]Base!AB12/[16]Base!AB$76*AB$4,0)</f>
        <v>0</v>
      </c>
      <c r="AC12" s="1080"/>
      <c r="AD12" s="1080"/>
      <c r="AE12" s="1080"/>
      <c r="AF12" s="1080">
        <f>IFERROR([16]Base!AF12/[16]Base!AF$76*AF$4,0)</f>
        <v>0</v>
      </c>
      <c r="AG12" s="1080">
        <f>IFERROR([16]Base!AG12/[16]Base!AG$76*AG$4,0)</f>
        <v>0</v>
      </c>
      <c r="AH12" s="1080">
        <f>IFERROR([16]Base!AH12/[16]Base!AH$76*AH$4,0)</f>
        <v>0</v>
      </c>
      <c r="AI12" s="1080">
        <f>IFERROR([16]Base!AI12/[16]Base!AI$76*AI$4,0)</f>
        <v>0</v>
      </c>
      <c r="AJ12" s="1080">
        <f>IFERROR([16]Base!AJ12/[16]Base!AJ$76*AJ$4,0)</f>
        <v>0</v>
      </c>
      <c r="AK12" s="1080">
        <f>IFERROR([16]Base!AK12/[16]Base!AK$76*AK$4,0)</f>
        <v>0</v>
      </c>
      <c r="AL12" s="1080">
        <f>IFERROR([16]Base!AL12/[16]Base!AL$76*AL$4,0)</f>
        <v>0</v>
      </c>
      <c r="AM12" s="1080">
        <f>IFERROR([16]Base!AM12/[16]Base!AM$76*AM$4,0)</f>
        <v>0</v>
      </c>
      <c r="AN12" s="1080">
        <f>IFERROR([16]Base!AN12/[16]Base!AN$76*AN$4,0)</f>
        <v>0</v>
      </c>
      <c r="AO12" s="1080">
        <f>IFERROR('8_2.1.19 SIS'!AO12/'8_2.1.19 SIS'!AO$76*AO$4,0)</f>
        <v>0</v>
      </c>
      <c r="AP12" s="1080">
        <f>IFERROR('8_2.1.19 SIS'!AP12/'8_2.1.19 SIS'!AP$76*AP$4,0)</f>
        <v>0</v>
      </c>
      <c r="AQ12" s="1080">
        <f>IFERROR('8_2.1.19 SIS'!AQ12/'8_2.1.19 SIS'!AQ$76*AQ$4,0)</f>
        <v>0</v>
      </c>
      <c r="AR12" s="1080">
        <f>IFERROR('8_2.1.19 SIS'!AR12/'8_2.1.19 SIS'!AR$76*AR$4,0)</f>
        <v>0</v>
      </c>
      <c r="AS12" s="1080">
        <f>IFERROR('8_2.1.19 SIS'!AS12/'8_2.1.19 SIS'!AS$76*AS$4,0)</f>
        <v>0</v>
      </c>
      <c r="AT12" s="1079">
        <f>IFERROR([16]Base!AT12/[16]Base!AT$76*AT$4,0)</f>
        <v>1555.9453125</v>
      </c>
      <c r="AU12" s="1079">
        <f>IFERROR([16]Base!AU12/[16]Base!AU$76*AU$4,0)</f>
        <v>1375.8784080225635</v>
      </c>
      <c r="AV12" s="1081">
        <f t="shared" si="1"/>
        <v>856909.82372052257</v>
      </c>
      <c r="AW12" s="1079">
        <f>IFERROR([16]Base!AW12/[16]Base!AW$76*AW$4,0)</f>
        <v>0</v>
      </c>
      <c r="AX12" s="1079">
        <f>IFERROR([16]Base!AX12/[16]Base!AX$76*AX$4,0)</f>
        <v>0</v>
      </c>
      <c r="AY12" s="1079">
        <f>IFERROR([16]Base!AY12/[16]Base!AY$76*AY$4,0)</f>
        <v>0</v>
      </c>
      <c r="AZ12" s="1079">
        <f>IFERROR([16]Base!AZ12/[16]Base!AZ$76*AZ$4,0)</f>
        <v>0</v>
      </c>
      <c r="BA12" s="1079">
        <f>IFERROR([16]Base!BA12/[16]Base!BA$76*BA$4,0)</f>
        <v>0</v>
      </c>
      <c r="BB12" s="1079">
        <f>IFERROR([16]Base!BB12/[16]Base!BB$76*BB$4,0)</f>
        <v>0</v>
      </c>
      <c r="BC12" s="1079">
        <f>IFERROR([16]Base!BC12/[16]Base!BC$76*BC$4,0)</f>
        <v>0</v>
      </c>
      <c r="BD12" s="1079">
        <f>IFERROR([16]Base!BD12/[16]Base!BD$76*BD$4,0)</f>
        <v>0</v>
      </c>
      <c r="BE12" s="1079">
        <f>IFERROR([16]Base!BE12/[16]Base!BE$76*BE$4,0)</f>
        <v>0</v>
      </c>
      <c r="BF12" s="1079">
        <f>IFERROR([16]Base!BF12/[16]Base!BF$76*BF$4,0)</f>
        <v>191.14245810055866</v>
      </c>
      <c r="BG12" s="1079">
        <f>IFERROR([16]Base!BG12/[16]Base!BG$76*BG$4,0)</f>
        <v>0</v>
      </c>
      <c r="BH12" s="1082">
        <f>IFERROR([16]Base!BH12/[16]Base!BH$76*BH$4,0)</f>
        <v>0</v>
      </c>
      <c r="BI12" s="1079">
        <f t="shared" si="2"/>
        <v>857100.96617862314</v>
      </c>
    </row>
    <row r="13" spans="1:61" s="270" customFormat="1" ht="16.149999999999999" customHeight="1" x14ac:dyDescent="0.2">
      <c r="A13" s="275" t="s">
        <v>88</v>
      </c>
      <c r="B13" s="260" t="s">
        <v>145</v>
      </c>
      <c r="C13" s="1083">
        <f>'3B_Pay Raise'!O13</f>
        <v>394918</v>
      </c>
      <c r="D13" s="1083"/>
      <c r="E13" s="1083">
        <f>IFERROR([16]Base!E13/[16]Base!E$76*E$4,0)</f>
        <v>0</v>
      </c>
      <c r="F13" s="1083">
        <f>IFERROR([16]Base!F13/[16]Base!F$76*F$4,0)</f>
        <v>214.2128966223132</v>
      </c>
      <c r="G13" s="1083">
        <f>IFERROR([16]Base!G13/[16]Base!G$76*G$4,0)</f>
        <v>0</v>
      </c>
      <c r="H13" s="1083">
        <f>IFERROR([16]Base!H13/[16]Base!H$76*H$4,0)</f>
        <v>0</v>
      </c>
      <c r="I13" s="1083">
        <f>IFERROR([16]Base!I13/[16]Base!I$76*I$4,0)</f>
        <v>0</v>
      </c>
      <c r="J13" s="1083">
        <f>IFERROR([16]Base!J13/[16]Base!J$76*J$4,0)</f>
        <v>0</v>
      </c>
      <c r="K13" s="1083">
        <f>IFERROR([16]Base!K13/[16]Base!K$76*K$4,0)</f>
        <v>0</v>
      </c>
      <c r="L13" s="1083">
        <f>IFERROR([16]Base!L13/[16]Base!L$76*L$4,0)</f>
        <v>0</v>
      </c>
      <c r="M13" s="1083">
        <f>IFERROR([16]Base!M13/[16]Base!M$76*M$4,0)</f>
        <v>0</v>
      </c>
      <c r="N13" s="1083">
        <f>IFERROR([16]Base!N13/[16]Base!N$76*N$4,0)</f>
        <v>0</v>
      </c>
      <c r="O13" s="1083">
        <f>IFERROR([16]Base!O13/[16]Base!O$76*O$4,0)</f>
        <v>0</v>
      </c>
      <c r="P13" s="1083">
        <f>IFERROR([16]Base!P13/[16]Base!P$76*P$4,0)</f>
        <v>0</v>
      </c>
      <c r="Q13" s="1083">
        <f>IFERROR([16]Base!Q13/[16]Base!Q$76*Q$4,0)</f>
        <v>0</v>
      </c>
      <c r="R13" s="1083"/>
      <c r="S13" s="1083">
        <f>IFERROR([16]Base!S13/[16]Base!S$76*S$4,0)</f>
        <v>0</v>
      </c>
      <c r="T13" s="1083">
        <f>IFERROR([16]Base!T13/[16]Base!T$76*T$4,0)</f>
        <v>0</v>
      </c>
      <c r="U13" s="1083">
        <f>IFERROR([16]Base!U13/[16]Base!U$76*U$4,0)</f>
        <v>0</v>
      </c>
      <c r="V13" s="1083">
        <f>IFERROR([16]Base!V13/[16]Base!V$76*V$4,0)</f>
        <v>0</v>
      </c>
      <c r="W13" s="1083">
        <f>IFERROR([16]Base!W13/[16]Base!W$76*W$4,0)</f>
        <v>0</v>
      </c>
      <c r="X13" s="1083">
        <f>IFERROR([16]Base!X13/[16]Base!X$76*X$4,0)</f>
        <v>0</v>
      </c>
      <c r="Y13" s="1083">
        <f>IFERROR([16]Base!Y13/[16]Base!Y$76*Y$4,0)</f>
        <v>0</v>
      </c>
      <c r="Z13" s="1083"/>
      <c r="AA13" s="1083">
        <f>IFERROR([16]Base!AA13/[16]Base!AA$76*AA$4,0)</f>
        <v>0</v>
      </c>
      <c r="AB13" s="1083">
        <f>IFERROR([16]Base!AB13/[16]Base!AB$76*AB$4,0)</f>
        <v>6695.5220125786163</v>
      </c>
      <c r="AC13" s="1083"/>
      <c r="AD13" s="1083"/>
      <c r="AE13" s="1083"/>
      <c r="AF13" s="1083">
        <f>IFERROR([16]Base!AF13/[16]Base!AF$76*AF$4,0)</f>
        <v>0</v>
      </c>
      <c r="AG13" s="1083">
        <f>IFERROR([16]Base!AG13/[16]Base!AG$76*AG$4,0)</f>
        <v>0</v>
      </c>
      <c r="AH13" s="1083">
        <f>IFERROR([16]Base!AH13/[16]Base!AH$76*AH$4,0)</f>
        <v>0</v>
      </c>
      <c r="AI13" s="1083">
        <f>IFERROR([16]Base!AI13/[16]Base!AI$76*AI$4,0)</f>
        <v>0</v>
      </c>
      <c r="AJ13" s="1083">
        <f>IFERROR([16]Base!AJ13/[16]Base!AJ$76*AJ$4,0)</f>
        <v>0</v>
      </c>
      <c r="AK13" s="1083">
        <f>IFERROR([16]Base!AK13/[16]Base!AK$76*AK$4,0)</f>
        <v>0</v>
      </c>
      <c r="AL13" s="1083">
        <f>IFERROR([16]Base!AL13/[16]Base!AL$76*AL$4,0)</f>
        <v>0</v>
      </c>
      <c r="AM13" s="1083">
        <f>IFERROR([16]Base!AM13/[16]Base!AM$76*AM$4,0)</f>
        <v>0</v>
      </c>
      <c r="AN13" s="1083">
        <f>IFERROR([16]Base!AN13/[16]Base!AN$76*AN$4,0)</f>
        <v>0</v>
      </c>
      <c r="AO13" s="1083">
        <f>IFERROR('8_2.1.19 SIS'!AO13/'8_2.1.19 SIS'!AO$76*AO$4,0)</f>
        <v>0</v>
      </c>
      <c r="AP13" s="1083">
        <f>IFERROR('8_2.1.19 SIS'!AP13/'8_2.1.19 SIS'!AP$76*AP$4,0)</f>
        <v>0</v>
      </c>
      <c r="AQ13" s="1083">
        <f>IFERROR('8_2.1.19 SIS'!AQ13/'8_2.1.19 SIS'!AQ$76*AQ$4,0)</f>
        <v>0</v>
      </c>
      <c r="AR13" s="1083">
        <f>IFERROR('8_2.1.19 SIS'!AR13/'8_2.1.19 SIS'!AR$76*AR$4,0)</f>
        <v>0</v>
      </c>
      <c r="AS13" s="1083">
        <f>IFERROR('8_2.1.19 SIS'!AS13/'8_2.1.19 SIS'!AS$76*AS$4,0)</f>
        <v>0</v>
      </c>
      <c r="AT13" s="1083">
        <f>IFERROR([16]Base!AT13/[16]Base!AT$76*AT$4,0)</f>
        <v>403.39322916666669</v>
      </c>
      <c r="AU13" s="1083">
        <f>IFERROR([16]Base!AU13/[16]Base!AU$76*AU$4,0)</f>
        <v>491.38514572234408</v>
      </c>
      <c r="AV13" s="1084">
        <f t="shared" si="1"/>
        <v>402722.51328408998</v>
      </c>
      <c r="AW13" s="1083">
        <f>IFERROR([16]Base!AW13/[16]Base!AW$76*AW$4,0)</f>
        <v>0</v>
      </c>
      <c r="AX13" s="1083">
        <f>IFERROR([16]Base!AX13/[16]Base!AX$76*AX$4,0)</f>
        <v>0</v>
      </c>
      <c r="AY13" s="1083">
        <f>IFERROR([16]Base!AY13/[16]Base!AY$76*AY$4,0)</f>
        <v>0</v>
      </c>
      <c r="AZ13" s="1083">
        <f>IFERROR([16]Base!AZ13/[16]Base!AZ$76*AZ$4,0)</f>
        <v>0</v>
      </c>
      <c r="BA13" s="1083">
        <f>IFERROR([16]Base!BA13/[16]Base!BA$76*BA$4,0)</f>
        <v>0</v>
      </c>
      <c r="BB13" s="1083">
        <f>IFERROR([16]Base!BB13/[16]Base!BB$76*BB$4,0)</f>
        <v>0</v>
      </c>
      <c r="BC13" s="1083">
        <f>IFERROR([16]Base!BC13/[16]Base!BC$76*BC$4,0)</f>
        <v>0</v>
      </c>
      <c r="BD13" s="1083">
        <f>IFERROR([16]Base!BD13/[16]Base!BD$76*BD$4,0)</f>
        <v>0</v>
      </c>
      <c r="BE13" s="1083">
        <f>IFERROR([16]Base!BE13/[16]Base!BE$76*BE$4,0)</f>
        <v>0</v>
      </c>
      <c r="BF13" s="1083">
        <f>IFERROR([16]Base!BF13/[16]Base!BF$76*BF$4,0)</f>
        <v>191.14245810055866</v>
      </c>
      <c r="BG13" s="1083">
        <f>IFERROR([16]Base!BG13/[16]Base!BG$76*BG$4,0)</f>
        <v>0</v>
      </c>
      <c r="BH13" s="1083">
        <f>IFERROR([16]Base!BH13/[16]Base!BH$76*BH$4,0)</f>
        <v>0</v>
      </c>
      <c r="BI13" s="1083">
        <f t="shared" si="2"/>
        <v>402913.65574219055</v>
      </c>
    </row>
    <row r="14" spans="1:61" s="270" customFormat="1" ht="16.149999999999999" customHeight="1" x14ac:dyDescent="0.2">
      <c r="A14" s="275" t="s">
        <v>89</v>
      </c>
      <c r="B14" s="260" t="s">
        <v>146</v>
      </c>
      <c r="C14" s="1083">
        <f>'3B_Pay Raise'!O14</f>
        <v>3174180</v>
      </c>
      <c r="D14" s="1083"/>
      <c r="E14" s="1083">
        <f>IFERROR([16]Base!E14/[16]Base!E$76*E$4,0)</f>
        <v>0</v>
      </c>
      <c r="F14" s="1083">
        <f>IFERROR([16]Base!F14/[16]Base!F$76*F$4,0)</f>
        <v>0</v>
      </c>
      <c r="G14" s="1083">
        <f>IFERROR([16]Base!G14/[16]Base!G$76*G$4,0)</f>
        <v>0</v>
      </c>
      <c r="H14" s="1083">
        <f>IFERROR([16]Base!H14/[16]Base!H$76*H$4,0)</f>
        <v>0</v>
      </c>
      <c r="I14" s="1083">
        <f>IFERROR([16]Base!I14/[16]Base!I$76*I$4,0)</f>
        <v>0</v>
      </c>
      <c r="J14" s="1083">
        <f>IFERROR([16]Base!J14/[16]Base!J$76*J$4,0)</f>
        <v>0</v>
      </c>
      <c r="K14" s="1083">
        <f>IFERROR([16]Base!K14/[16]Base!K$76*K$4,0)</f>
        <v>0</v>
      </c>
      <c r="L14" s="1083">
        <f>IFERROR([16]Base!L14/[16]Base!L$76*L$4,0)</f>
        <v>0</v>
      </c>
      <c r="M14" s="1083">
        <f>IFERROR([16]Base!M14/[16]Base!M$76*M$4,0)</f>
        <v>0</v>
      </c>
      <c r="N14" s="1083">
        <f>IFERROR([16]Base!N14/[16]Base!N$76*N$4,0)</f>
        <v>0</v>
      </c>
      <c r="O14" s="1083">
        <f>IFERROR([16]Base!O14/[16]Base!O$76*O$4,0)</f>
        <v>0</v>
      </c>
      <c r="P14" s="1083">
        <f>IFERROR([16]Base!P14/[16]Base!P$76*P$4,0)</f>
        <v>0</v>
      </c>
      <c r="Q14" s="1083">
        <f>IFERROR([16]Base!Q14/[16]Base!Q$76*Q$4,0)</f>
        <v>0</v>
      </c>
      <c r="R14" s="1083"/>
      <c r="S14" s="1083">
        <f>IFERROR([16]Base!S14/[16]Base!S$76*S$4,0)</f>
        <v>0</v>
      </c>
      <c r="T14" s="1083">
        <f>IFERROR([16]Base!T14/[16]Base!T$76*T$4,0)</f>
        <v>0</v>
      </c>
      <c r="U14" s="1083">
        <f>IFERROR([16]Base!U14/[16]Base!U$76*U$4,0)</f>
        <v>0</v>
      </c>
      <c r="V14" s="1083">
        <f>IFERROR([16]Base!V14/[16]Base!V$76*V$4,0)</f>
        <v>0</v>
      </c>
      <c r="W14" s="1083">
        <f>IFERROR([16]Base!W14/[16]Base!W$76*W$4,0)</f>
        <v>0</v>
      </c>
      <c r="X14" s="1083">
        <f>IFERROR([16]Base!X14/[16]Base!X$76*X$4,0)</f>
        <v>0</v>
      </c>
      <c r="Y14" s="1083">
        <f>IFERROR([16]Base!Y14/[16]Base!Y$76*Y$4,0)</f>
        <v>0</v>
      </c>
      <c r="Z14" s="1083"/>
      <c r="AA14" s="1083">
        <f>IFERROR([16]Base!AA14/[16]Base!AA$76*AA$4,0)</f>
        <v>0</v>
      </c>
      <c r="AB14" s="1083">
        <f>IFERROR([16]Base!AB14/[16]Base!AB$76*AB$4,0)</f>
        <v>0</v>
      </c>
      <c r="AC14" s="1083"/>
      <c r="AD14" s="1083"/>
      <c r="AE14" s="1083"/>
      <c r="AF14" s="1083">
        <f>IFERROR([16]Base!AF14/[16]Base!AF$76*AF$4,0)</f>
        <v>0</v>
      </c>
      <c r="AG14" s="1083">
        <f>IFERROR([16]Base!AG14/[16]Base!AG$76*AG$4,0)</f>
        <v>0</v>
      </c>
      <c r="AH14" s="1083">
        <f>IFERROR([16]Base!AH14/[16]Base!AH$76*AH$4,0)</f>
        <v>0</v>
      </c>
      <c r="AI14" s="1083">
        <f>IFERROR([16]Base!AI14/[16]Base!AI$76*AI$4,0)</f>
        <v>0</v>
      </c>
      <c r="AJ14" s="1083">
        <f>IFERROR([16]Base!AJ14/[16]Base!AJ$76*AJ$4,0)</f>
        <v>0</v>
      </c>
      <c r="AK14" s="1083">
        <f>IFERROR([16]Base!AK14/[16]Base!AK$76*AK$4,0)</f>
        <v>0</v>
      </c>
      <c r="AL14" s="1083">
        <f>IFERROR([16]Base!AL14/[16]Base!AL$76*AL$4,0)</f>
        <v>0</v>
      </c>
      <c r="AM14" s="1083">
        <f>IFERROR([16]Base!AM14/[16]Base!AM$76*AM$4,0)</f>
        <v>0</v>
      </c>
      <c r="AN14" s="1083">
        <f>IFERROR([16]Base!AN14/[16]Base!AN$76*AN$4,0)</f>
        <v>0</v>
      </c>
      <c r="AO14" s="1083">
        <f>IFERROR('8_2.1.19 SIS'!AO14/'8_2.1.19 SIS'!AO$76*AO$4,0)</f>
        <v>0</v>
      </c>
      <c r="AP14" s="1083">
        <f>IFERROR('8_2.1.19 SIS'!AP14/'8_2.1.19 SIS'!AP$76*AP$4,0)</f>
        <v>0</v>
      </c>
      <c r="AQ14" s="1083">
        <f>IFERROR('8_2.1.19 SIS'!AQ14/'8_2.1.19 SIS'!AQ$76*AQ$4,0)</f>
        <v>0</v>
      </c>
      <c r="AR14" s="1083">
        <f>IFERROR('8_2.1.19 SIS'!AR14/'8_2.1.19 SIS'!AR$76*AR$4,0)</f>
        <v>0</v>
      </c>
      <c r="AS14" s="1083">
        <f>IFERROR('8_2.1.19 SIS'!AS14/'8_2.1.19 SIS'!AS$76*AS$4,0)</f>
        <v>0</v>
      </c>
      <c r="AT14" s="1083">
        <f>IFERROR([16]Base!AT14/[16]Base!AT$76*AT$4,0)</f>
        <v>4033.932291666667</v>
      </c>
      <c r="AU14" s="1083">
        <f>IFERROR([16]Base!AU14/[16]Base!AU$76*AU$4,0)</f>
        <v>4029.3581949232216</v>
      </c>
      <c r="AV14" s="1084">
        <f t="shared" si="1"/>
        <v>3182243.2904865895</v>
      </c>
      <c r="AW14" s="1083">
        <f>IFERROR([16]Base!AW14/[16]Base!AW$76*AW$4,0)</f>
        <v>0</v>
      </c>
      <c r="AX14" s="1083">
        <f>IFERROR([16]Base!AX14/[16]Base!AX$76*AX$4,0)</f>
        <v>0</v>
      </c>
      <c r="AY14" s="1083">
        <f>IFERROR([16]Base!AY14/[16]Base!AY$76*AY$4,0)</f>
        <v>0</v>
      </c>
      <c r="AZ14" s="1083">
        <f>IFERROR([16]Base!AZ14/[16]Base!AZ$76*AZ$4,0)</f>
        <v>0</v>
      </c>
      <c r="BA14" s="1083">
        <f>IFERROR([16]Base!BA14/[16]Base!BA$76*BA$4,0)</f>
        <v>0</v>
      </c>
      <c r="BB14" s="1083">
        <f>IFERROR([16]Base!BB14/[16]Base!BB$76*BB$4,0)</f>
        <v>0</v>
      </c>
      <c r="BC14" s="1083">
        <f>IFERROR([16]Base!BC14/[16]Base!BC$76*BC$4,0)</f>
        <v>0</v>
      </c>
      <c r="BD14" s="1083">
        <f>IFERROR([16]Base!BD14/[16]Base!BD$76*BD$4,0)</f>
        <v>0</v>
      </c>
      <c r="BE14" s="1083">
        <f>IFERROR([16]Base!BE14/[16]Base!BE$76*BE$4,0)</f>
        <v>0</v>
      </c>
      <c r="BF14" s="1083">
        <f>IFERROR([16]Base!BF14/[16]Base!BF$76*BF$4,0)</f>
        <v>1911.4245810055866</v>
      </c>
      <c r="BG14" s="1083">
        <f>IFERROR([16]Base!BG14/[16]Base!BG$76*BG$4,0)</f>
        <v>0</v>
      </c>
      <c r="BH14" s="1083">
        <f>IFERROR([16]Base!BH14/[16]Base!BH$76*BH$4,0)</f>
        <v>0</v>
      </c>
      <c r="BI14" s="1083">
        <f t="shared" si="2"/>
        <v>3184154.7150675952</v>
      </c>
    </row>
    <row r="15" spans="1:61" s="270" customFormat="1" ht="16.149999999999999" customHeight="1" x14ac:dyDescent="0.2">
      <c r="A15" s="275" t="s">
        <v>90</v>
      </c>
      <c r="B15" s="260" t="s">
        <v>147</v>
      </c>
      <c r="C15" s="1083">
        <f>'3B_Pay Raise'!O15</f>
        <v>5122711</v>
      </c>
      <c r="D15" s="1083">
        <f>'3B_Pay Raise'!O113</f>
        <v>108393</v>
      </c>
      <c r="E15" s="1083">
        <f>IFERROR([16]Base!E15/[16]Base!E$76*E$4,0)</f>
        <v>0</v>
      </c>
      <c r="F15" s="1083">
        <f>IFERROR([16]Base!F15/[16]Base!F$76*F$4,0)</f>
        <v>0</v>
      </c>
      <c r="G15" s="1083">
        <f>IFERROR([16]Base!G15/[16]Base!G$76*G$4,0)</f>
        <v>0</v>
      </c>
      <c r="H15" s="1083">
        <f>IFERROR([16]Base!H15/[16]Base!H$76*H$4,0)</f>
        <v>0</v>
      </c>
      <c r="I15" s="1083">
        <f>IFERROR([16]Base!I15/[16]Base!I$76*I$4,0)</f>
        <v>0</v>
      </c>
      <c r="J15" s="1083">
        <f>IFERROR([16]Base!J15/[16]Base!J$76*J$4,0)</f>
        <v>0</v>
      </c>
      <c r="K15" s="1083">
        <f>IFERROR([16]Base!K15/[16]Base!K$76*K$4,0)</f>
        <v>0</v>
      </c>
      <c r="L15" s="1083">
        <f>IFERROR([16]Base!L15/[16]Base!L$76*L$4,0)</f>
        <v>0</v>
      </c>
      <c r="M15" s="1083">
        <f>IFERROR([16]Base!M15/[16]Base!M$76*M$4,0)</f>
        <v>0</v>
      </c>
      <c r="N15" s="1083">
        <f>IFERROR([16]Base!N15/[16]Base!N$76*N$4,0)</f>
        <v>0</v>
      </c>
      <c r="O15" s="1083">
        <f>IFERROR([16]Base!O15/[16]Base!O$76*O$4,0)</f>
        <v>0</v>
      </c>
      <c r="P15" s="1083">
        <f>IFERROR([16]Base!P15/[16]Base!P$76*P$4,0)</f>
        <v>0</v>
      </c>
      <c r="Q15" s="1083">
        <f>IFERROR([16]Base!Q15/[16]Base!Q$76*Q$4,0)</f>
        <v>0</v>
      </c>
      <c r="R15" s="1083"/>
      <c r="S15" s="1083">
        <f>IFERROR([16]Base!S15/[16]Base!S$76*S$4,0)</f>
        <v>0</v>
      </c>
      <c r="T15" s="1083">
        <f>IFERROR([16]Base!T15/[16]Base!T$76*T$4,0)</f>
        <v>0</v>
      </c>
      <c r="U15" s="1083">
        <f>IFERROR([16]Base!U15/[16]Base!U$76*U$4,0)</f>
        <v>0</v>
      </c>
      <c r="V15" s="1083">
        <f>IFERROR([16]Base!V15/[16]Base!V$76*V$4,0)</f>
        <v>0</v>
      </c>
      <c r="W15" s="1083">
        <f>IFERROR([16]Base!W15/[16]Base!W$76*W$4,0)</f>
        <v>0</v>
      </c>
      <c r="X15" s="1083">
        <f>IFERROR([16]Base!X15/[16]Base!X$76*X$4,0)</f>
        <v>0</v>
      </c>
      <c r="Y15" s="1083">
        <f>IFERROR([16]Base!Y15/[16]Base!Y$76*Y$4,0)</f>
        <v>0</v>
      </c>
      <c r="Z15" s="1083"/>
      <c r="AA15" s="1083">
        <f>IFERROR([16]Base!AA15/[16]Base!AA$76*AA$4,0)</f>
        <v>0</v>
      </c>
      <c r="AB15" s="1083">
        <f>IFERROR([16]Base!AB15/[16]Base!AB$76*AB$4,0)</f>
        <v>0</v>
      </c>
      <c r="AC15" s="1083"/>
      <c r="AD15" s="1083"/>
      <c r="AE15" s="1083"/>
      <c r="AF15" s="1083">
        <f>IFERROR([16]Base!AF15/[16]Base!AF$76*AF$4,0)</f>
        <v>0</v>
      </c>
      <c r="AG15" s="1083">
        <f>IFERROR([16]Base!AG15/[16]Base!AG$76*AG$4,0)</f>
        <v>0</v>
      </c>
      <c r="AH15" s="1083">
        <f>IFERROR([16]Base!AH15/[16]Base!AH$76*AH$4,0)</f>
        <v>0</v>
      </c>
      <c r="AI15" s="1083">
        <f>IFERROR([16]Base!AI15/[16]Base!AI$76*AI$4,0)</f>
        <v>0</v>
      </c>
      <c r="AJ15" s="1083">
        <f>IFERROR([16]Base!AJ15/[16]Base!AJ$76*AJ$4,0)</f>
        <v>0</v>
      </c>
      <c r="AK15" s="1083">
        <f>IFERROR([16]Base!AK15/[16]Base!AK$76*AK$4,0)</f>
        <v>0</v>
      </c>
      <c r="AL15" s="1083">
        <f>IFERROR([16]Base!AL15/[16]Base!AL$76*AL$4,0)</f>
        <v>0</v>
      </c>
      <c r="AM15" s="1083">
        <f>IFERROR([16]Base!AM15/[16]Base!AM$76*AM$4,0)</f>
        <v>0</v>
      </c>
      <c r="AN15" s="1083">
        <f>IFERROR([16]Base!AN15/[16]Base!AN$76*AN$4,0)</f>
        <v>0</v>
      </c>
      <c r="AO15" s="1083">
        <f>IFERROR('8_2.1.19 SIS'!AO15/'8_2.1.19 SIS'!AO$76*AO$4,0)</f>
        <v>0</v>
      </c>
      <c r="AP15" s="1083">
        <f>IFERROR('8_2.1.19 SIS'!AP15/'8_2.1.19 SIS'!AP$76*AP$4,0)</f>
        <v>0</v>
      </c>
      <c r="AQ15" s="1083">
        <f>IFERROR('8_2.1.19 SIS'!AQ15/'8_2.1.19 SIS'!AQ$76*AQ$4,0)</f>
        <v>0</v>
      </c>
      <c r="AR15" s="1083">
        <f>IFERROR('8_2.1.19 SIS'!AR15/'8_2.1.19 SIS'!AR$76*AR$4,0)</f>
        <v>0</v>
      </c>
      <c r="AS15" s="1083">
        <f>IFERROR('8_2.1.19 SIS'!AS15/'8_2.1.19 SIS'!AS$76*AS$4,0)</f>
        <v>0</v>
      </c>
      <c r="AT15" s="1083">
        <f>IFERROR([16]Base!AT15/[16]Base!AT$76*AT$4,0)</f>
        <v>6742.4296875</v>
      </c>
      <c r="AU15" s="1083">
        <f>IFERROR([16]Base!AU15/[16]Base!AU$76*AU$4,0)</f>
        <v>7370.7771858351616</v>
      </c>
      <c r="AV15" s="1084">
        <f t="shared" si="1"/>
        <v>5245217.2068733349</v>
      </c>
      <c r="AW15" s="1083">
        <f>IFERROR([16]Base!AW15/[16]Base!AW$76*AW$4,0)</f>
        <v>0</v>
      </c>
      <c r="AX15" s="1083">
        <f>IFERROR([16]Base!AX15/[16]Base!AX$76*AX$4,0)</f>
        <v>0</v>
      </c>
      <c r="AY15" s="1083">
        <f>IFERROR([16]Base!AY15/[16]Base!AY$76*AY$4,0)</f>
        <v>0</v>
      </c>
      <c r="AZ15" s="1083">
        <f>IFERROR([16]Base!AZ15/[16]Base!AZ$76*AZ$4,0)</f>
        <v>0</v>
      </c>
      <c r="BA15" s="1083">
        <f>IFERROR([16]Base!BA15/[16]Base!BA$76*BA$4,0)</f>
        <v>0</v>
      </c>
      <c r="BB15" s="1083">
        <f>IFERROR([16]Base!BB15/[16]Base!BB$76*BB$4,0)</f>
        <v>0</v>
      </c>
      <c r="BC15" s="1083">
        <f>IFERROR([16]Base!BC15/[16]Base!BC$76*BC$4,0)</f>
        <v>0</v>
      </c>
      <c r="BD15" s="1083">
        <f>IFERROR([16]Base!BD15/[16]Base!BD$76*BD$4,0)</f>
        <v>0</v>
      </c>
      <c r="BE15" s="1083">
        <f>IFERROR([16]Base!BE15/[16]Base!BE$76*BE$4,0)</f>
        <v>0</v>
      </c>
      <c r="BF15" s="1083">
        <f>IFERROR([16]Base!BF15/[16]Base!BF$76*BF$4,0)</f>
        <v>2293.7094972067039</v>
      </c>
      <c r="BG15" s="1083">
        <f>IFERROR([16]Base!BG15/[16]Base!BG$76*BG$4,0)</f>
        <v>0</v>
      </c>
      <c r="BH15" s="1083">
        <f>IFERROR([16]Base!BH15/[16]Base!BH$76*BH$4,0)</f>
        <v>0</v>
      </c>
      <c r="BI15" s="1083">
        <f t="shared" si="2"/>
        <v>5247510.9163705418</v>
      </c>
    </row>
    <row r="16" spans="1:61" s="270" customFormat="1" ht="16.149999999999999" customHeight="1" x14ac:dyDescent="0.2">
      <c r="A16" s="277" t="s">
        <v>91</v>
      </c>
      <c r="B16" s="262" t="s">
        <v>148</v>
      </c>
      <c r="C16" s="1085">
        <f>'3B_Pay Raise'!O16</f>
        <v>5044849</v>
      </c>
      <c r="D16" s="1085"/>
      <c r="E16" s="1085">
        <f>IFERROR([16]Base!E16/[16]Base!E$76*E$4,0)</f>
        <v>0</v>
      </c>
      <c r="F16" s="1085">
        <f>IFERROR([16]Base!F16/[16]Base!F$76*F$4,0)</f>
        <v>0</v>
      </c>
      <c r="G16" s="1085">
        <f>IFERROR([16]Base!G16/[16]Base!G$76*G$4,0)</f>
        <v>0</v>
      </c>
      <c r="H16" s="1085">
        <f>IFERROR([16]Base!H16/[16]Base!H$76*H$4,0)</f>
        <v>0</v>
      </c>
      <c r="I16" s="1085">
        <f>IFERROR([16]Base!I16/[16]Base!I$76*I$4,0)</f>
        <v>0</v>
      </c>
      <c r="J16" s="1085">
        <f>IFERROR([16]Base!J16/[16]Base!J$76*J$4,0)</f>
        <v>98633.113708820412</v>
      </c>
      <c r="K16" s="1085">
        <f>IFERROR([16]Base!K16/[16]Base!K$76*K$4,0)</f>
        <v>0</v>
      </c>
      <c r="L16" s="1085">
        <f>IFERROR([16]Base!L16/[16]Base!L$76*L$4,0)</f>
        <v>78537.064841498563</v>
      </c>
      <c r="M16" s="1085">
        <f>IFERROR([16]Base!M16/[16]Base!M$76*M$4,0)</f>
        <v>0</v>
      </c>
      <c r="N16" s="1085">
        <f>IFERROR([16]Base!N16/[16]Base!N$76*N$4,0)</f>
        <v>0</v>
      </c>
      <c r="O16" s="1085">
        <f>IFERROR([16]Base!O16/[16]Base!O$76*O$4,0)</f>
        <v>0</v>
      </c>
      <c r="P16" s="1085">
        <f>IFERROR([16]Base!P16/[16]Base!P$76*P$4,0)</f>
        <v>0</v>
      </c>
      <c r="Q16" s="1085">
        <f>IFERROR([16]Base!Q16/[16]Base!Q$76*Q$4,0)</f>
        <v>0</v>
      </c>
      <c r="R16" s="1085"/>
      <c r="S16" s="1085">
        <f>IFERROR([16]Base!S16/[16]Base!S$76*S$4,0)</f>
        <v>0</v>
      </c>
      <c r="T16" s="1085">
        <f>IFERROR([16]Base!T16/[16]Base!T$76*T$4,0)</f>
        <v>0</v>
      </c>
      <c r="U16" s="1085">
        <f>IFERROR([16]Base!U16/[16]Base!U$76*U$4,0)</f>
        <v>59883.946428571428</v>
      </c>
      <c r="V16" s="1085">
        <f>IFERROR([16]Base!V16/[16]Base!V$76*V$4,0)</f>
        <v>0</v>
      </c>
      <c r="W16" s="1085">
        <f>IFERROR([16]Base!W16/[16]Base!W$76*W$4,0)</f>
        <v>0</v>
      </c>
      <c r="X16" s="1085">
        <f>IFERROR([16]Base!X16/[16]Base!X$76*X$4,0)</f>
        <v>0</v>
      </c>
      <c r="Y16" s="1085">
        <f>IFERROR([16]Base!Y16/[16]Base!Y$76*Y$4,0)</f>
        <v>0</v>
      </c>
      <c r="Z16" s="1085"/>
      <c r="AA16" s="1085">
        <f>IFERROR([16]Base!AA16/[16]Base!AA$76*AA$4,0)</f>
        <v>0</v>
      </c>
      <c r="AB16" s="1085">
        <f>IFERROR([16]Base!AB16/[16]Base!AB$76*AB$4,0)</f>
        <v>0</v>
      </c>
      <c r="AC16" s="1085"/>
      <c r="AD16" s="1085"/>
      <c r="AE16" s="1085"/>
      <c r="AF16" s="1085">
        <f>IFERROR([16]Base!AF16/[16]Base!AF$76*AF$4,0)</f>
        <v>0</v>
      </c>
      <c r="AG16" s="1085">
        <f>IFERROR([16]Base!AG16/[16]Base!AG$76*AG$4,0)</f>
        <v>0</v>
      </c>
      <c r="AH16" s="1085">
        <f>IFERROR([16]Base!AH16/[16]Base!AH$76*AH$4,0)</f>
        <v>0</v>
      </c>
      <c r="AI16" s="1085">
        <f>IFERROR([16]Base!AI16/[16]Base!AI$76*AI$4,0)</f>
        <v>0</v>
      </c>
      <c r="AJ16" s="1085">
        <f>IFERROR([16]Base!AJ16/[16]Base!AJ$76*AJ$4,0)</f>
        <v>0</v>
      </c>
      <c r="AK16" s="1085">
        <f>IFERROR([16]Base!AK16/[16]Base!AK$76*AK$4,0)</f>
        <v>0</v>
      </c>
      <c r="AL16" s="1085">
        <f>IFERROR([16]Base!AL16/[16]Base!AL$76*AL$4,0)</f>
        <v>0</v>
      </c>
      <c r="AM16" s="1085">
        <f>IFERROR([16]Base!AM16/[16]Base!AM$76*AM$4,0)</f>
        <v>0</v>
      </c>
      <c r="AN16" s="1085">
        <f>IFERROR([16]Base!AN16/[16]Base!AN$76*AN$4,0)</f>
        <v>0</v>
      </c>
      <c r="AO16" s="1085">
        <f>IFERROR('8_2.1.19 SIS'!AO16/'8_2.1.19 SIS'!AO$76*AO$4,0)</f>
        <v>0</v>
      </c>
      <c r="AP16" s="1085">
        <f>IFERROR('8_2.1.19 SIS'!AP16/'8_2.1.19 SIS'!AP$76*AP$4,0)</f>
        <v>0</v>
      </c>
      <c r="AQ16" s="1085">
        <f>IFERROR('8_2.1.19 SIS'!AQ16/'8_2.1.19 SIS'!AQ$76*AQ$4,0)</f>
        <v>0</v>
      </c>
      <c r="AR16" s="1085">
        <f>IFERROR('8_2.1.19 SIS'!AR16/'8_2.1.19 SIS'!AR$76*AR$4,0)</f>
        <v>0</v>
      </c>
      <c r="AS16" s="1085">
        <f>IFERROR('8_2.1.19 SIS'!AS16/'8_2.1.19 SIS'!AS$76*AS$4,0)</f>
        <v>0</v>
      </c>
      <c r="AT16" s="1085">
        <f>IFERROR([16]Base!AT16/[16]Base!AT$76*AT$4,0)</f>
        <v>4033.932291666667</v>
      </c>
      <c r="AU16" s="1085">
        <f>IFERROR([16]Base!AU16/[16]Base!AU$76*AU$4,0)</f>
        <v>9434.5947978690056</v>
      </c>
      <c r="AV16" s="1086">
        <f t="shared" si="1"/>
        <v>5295371.6520684268</v>
      </c>
      <c r="AW16" s="1085">
        <f>IFERROR([16]Base!AW16/[16]Base!AW$76*AW$4,0)</f>
        <v>0</v>
      </c>
      <c r="AX16" s="1085">
        <f>IFERROR([16]Base!AX16/[16]Base!AX$76*AX$4,0)</f>
        <v>0</v>
      </c>
      <c r="AY16" s="1085">
        <f>IFERROR([16]Base!AY16/[16]Base!AY$76*AY$4,0)</f>
        <v>0</v>
      </c>
      <c r="AZ16" s="1085">
        <f>IFERROR([16]Base!AZ16/[16]Base!AZ$76*AZ$4,0)</f>
        <v>92.962008141112605</v>
      </c>
      <c r="BA16" s="1085">
        <f>IFERROR([16]Base!BA16/[16]Base!BA$76*BA$4,0)</f>
        <v>0</v>
      </c>
      <c r="BB16" s="1085">
        <f>IFERROR([16]Base!BB16/[16]Base!BB$76*BB$4,0)</f>
        <v>0</v>
      </c>
      <c r="BC16" s="1085">
        <f>IFERROR([16]Base!BC16/[16]Base!BC$76*BC$4,0)</f>
        <v>0</v>
      </c>
      <c r="BD16" s="1085">
        <f>IFERROR([16]Base!BD16/[16]Base!BD$76*BD$4,0)</f>
        <v>0</v>
      </c>
      <c r="BE16" s="1085">
        <f>IFERROR([16]Base!BE16/[16]Base!BE$76*BE$4,0)</f>
        <v>0</v>
      </c>
      <c r="BF16" s="1085">
        <f>IFERROR([16]Base!BF16/[16]Base!BF$76*BF$4,0)</f>
        <v>5925.4162011173185</v>
      </c>
      <c r="BG16" s="1085">
        <f>IFERROR([16]Base!BG16/[16]Base!BG$76*BG$4,0)</f>
        <v>0</v>
      </c>
      <c r="BH16" s="1087">
        <f>IFERROR([16]Base!BH16/[16]Base!BH$76*BH$4,0)</f>
        <v>0</v>
      </c>
      <c r="BI16" s="1085">
        <f t="shared" si="2"/>
        <v>5301390.0302776853</v>
      </c>
    </row>
    <row r="17" spans="1:61" s="270" customFormat="1" ht="16.149999999999999" customHeight="1" x14ac:dyDescent="0.2">
      <c r="A17" s="273" t="s">
        <v>92</v>
      </c>
      <c r="B17" s="264" t="s">
        <v>149</v>
      </c>
      <c r="C17" s="1079">
        <f>'3B_Pay Raise'!O17</f>
        <v>267468</v>
      </c>
      <c r="D17" s="1079"/>
      <c r="E17" s="1079">
        <f>IFERROR([16]Base!E17/[16]Base!E$76*E$4,0)</f>
        <v>0</v>
      </c>
      <c r="F17" s="1079">
        <f>IFERROR([16]Base!F17/[16]Base!F$76*F$4,0)</f>
        <v>0</v>
      </c>
      <c r="G17" s="1079">
        <f>IFERROR([16]Base!G17/[16]Base!G$76*G$4,0)</f>
        <v>0</v>
      </c>
      <c r="H17" s="1079">
        <f>IFERROR([16]Base!H17/[16]Base!H$76*H$4,0)</f>
        <v>0</v>
      </c>
      <c r="I17" s="1079">
        <f>IFERROR([16]Base!I17/[16]Base!I$76*I$4,0)</f>
        <v>0</v>
      </c>
      <c r="J17" s="1079">
        <f>IFERROR([16]Base!J17/[16]Base!J$76*J$4,0)</f>
        <v>0</v>
      </c>
      <c r="K17" s="1079">
        <f>IFERROR([16]Base!K17/[16]Base!K$76*K$4,0)</f>
        <v>0</v>
      </c>
      <c r="L17" s="1079">
        <f>IFERROR([16]Base!L17/[16]Base!L$76*L$4,0)</f>
        <v>0</v>
      </c>
      <c r="M17" s="1079">
        <f>IFERROR([16]Base!M17/[16]Base!M$76*M$4,0)</f>
        <v>0</v>
      </c>
      <c r="N17" s="1079">
        <f>IFERROR([16]Base!N17/[16]Base!N$76*N$4,0)</f>
        <v>0</v>
      </c>
      <c r="O17" s="1079">
        <f>IFERROR([16]Base!O17/[16]Base!O$76*O$4,0)</f>
        <v>0</v>
      </c>
      <c r="P17" s="1079">
        <f>IFERROR([16]Base!P17/[16]Base!P$76*P$4,0)</f>
        <v>0</v>
      </c>
      <c r="Q17" s="1079">
        <f>IFERROR([16]Base!Q17/[16]Base!Q$76*Q$4,0)</f>
        <v>0</v>
      </c>
      <c r="R17" s="1079"/>
      <c r="S17" s="1079">
        <f>IFERROR([16]Base!S17/[16]Base!S$76*S$4,0)</f>
        <v>0</v>
      </c>
      <c r="T17" s="1079">
        <f>IFERROR([16]Base!T17/[16]Base!T$76*T$4,0)</f>
        <v>0</v>
      </c>
      <c r="U17" s="1079">
        <f>IFERROR([16]Base!U17/[16]Base!U$76*U$4,0)</f>
        <v>0</v>
      </c>
      <c r="V17" s="1079">
        <f>IFERROR([16]Base!V17/[16]Base!V$76*V$4,0)</f>
        <v>0</v>
      </c>
      <c r="W17" s="1079">
        <f>IFERROR([16]Base!W17/[16]Base!W$76*W$4,0)</f>
        <v>0</v>
      </c>
      <c r="X17" s="1079">
        <f>IFERROR([16]Base!X17/[16]Base!X$76*X$4,0)</f>
        <v>0</v>
      </c>
      <c r="Y17" s="1079">
        <f>IFERROR([16]Base!Y17/[16]Base!Y$76*Y$4,0)</f>
        <v>0</v>
      </c>
      <c r="Z17" s="1079"/>
      <c r="AA17" s="1079">
        <f>IFERROR([16]Base!AA17/[16]Base!AA$76*AA$4,0)</f>
        <v>0</v>
      </c>
      <c r="AB17" s="1080">
        <f>IFERROR([16]Base!AB17/[16]Base!AB$76*AB$4,0)</f>
        <v>0</v>
      </c>
      <c r="AC17" s="1080"/>
      <c r="AD17" s="1080"/>
      <c r="AE17" s="1080"/>
      <c r="AF17" s="1080">
        <f>IFERROR([16]Base!AF17/[16]Base!AF$76*AF$4,0)</f>
        <v>0</v>
      </c>
      <c r="AG17" s="1080">
        <f>IFERROR([16]Base!AG17/[16]Base!AG$76*AG$4,0)</f>
        <v>0</v>
      </c>
      <c r="AH17" s="1080">
        <f>IFERROR([16]Base!AH17/[16]Base!AH$76*AH$4,0)</f>
        <v>0</v>
      </c>
      <c r="AI17" s="1080">
        <f>IFERROR([16]Base!AI17/[16]Base!AI$76*AI$4,0)</f>
        <v>0</v>
      </c>
      <c r="AJ17" s="1080">
        <f>IFERROR([16]Base!AJ17/[16]Base!AJ$76*AJ$4,0)</f>
        <v>0</v>
      </c>
      <c r="AK17" s="1080">
        <f>IFERROR([16]Base!AK17/[16]Base!AK$76*AK$4,0)</f>
        <v>0</v>
      </c>
      <c r="AL17" s="1080">
        <f>IFERROR([16]Base!AL17/[16]Base!AL$76*AL$4,0)</f>
        <v>0</v>
      </c>
      <c r="AM17" s="1080">
        <f>IFERROR([16]Base!AM17/[16]Base!AM$76*AM$4,0)</f>
        <v>0</v>
      </c>
      <c r="AN17" s="1080">
        <f>IFERROR([16]Base!AN17/[16]Base!AN$76*AN$4,0)</f>
        <v>0</v>
      </c>
      <c r="AO17" s="1080">
        <f>IFERROR('8_2.1.19 SIS'!AO17/'8_2.1.19 SIS'!AO$76*AO$4,0)</f>
        <v>0</v>
      </c>
      <c r="AP17" s="1080">
        <f>IFERROR('8_2.1.19 SIS'!AP17/'8_2.1.19 SIS'!AP$76*AP$4,0)</f>
        <v>0</v>
      </c>
      <c r="AQ17" s="1080">
        <f>IFERROR('8_2.1.19 SIS'!AQ17/'8_2.1.19 SIS'!AQ$76*AQ$4,0)</f>
        <v>0</v>
      </c>
      <c r="AR17" s="1080">
        <f>IFERROR('8_2.1.19 SIS'!AR17/'8_2.1.19 SIS'!AR$76*AR$4,0)</f>
        <v>0</v>
      </c>
      <c r="AS17" s="1080">
        <f>IFERROR('8_2.1.19 SIS'!AS17/'8_2.1.19 SIS'!AS$76*AS$4,0)</f>
        <v>0</v>
      </c>
      <c r="AT17" s="1079">
        <f>IFERROR([16]Base!AT17/[16]Base!AT$76*AT$4,0)</f>
        <v>57.627604166666664</v>
      </c>
      <c r="AU17" s="1079">
        <f>IFERROR([16]Base!AU17/[16]Base!AU$76*AU$4,0)</f>
        <v>491.38514572234408</v>
      </c>
      <c r="AV17" s="1081">
        <f t="shared" si="1"/>
        <v>268017.01274988905</v>
      </c>
      <c r="AW17" s="1079">
        <f>IFERROR([16]Base!AW17/[16]Base!AW$76*AW$4,0)</f>
        <v>0</v>
      </c>
      <c r="AX17" s="1079">
        <f>IFERROR([16]Base!AX17/[16]Base!AX$76*AX$4,0)</f>
        <v>0</v>
      </c>
      <c r="AY17" s="1079">
        <f>IFERROR([16]Base!AY17/[16]Base!AY$76*AY$4,0)</f>
        <v>0</v>
      </c>
      <c r="AZ17" s="1079">
        <f>IFERROR([16]Base!AZ17/[16]Base!AZ$76*AZ$4,0)</f>
        <v>0</v>
      </c>
      <c r="BA17" s="1079">
        <f>IFERROR([16]Base!BA17/[16]Base!BA$76*BA$4,0)</f>
        <v>0</v>
      </c>
      <c r="BB17" s="1079">
        <f>IFERROR([16]Base!BB17/[16]Base!BB$76*BB$4,0)</f>
        <v>0</v>
      </c>
      <c r="BC17" s="1079">
        <f>IFERROR([16]Base!BC17/[16]Base!BC$76*BC$4,0)</f>
        <v>0</v>
      </c>
      <c r="BD17" s="1079">
        <f>IFERROR([16]Base!BD17/[16]Base!BD$76*BD$4,0)</f>
        <v>0</v>
      </c>
      <c r="BE17" s="1079">
        <f>IFERROR([16]Base!BE17/[16]Base!BE$76*BE$4,0)</f>
        <v>0</v>
      </c>
      <c r="BF17" s="1079">
        <f>IFERROR([16]Base!BF17/[16]Base!BF$76*BF$4,0)</f>
        <v>191.14245810055866</v>
      </c>
      <c r="BG17" s="1079">
        <f>IFERROR([16]Base!BG17/[16]Base!BG$76*BG$4,0)</f>
        <v>0</v>
      </c>
      <c r="BH17" s="1082">
        <f>IFERROR([16]Base!BH17/[16]Base!BH$76*BH$4,0)</f>
        <v>0</v>
      </c>
      <c r="BI17" s="1079">
        <f t="shared" si="2"/>
        <v>268208.15520798962</v>
      </c>
    </row>
    <row r="18" spans="1:61" s="270" customFormat="1" ht="16.149999999999999" customHeight="1" x14ac:dyDescent="0.2">
      <c r="A18" s="275" t="s">
        <v>150</v>
      </c>
      <c r="B18" s="260" t="s">
        <v>151</v>
      </c>
      <c r="C18" s="1083">
        <f>'3B_Pay Raise'!O18</f>
        <v>271281</v>
      </c>
      <c r="D18" s="1083"/>
      <c r="E18" s="1083">
        <f>IFERROR([16]Base!E18/[16]Base!E$76*E$4,0)</f>
        <v>0</v>
      </c>
      <c r="F18" s="1083">
        <f>IFERROR([16]Base!F18/[16]Base!F$76*F$4,0)</f>
        <v>0</v>
      </c>
      <c r="G18" s="1083">
        <f>IFERROR([16]Base!G18/[16]Base!G$76*G$4,0)</f>
        <v>0</v>
      </c>
      <c r="H18" s="1083">
        <f>IFERROR([16]Base!H18/[16]Base!H$76*H$4,0)</f>
        <v>0</v>
      </c>
      <c r="I18" s="1083">
        <f>IFERROR([16]Base!I18/[16]Base!I$76*I$4,0)</f>
        <v>0</v>
      </c>
      <c r="J18" s="1083">
        <f>IFERROR([16]Base!J18/[16]Base!J$76*J$4,0)</f>
        <v>0</v>
      </c>
      <c r="K18" s="1083">
        <f>IFERROR([16]Base!K18/[16]Base!K$76*K$4,0)</f>
        <v>0</v>
      </c>
      <c r="L18" s="1083">
        <f>IFERROR([16]Base!L18/[16]Base!L$76*L$4,0)</f>
        <v>341.96109510086455</v>
      </c>
      <c r="M18" s="1083">
        <f>IFERROR([16]Base!M18/[16]Base!M$76*M$4,0)</f>
        <v>0</v>
      </c>
      <c r="N18" s="1083">
        <f>IFERROR([16]Base!N18/[16]Base!N$76*N$4,0)</f>
        <v>0</v>
      </c>
      <c r="O18" s="1083">
        <f>IFERROR([16]Base!O18/[16]Base!O$76*O$4,0)</f>
        <v>0</v>
      </c>
      <c r="P18" s="1083">
        <f>IFERROR([16]Base!P18/[16]Base!P$76*P$4,0)</f>
        <v>0</v>
      </c>
      <c r="Q18" s="1083">
        <f>IFERROR([16]Base!Q18/[16]Base!Q$76*Q$4,0)</f>
        <v>0</v>
      </c>
      <c r="R18" s="1083"/>
      <c r="S18" s="1083">
        <f>IFERROR([16]Base!S18/[16]Base!S$76*S$4,0)</f>
        <v>0</v>
      </c>
      <c r="T18" s="1083">
        <f>IFERROR([16]Base!T18/[16]Base!T$76*T$4,0)</f>
        <v>0</v>
      </c>
      <c r="U18" s="1083">
        <f>IFERROR([16]Base!U18/[16]Base!U$76*U$4,0)</f>
        <v>0</v>
      </c>
      <c r="V18" s="1083">
        <f>IFERROR([16]Base!V18/[16]Base!V$76*V$4,0)</f>
        <v>0</v>
      </c>
      <c r="W18" s="1083">
        <f>IFERROR([16]Base!W18/[16]Base!W$76*W$4,0)</f>
        <v>0</v>
      </c>
      <c r="X18" s="1083">
        <f>IFERROR([16]Base!X18/[16]Base!X$76*X$4,0)</f>
        <v>0</v>
      </c>
      <c r="Y18" s="1083">
        <f>IFERROR([16]Base!Y18/[16]Base!Y$76*Y$4,0)</f>
        <v>0</v>
      </c>
      <c r="Z18" s="1083"/>
      <c r="AA18" s="1083">
        <f>IFERROR([16]Base!AA18/[16]Base!AA$76*AA$4,0)</f>
        <v>0</v>
      </c>
      <c r="AB18" s="1083">
        <f>IFERROR([16]Base!AB18/[16]Base!AB$76*AB$4,0)</f>
        <v>0</v>
      </c>
      <c r="AC18" s="1083"/>
      <c r="AD18" s="1083"/>
      <c r="AE18" s="1083"/>
      <c r="AF18" s="1083">
        <f>IFERROR([16]Base!AF18/[16]Base!AF$76*AF$4,0)</f>
        <v>0</v>
      </c>
      <c r="AG18" s="1083">
        <f>IFERROR([16]Base!AG18/[16]Base!AG$76*AG$4,0)</f>
        <v>0</v>
      </c>
      <c r="AH18" s="1083">
        <f>IFERROR([16]Base!AH18/[16]Base!AH$76*AH$4,0)</f>
        <v>0</v>
      </c>
      <c r="AI18" s="1083">
        <f>IFERROR([16]Base!AI18/[16]Base!AI$76*AI$4,0)</f>
        <v>0</v>
      </c>
      <c r="AJ18" s="1083">
        <f>IFERROR([16]Base!AJ18/[16]Base!AJ$76*AJ$4,0)</f>
        <v>0</v>
      </c>
      <c r="AK18" s="1083">
        <f>IFERROR([16]Base!AK18/[16]Base!AK$76*AK$4,0)</f>
        <v>0</v>
      </c>
      <c r="AL18" s="1083">
        <f>IFERROR([16]Base!AL18/[16]Base!AL$76*AL$4,0)</f>
        <v>0</v>
      </c>
      <c r="AM18" s="1083">
        <f>IFERROR([16]Base!AM18/[16]Base!AM$76*AM$4,0)</f>
        <v>0</v>
      </c>
      <c r="AN18" s="1083">
        <f>IFERROR([16]Base!AN18/[16]Base!AN$76*AN$4,0)</f>
        <v>0</v>
      </c>
      <c r="AO18" s="1083">
        <f>IFERROR('8_2.1.19 SIS'!AO18/'8_2.1.19 SIS'!AO$76*AO$4,0)</f>
        <v>0</v>
      </c>
      <c r="AP18" s="1083">
        <f>IFERROR('8_2.1.19 SIS'!AP18/'8_2.1.19 SIS'!AP$76*AP$4,0)</f>
        <v>0</v>
      </c>
      <c r="AQ18" s="1083">
        <f>IFERROR('8_2.1.19 SIS'!AQ18/'8_2.1.19 SIS'!AQ$76*AQ$4,0)</f>
        <v>0</v>
      </c>
      <c r="AR18" s="1083">
        <f>IFERROR('8_2.1.19 SIS'!AR18/'8_2.1.19 SIS'!AR$76*AR$4,0)</f>
        <v>0</v>
      </c>
      <c r="AS18" s="1083">
        <f>IFERROR('8_2.1.19 SIS'!AS18/'8_2.1.19 SIS'!AS$76*AS$4,0)</f>
        <v>0</v>
      </c>
      <c r="AT18" s="1083">
        <f>IFERROR([16]Base!AT18/[16]Base!AT$76*AT$4,0)</f>
        <v>0</v>
      </c>
      <c r="AU18" s="1083">
        <f>IFERROR([16]Base!AU18/[16]Base!AU$76*AU$4,0)</f>
        <v>0</v>
      </c>
      <c r="AV18" s="1084">
        <f t="shared" si="1"/>
        <v>271622.96109510085</v>
      </c>
      <c r="AW18" s="1083">
        <f>IFERROR([16]Base!AW18/[16]Base!AW$76*AW$4,0)</f>
        <v>0</v>
      </c>
      <c r="AX18" s="1083">
        <f>IFERROR([16]Base!AX18/[16]Base!AX$76*AX$4,0)</f>
        <v>0</v>
      </c>
      <c r="AY18" s="1083">
        <f>IFERROR([16]Base!AY18/[16]Base!AY$76*AY$4,0)</f>
        <v>0</v>
      </c>
      <c r="AZ18" s="1083">
        <f>IFERROR([16]Base!AZ18/[16]Base!AZ$76*AZ$4,0)</f>
        <v>0</v>
      </c>
      <c r="BA18" s="1083">
        <f>IFERROR([16]Base!BA18/[16]Base!BA$76*BA$4,0)</f>
        <v>0</v>
      </c>
      <c r="BB18" s="1083">
        <f>IFERROR([16]Base!BB18/[16]Base!BB$76*BB$4,0)</f>
        <v>0</v>
      </c>
      <c r="BC18" s="1083">
        <f>IFERROR([16]Base!BC18/[16]Base!BC$76*BC$4,0)</f>
        <v>0</v>
      </c>
      <c r="BD18" s="1083">
        <f>IFERROR([16]Base!BD18/[16]Base!BD$76*BD$4,0)</f>
        <v>0</v>
      </c>
      <c r="BE18" s="1083">
        <f>IFERROR([16]Base!BE18/[16]Base!BE$76*BE$4,0)</f>
        <v>0</v>
      </c>
      <c r="BF18" s="1083">
        <f>IFERROR([16]Base!BF18/[16]Base!BF$76*BF$4,0)</f>
        <v>0</v>
      </c>
      <c r="BG18" s="1083">
        <f>IFERROR([16]Base!BG18/[16]Base!BG$76*BG$4,0)</f>
        <v>0</v>
      </c>
      <c r="BH18" s="1083">
        <f>IFERROR([16]Base!BH18/[16]Base!BH$76*BH$4,0)</f>
        <v>0</v>
      </c>
      <c r="BI18" s="1083">
        <f t="shared" si="2"/>
        <v>271622.96109510085</v>
      </c>
    </row>
    <row r="19" spans="1:61" s="270" customFormat="1" ht="16.149999999999999" customHeight="1" x14ac:dyDescent="0.2">
      <c r="A19" s="275" t="s">
        <v>152</v>
      </c>
      <c r="B19" s="260" t="s">
        <v>153</v>
      </c>
      <c r="C19" s="1083">
        <f>'3B_Pay Raise'!O19</f>
        <v>197586</v>
      </c>
      <c r="D19" s="1083"/>
      <c r="E19" s="1083">
        <f>IFERROR([16]Base!E19/[16]Base!E$76*E$4,0)</f>
        <v>0</v>
      </c>
      <c r="F19" s="1083">
        <f>IFERROR([16]Base!F19/[16]Base!F$76*F$4,0)</f>
        <v>0</v>
      </c>
      <c r="G19" s="1083">
        <f>IFERROR([16]Base!G19/[16]Base!G$76*G$4,0)</f>
        <v>0</v>
      </c>
      <c r="H19" s="1083">
        <f>IFERROR([16]Base!H19/[16]Base!H$76*H$4,0)</f>
        <v>0</v>
      </c>
      <c r="I19" s="1083">
        <f>IFERROR([16]Base!I19/[16]Base!I$76*I$4,0)</f>
        <v>0</v>
      </c>
      <c r="J19" s="1083">
        <f>IFERROR([16]Base!J19/[16]Base!J$76*J$4,0)</f>
        <v>0</v>
      </c>
      <c r="K19" s="1083">
        <f>IFERROR([16]Base!K19/[16]Base!K$76*K$4,0)</f>
        <v>0</v>
      </c>
      <c r="L19" s="1083">
        <f>IFERROR([16]Base!L19/[16]Base!L$76*L$4,0)</f>
        <v>0</v>
      </c>
      <c r="M19" s="1083">
        <f>IFERROR([16]Base!M19/[16]Base!M$76*M$4,0)</f>
        <v>0</v>
      </c>
      <c r="N19" s="1083">
        <f>IFERROR([16]Base!N19/[16]Base!N$76*N$4,0)</f>
        <v>0</v>
      </c>
      <c r="O19" s="1083">
        <f>IFERROR([16]Base!O19/[16]Base!O$76*O$4,0)</f>
        <v>0</v>
      </c>
      <c r="P19" s="1083">
        <f>IFERROR([16]Base!P19/[16]Base!P$76*P$4,0)</f>
        <v>11413.588607594937</v>
      </c>
      <c r="Q19" s="1083">
        <f>IFERROR([16]Base!Q19/[16]Base!Q$76*Q$4,0)</f>
        <v>0</v>
      </c>
      <c r="R19" s="1083"/>
      <c r="S19" s="1083">
        <f>IFERROR([16]Base!S19/[16]Base!S$76*S$4,0)</f>
        <v>0</v>
      </c>
      <c r="T19" s="1083">
        <f>IFERROR([16]Base!T19/[16]Base!T$76*T$4,0)</f>
        <v>0</v>
      </c>
      <c r="U19" s="1083">
        <f>IFERROR([16]Base!U19/[16]Base!U$76*U$4,0)</f>
        <v>0</v>
      </c>
      <c r="V19" s="1083">
        <f>IFERROR([16]Base!V19/[16]Base!V$76*V$4,0)</f>
        <v>0</v>
      </c>
      <c r="W19" s="1083">
        <f>IFERROR([16]Base!W19/[16]Base!W$76*W$4,0)</f>
        <v>0</v>
      </c>
      <c r="X19" s="1083">
        <f>IFERROR([16]Base!X19/[16]Base!X$76*X$4,0)</f>
        <v>0</v>
      </c>
      <c r="Y19" s="1083">
        <f>IFERROR([16]Base!Y19/[16]Base!Y$76*Y$4,0)</f>
        <v>0</v>
      </c>
      <c r="Z19" s="1083"/>
      <c r="AA19" s="1083">
        <f>IFERROR([16]Base!AA19/[16]Base!AA$76*AA$4,0)</f>
        <v>0</v>
      </c>
      <c r="AB19" s="1083">
        <f>IFERROR([16]Base!AB19/[16]Base!AB$76*AB$4,0)</f>
        <v>0</v>
      </c>
      <c r="AC19" s="1083"/>
      <c r="AD19" s="1083"/>
      <c r="AE19" s="1083"/>
      <c r="AF19" s="1083">
        <f>IFERROR([16]Base!AF19/[16]Base!AF$76*AF$4,0)</f>
        <v>0</v>
      </c>
      <c r="AG19" s="1083">
        <f>IFERROR([16]Base!AG19/[16]Base!AG$76*AG$4,0)</f>
        <v>0</v>
      </c>
      <c r="AH19" s="1083">
        <f>IFERROR([16]Base!AH19/[16]Base!AH$76*AH$4,0)</f>
        <v>0</v>
      </c>
      <c r="AI19" s="1083">
        <f>IFERROR([16]Base!AI19/[16]Base!AI$76*AI$4,0)</f>
        <v>0</v>
      </c>
      <c r="AJ19" s="1083">
        <f>IFERROR([16]Base!AJ19/[16]Base!AJ$76*AJ$4,0)</f>
        <v>0</v>
      </c>
      <c r="AK19" s="1083">
        <f>IFERROR([16]Base!AK19/[16]Base!AK$76*AK$4,0)</f>
        <v>0</v>
      </c>
      <c r="AL19" s="1083">
        <f>IFERROR([16]Base!AL19/[16]Base!AL$76*AL$4,0)</f>
        <v>0</v>
      </c>
      <c r="AM19" s="1083">
        <f>IFERROR([16]Base!AM19/[16]Base!AM$76*AM$4,0)</f>
        <v>0</v>
      </c>
      <c r="AN19" s="1083">
        <f>IFERROR([16]Base!AN19/[16]Base!AN$76*AN$4,0)</f>
        <v>0</v>
      </c>
      <c r="AO19" s="1083">
        <f>IFERROR('8_2.1.19 SIS'!AO19/'8_2.1.19 SIS'!AO$76*AO$4,0)</f>
        <v>0</v>
      </c>
      <c r="AP19" s="1083">
        <f>IFERROR('8_2.1.19 SIS'!AP19/'8_2.1.19 SIS'!AP$76*AP$4,0)</f>
        <v>0</v>
      </c>
      <c r="AQ19" s="1083">
        <f>IFERROR('8_2.1.19 SIS'!AQ19/'8_2.1.19 SIS'!AQ$76*AQ$4,0)</f>
        <v>0</v>
      </c>
      <c r="AR19" s="1083">
        <f>IFERROR('8_2.1.19 SIS'!AR19/'8_2.1.19 SIS'!AR$76*AR$4,0)</f>
        <v>0</v>
      </c>
      <c r="AS19" s="1083">
        <f>IFERROR('8_2.1.19 SIS'!AS19/'8_2.1.19 SIS'!AS$76*AS$4,0)</f>
        <v>0</v>
      </c>
      <c r="AT19" s="1083">
        <f>IFERROR([16]Base!AT19/[16]Base!AT$76*AT$4,0)</f>
        <v>403.39322916666669</v>
      </c>
      <c r="AU19" s="1083">
        <f>IFERROR([16]Base!AU19/[16]Base!AU$76*AU$4,0)</f>
        <v>687.93920401128173</v>
      </c>
      <c r="AV19" s="1084">
        <f t="shared" si="1"/>
        <v>210090.92104077287</v>
      </c>
      <c r="AW19" s="1083">
        <f>IFERROR([16]Base!AW19/[16]Base!AW$76*AW$4,0)</f>
        <v>0</v>
      </c>
      <c r="AX19" s="1083">
        <f>IFERROR([16]Base!AX19/[16]Base!AX$76*AX$4,0)</f>
        <v>0</v>
      </c>
      <c r="AY19" s="1083">
        <f>IFERROR([16]Base!AY19/[16]Base!AY$76*AY$4,0)</f>
        <v>0</v>
      </c>
      <c r="AZ19" s="1083">
        <f>IFERROR([16]Base!AZ19/[16]Base!AZ$76*AZ$4,0)</f>
        <v>0</v>
      </c>
      <c r="BA19" s="1083">
        <f>IFERROR([16]Base!BA19/[16]Base!BA$76*BA$4,0)</f>
        <v>0</v>
      </c>
      <c r="BB19" s="1083">
        <f>IFERROR([16]Base!BB19/[16]Base!BB$76*BB$4,0)</f>
        <v>0</v>
      </c>
      <c r="BC19" s="1083">
        <f>IFERROR([16]Base!BC19/[16]Base!BC$76*BC$4,0)</f>
        <v>0</v>
      </c>
      <c r="BD19" s="1083">
        <f>IFERROR([16]Base!BD19/[16]Base!BD$76*BD$4,0)</f>
        <v>0</v>
      </c>
      <c r="BE19" s="1083">
        <f>IFERROR([16]Base!BE19/[16]Base!BE$76*BE$4,0)</f>
        <v>0</v>
      </c>
      <c r="BF19" s="1083">
        <f>IFERROR([16]Base!BF19/[16]Base!BF$76*BF$4,0)</f>
        <v>0</v>
      </c>
      <c r="BG19" s="1083">
        <f>IFERROR([16]Base!BG19/[16]Base!BG$76*BG$4,0)</f>
        <v>0</v>
      </c>
      <c r="BH19" s="1083">
        <f>IFERROR([16]Base!BH19/[16]Base!BH$76*BH$4,0)</f>
        <v>0</v>
      </c>
      <c r="BI19" s="1083">
        <f t="shared" si="2"/>
        <v>210090.92104077287</v>
      </c>
    </row>
    <row r="20" spans="1:61" s="270" customFormat="1" ht="16.149999999999999" customHeight="1" x14ac:dyDescent="0.2">
      <c r="A20" s="275" t="s">
        <v>154</v>
      </c>
      <c r="B20" s="260" t="s">
        <v>155</v>
      </c>
      <c r="C20" s="1083">
        <f>'3B_Pay Raise'!O20</f>
        <v>267137</v>
      </c>
      <c r="D20" s="1083"/>
      <c r="E20" s="1083">
        <f>IFERROR([16]Base!E20/[16]Base!E$76*E$4,0)</f>
        <v>0</v>
      </c>
      <c r="F20" s="1083">
        <f>IFERROR([16]Base!F20/[16]Base!F$76*F$4,0)</f>
        <v>107.1064483111566</v>
      </c>
      <c r="G20" s="1083">
        <f>IFERROR([16]Base!G20/[16]Base!G$76*G$4,0)</f>
        <v>0</v>
      </c>
      <c r="H20" s="1083">
        <f>IFERROR([16]Base!H20/[16]Base!H$76*H$4,0)</f>
        <v>0</v>
      </c>
      <c r="I20" s="1083">
        <f>IFERROR([16]Base!I20/[16]Base!I$76*I$4,0)</f>
        <v>0</v>
      </c>
      <c r="J20" s="1083">
        <f>IFERROR([16]Base!J20/[16]Base!J$76*J$4,0)</f>
        <v>0</v>
      </c>
      <c r="K20" s="1083">
        <f>IFERROR([16]Base!K20/[16]Base!K$76*K$4,0)</f>
        <v>0</v>
      </c>
      <c r="L20" s="1083">
        <f>IFERROR([16]Base!L20/[16]Base!L$76*L$4,0)</f>
        <v>0</v>
      </c>
      <c r="M20" s="1083">
        <f>IFERROR([16]Base!M20/[16]Base!M$76*M$4,0)</f>
        <v>0</v>
      </c>
      <c r="N20" s="1083">
        <f>IFERROR([16]Base!N20/[16]Base!N$76*N$4,0)</f>
        <v>0</v>
      </c>
      <c r="O20" s="1083">
        <f>IFERROR([16]Base!O20/[16]Base!O$76*O$4,0)</f>
        <v>0</v>
      </c>
      <c r="P20" s="1083">
        <f>IFERROR([16]Base!P20/[16]Base!P$76*P$4,0)</f>
        <v>0</v>
      </c>
      <c r="Q20" s="1083">
        <f>IFERROR([16]Base!Q20/[16]Base!Q$76*Q$4,0)</f>
        <v>0</v>
      </c>
      <c r="R20" s="1083"/>
      <c r="S20" s="1083">
        <f>IFERROR([16]Base!S20/[16]Base!S$76*S$4,0)</f>
        <v>0</v>
      </c>
      <c r="T20" s="1083">
        <f>IFERROR([16]Base!T20/[16]Base!T$76*T$4,0)</f>
        <v>0</v>
      </c>
      <c r="U20" s="1083">
        <f>IFERROR([16]Base!U20/[16]Base!U$76*U$4,0)</f>
        <v>0</v>
      </c>
      <c r="V20" s="1083">
        <f>IFERROR([16]Base!V20/[16]Base!V$76*V$4,0)</f>
        <v>3337.25</v>
      </c>
      <c r="W20" s="1083">
        <f>IFERROR([16]Base!W20/[16]Base!W$76*W$4,0)</f>
        <v>0</v>
      </c>
      <c r="X20" s="1083">
        <f>IFERROR([16]Base!X20/[16]Base!X$76*X$4,0)</f>
        <v>0</v>
      </c>
      <c r="Y20" s="1083">
        <f>IFERROR([16]Base!Y20/[16]Base!Y$76*Y$4,0)</f>
        <v>0</v>
      </c>
      <c r="Z20" s="1083"/>
      <c r="AA20" s="1083">
        <f>IFERROR([16]Base!AA20/[16]Base!AA$76*AA$4,0)</f>
        <v>0</v>
      </c>
      <c r="AB20" s="1083">
        <f>IFERROR([16]Base!AB20/[16]Base!AB$76*AB$4,0)</f>
        <v>8130.2767295597487</v>
      </c>
      <c r="AC20" s="1083"/>
      <c r="AD20" s="1083"/>
      <c r="AE20" s="1083"/>
      <c r="AF20" s="1083">
        <f>IFERROR([16]Base!AF20/[16]Base!AF$76*AF$4,0)</f>
        <v>0</v>
      </c>
      <c r="AG20" s="1083">
        <f>IFERROR([16]Base!AG20/[16]Base!AG$76*AG$4,0)</f>
        <v>0</v>
      </c>
      <c r="AH20" s="1083">
        <f>IFERROR([16]Base!AH20/[16]Base!AH$76*AH$4,0)</f>
        <v>0</v>
      </c>
      <c r="AI20" s="1083">
        <f>IFERROR([16]Base!AI20/[16]Base!AI$76*AI$4,0)</f>
        <v>0</v>
      </c>
      <c r="AJ20" s="1083">
        <f>IFERROR([16]Base!AJ20/[16]Base!AJ$76*AJ$4,0)</f>
        <v>0</v>
      </c>
      <c r="AK20" s="1083">
        <f>IFERROR([16]Base!AK20/[16]Base!AK$76*AK$4,0)</f>
        <v>0</v>
      </c>
      <c r="AL20" s="1083">
        <f>IFERROR([16]Base!AL20/[16]Base!AL$76*AL$4,0)</f>
        <v>0</v>
      </c>
      <c r="AM20" s="1083">
        <f>IFERROR([16]Base!AM20/[16]Base!AM$76*AM$4,0)</f>
        <v>0</v>
      </c>
      <c r="AN20" s="1083">
        <f>IFERROR([16]Base!AN20/[16]Base!AN$76*AN$4,0)</f>
        <v>0</v>
      </c>
      <c r="AO20" s="1083">
        <f>IFERROR('8_2.1.19 SIS'!AO20/'8_2.1.19 SIS'!AO$76*AO$4,0)</f>
        <v>0</v>
      </c>
      <c r="AP20" s="1083">
        <f>IFERROR('8_2.1.19 SIS'!AP20/'8_2.1.19 SIS'!AP$76*AP$4,0)</f>
        <v>0</v>
      </c>
      <c r="AQ20" s="1083">
        <f>IFERROR('8_2.1.19 SIS'!AQ20/'8_2.1.19 SIS'!AQ$76*AQ$4,0)</f>
        <v>0</v>
      </c>
      <c r="AR20" s="1083">
        <f>IFERROR('8_2.1.19 SIS'!AR20/'8_2.1.19 SIS'!AR$76*AR$4,0)</f>
        <v>0</v>
      </c>
      <c r="AS20" s="1083">
        <f>IFERROR('8_2.1.19 SIS'!AS20/'8_2.1.19 SIS'!AS$76*AS$4,0)</f>
        <v>0</v>
      </c>
      <c r="AT20" s="1083">
        <f>IFERROR([16]Base!AT20/[16]Base!AT$76*AT$4,0)</f>
        <v>288.13802083333331</v>
      </c>
      <c r="AU20" s="1083">
        <f>IFERROR([16]Base!AU20/[16]Base!AU$76*AU$4,0)</f>
        <v>491.38514572234408</v>
      </c>
      <c r="AV20" s="1084">
        <f t="shared" si="1"/>
        <v>279491.15634442662</v>
      </c>
      <c r="AW20" s="1083">
        <f>IFERROR([16]Base!AW20/[16]Base!AW$76*AW$4,0)</f>
        <v>100.18959107806691</v>
      </c>
      <c r="AX20" s="1083">
        <f>IFERROR([16]Base!AX20/[16]Base!AX$76*AX$4,0)</f>
        <v>0</v>
      </c>
      <c r="AY20" s="1083">
        <f>IFERROR([16]Base!AY20/[16]Base!AY$76*AY$4,0)</f>
        <v>0</v>
      </c>
      <c r="AZ20" s="1083">
        <f>IFERROR([16]Base!AZ20/[16]Base!AZ$76*AZ$4,0)</f>
        <v>0</v>
      </c>
      <c r="BA20" s="1083">
        <f>IFERROR([16]Base!BA20/[16]Base!BA$76*BA$4,0)</f>
        <v>0</v>
      </c>
      <c r="BB20" s="1083">
        <f>IFERROR([16]Base!BB20/[16]Base!BB$76*BB$4,0)</f>
        <v>0</v>
      </c>
      <c r="BC20" s="1083">
        <f>IFERROR([16]Base!BC20/[16]Base!BC$76*BC$4,0)</f>
        <v>0</v>
      </c>
      <c r="BD20" s="1083">
        <f>IFERROR([16]Base!BD20/[16]Base!BD$76*BD$4,0)</f>
        <v>0</v>
      </c>
      <c r="BE20" s="1083">
        <f>IFERROR([16]Base!BE20/[16]Base!BE$76*BE$4,0)</f>
        <v>0</v>
      </c>
      <c r="BF20" s="1083">
        <f>IFERROR([16]Base!BF20/[16]Base!BF$76*BF$4,0)</f>
        <v>382.28491620111731</v>
      </c>
      <c r="BG20" s="1083">
        <f>IFERROR([16]Base!BG20/[16]Base!BG$76*BG$4,0)</f>
        <v>0</v>
      </c>
      <c r="BH20" s="1083">
        <f>IFERROR([16]Base!BH20/[16]Base!BH$76*BH$4,0)</f>
        <v>0</v>
      </c>
      <c r="BI20" s="1083">
        <f t="shared" si="2"/>
        <v>279973.63085170585</v>
      </c>
    </row>
    <row r="21" spans="1:61" s="270" customFormat="1" ht="16.149999999999999" customHeight="1" x14ac:dyDescent="0.2">
      <c r="A21" s="277" t="s">
        <v>156</v>
      </c>
      <c r="B21" s="262" t="s">
        <v>157</v>
      </c>
      <c r="C21" s="1085">
        <f>'3B_Pay Raise'!O21</f>
        <v>522011</v>
      </c>
      <c r="D21" s="1085"/>
      <c r="E21" s="1085">
        <f>IFERROR([16]Base!E21/[16]Base!E$76*E$4,0)</f>
        <v>0</v>
      </c>
      <c r="F21" s="1085">
        <f>IFERROR([16]Base!F21/[16]Base!F$76*F$4,0)</f>
        <v>0</v>
      </c>
      <c r="G21" s="1085">
        <f>IFERROR([16]Base!G21/[16]Base!G$76*G$4,0)</f>
        <v>0</v>
      </c>
      <c r="H21" s="1085">
        <f>IFERROR([16]Base!H21/[16]Base!H$76*H$4,0)</f>
        <v>0</v>
      </c>
      <c r="I21" s="1085">
        <f>IFERROR([16]Base!I21/[16]Base!I$76*I$4,0)</f>
        <v>0</v>
      </c>
      <c r="J21" s="1085">
        <f>IFERROR([16]Base!J21/[16]Base!J$76*J$4,0)</f>
        <v>0</v>
      </c>
      <c r="K21" s="1085">
        <f>IFERROR([16]Base!K21/[16]Base!K$76*K$4,0)</f>
        <v>0</v>
      </c>
      <c r="L21" s="1085">
        <f>IFERROR([16]Base!L21/[16]Base!L$76*L$4,0)</f>
        <v>0</v>
      </c>
      <c r="M21" s="1085">
        <f>IFERROR([16]Base!M21/[16]Base!M$76*M$4,0)</f>
        <v>0</v>
      </c>
      <c r="N21" s="1085">
        <f>IFERROR([16]Base!N21/[16]Base!N$76*N$4,0)</f>
        <v>0</v>
      </c>
      <c r="O21" s="1085">
        <f>IFERROR([16]Base!O21/[16]Base!O$76*O$4,0)</f>
        <v>0</v>
      </c>
      <c r="P21" s="1085">
        <f>IFERROR([16]Base!P21/[16]Base!P$76*P$4,0)</f>
        <v>42142.481012658231</v>
      </c>
      <c r="Q21" s="1085">
        <f>IFERROR([16]Base!Q21/[16]Base!Q$76*Q$4,0)</f>
        <v>0</v>
      </c>
      <c r="R21" s="1085"/>
      <c r="S21" s="1085">
        <f>IFERROR([16]Base!S21/[16]Base!S$76*S$4,0)</f>
        <v>0</v>
      </c>
      <c r="T21" s="1085">
        <f>IFERROR([16]Base!T21/[16]Base!T$76*T$4,0)</f>
        <v>0</v>
      </c>
      <c r="U21" s="1085">
        <f>IFERROR([16]Base!U21/[16]Base!U$76*U$4,0)</f>
        <v>0</v>
      </c>
      <c r="V21" s="1085">
        <f>IFERROR([16]Base!V21/[16]Base!V$76*V$4,0)</f>
        <v>0</v>
      </c>
      <c r="W21" s="1085">
        <f>IFERROR([16]Base!W21/[16]Base!W$76*W$4,0)</f>
        <v>0</v>
      </c>
      <c r="X21" s="1085">
        <f>IFERROR([16]Base!X21/[16]Base!X$76*X$4,0)</f>
        <v>0</v>
      </c>
      <c r="Y21" s="1085">
        <f>IFERROR([16]Base!Y21/[16]Base!Y$76*Y$4,0)</f>
        <v>0</v>
      </c>
      <c r="Z21" s="1085"/>
      <c r="AA21" s="1085">
        <f>IFERROR([16]Base!AA21/[16]Base!AA$76*AA$4,0)</f>
        <v>0</v>
      </c>
      <c r="AB21" s="1085">
        <f>IFERROR([16]Base!AB21/[16]Base!AB$76*AB$4,0)</f>
        <v>0</v>
      </c>
      <c r="AC21" s="1085"/>
      <c r="AD21" s="1085"/>
      <c r="AE21" s="1085"/>
      <c r="AF21" s="1085">
        <f>IFERROR([16]Base!AF21/[16]Base!AF$76*AF$4,0)</f>
        <v>0</v>
      </c>
      <c r="AG21" s="1085">
        <f>IFERROR([16]Base!AG21/[16]Base!AG$76*AG$4,0)</f>
        <v>0</v>
      </c>
      <c r="AH21" s="1085">
        <f>IFERROR([16]Base!AH21/[16]Base!AH$76*AH$4,0)</f>
        <v>0</v>
      </c>
      <c r="AI21" s="1085">
        <f>IFERROR([16]Base!AI21/[16]Base!AI$76*AI$4,0)</f>
        <v>0</v>
      </c>
      <c r="AJ21" s="1085">
        <f>IFERROR([16]Base!AJ21/[16]Base!AJ$76*AJ$4,0)</f>
        <v>0</v>
      </c>
      <c r="AK21" s="1085">
        <f>IFERROR([16]Base!AK21/[16]Base!AK$76*AK$4,0)</f>
        <v>0</v>
      </c>
      <c r="AL21" s="1085">
        <f>IFERROR([16]Base!AL21/[16]Base!AL$76*AL$4,0)</f>
        <v>0</v>
      </c>
      <c r="AM21" s="1085">
        <f>IFERROR([16]Base!AM21/[16]Base!AM$76*AM$4,0)</f>
        <v>0</v>
      </c>
      <c r="AN21" s="1085">
        <f>IFERROR([16]Base!AN21/[16]Base!AN$76*AN$4,0)</f>
        <v>0</v>
      </c>
      <c r="AO21" s="1085">
        <f>IFERROR('8_2.1.19 SIS'!AO21/'8_2.1.19 SIS'!AO$76*AO$4,0)</f>
        <v>0</v>
      </c>
      <c r="AP21" s="1085">
        <f>IFERROR('8_2.1.19 SIS'!AP21/'8_2.1.19 SIS'!AP$76*AP$4,0)</f>
        <v>0</v>
      </c>
      <c r="AQ21" s="1085">
        <f>IFERROR('8_2.1.19 SIS'!AQ21/'8_2.1.19 SIS'!AQ$76*AQ$4,0)</f>
        <v>0</v>
      </c>
      <c r="AR21" s="1085">
        <f>IFERROR('8_2.1.19 SIS'!AR21/'8_2.1.19 SIS'!AR$76*AR$4,0)</f>
        <v>0</v>
      </c>
      <c r="AS21" s="1085">
        <f>IFERROR('8_2.1.19 SIS'!AS21/'8_2.1.19 SIS'!AS$76*AS$4,0)</f>
        <v>0</v>
      </c>
      <c r="AT21" s="1085">
        <f>IFERROR([16]Base!AT21/[16]Base!AT$76*AT$4,0)</f>
        <v>518.6484375</v>
      </c>
      <c r="AU21" s="1085">
        <f>IFERROR([16]Base!AU21/[16]Base!AU$76*AU$4,0)</f>
        <v>786.2162331557505</v>
      </c>
      <c r="AV21" s="1086">
        <f t="shared" si="1"/>
        <v>565458.34568331402</v>
      </c>
      <c r="AW21" s="1085">
        <f>IFERROR([16]Base!AW21/[16]Base!AW$76*AW$4,0)</f>
        <v>0</v>
      </c>
      <c r="AX21" s="1085">
        <f>IFERROR([16]Base!AX21/[16]Base!AX$76*AX$4,0)</f>
        <v>0</v>
      </c>
      <c r="AY21" s="1085">
        <f>IFERROR([16]Base!AY21/[16]Base!AY$76*AY$4,0)</f>
        <v>0</v>
      </c>
      <c r="AZ21" s="1085">
        <f>IFERROR([16]Base!AZ21/[16]Base!AZ$76*AZ$4,0)</f>
        <v>0</v>
      </c>
      <c r="BA21" s="1085">
        <f>IFERROR([16]Base!BA21/[16]Base!BA$76*BA$4,0)</f>
        <v>0</v>
      </c>
      <c r="BB21" s="1085">
        <f>IFERROR([16]Base!BB21/[16]Base!BB$76*BB$4,0)</f>
        <v>0</v>
      </c>
      <c r="BC21" s="1085">
        <f>IFERROR([16]Base!BC21/[16]Base!BC$76*BC$4,0)</f>
        <v>0</v>
      </c>
      <c r="BD21" s="1085">
        <f>IFERROR([16]Base!BD21/[16]Base!BD$76*BD$4,0)</f>
        <v>0</v>
      </c>
      <c r="BE21" s="1085">
        <f>IFERROR([16]Base!BE21/[16]Base!BE$76*BE$4,0)</f>
        <v>0</v>
      </c>
      <c r="BF21" s="1085">
        <f>IFERROR([16]Base!BF21/[16]Base!BF$76*BF$4,0)</f>
        <v>382.28491620111731</v>
      </c>
      <c r="BG21" s="1085">
        <f>IFERROR([16]Base!BG21/[16]Base!BG$76*BG$4,0)</f>
        <v>0</v>
      </c>
      <c r="BH21" s="1087">
        <f>IFERROR([16]Base!BH21/[16]Base!BH$76*BH$4,0)</f>
        <v>0</v>
      </c>
      <c r="BI21" s="1085">
        <f t="shared" si="2"/>
        <v>565840.63059951516</v>
      </c>
    </row>
    <row r="22" spans="1:61" s="270" customFormat="1" ht="16.149999999999999" customHeight="1" x14ac:dyDescent="0.2">
      <c r="A22" s="273" t="s">
        <v>158</v>
      </c>
      <c r="B22" s="264" t="s">
        <v>159</v>
      </c>
      <c r="C22" s="1079">
        <f>'3B_Pay Raise'!O22</f>
        <v>737057</v>
      </c>
      <c r="D22" s="1079"/>
      <c r="E22" s="1079">
        <f>IFERROR([16]Base!E22/[16]Base!E$76*E$4,0)</f>
        <v>0</v>
      </c>
      <c r="F22" s="1079">
        <f>IFERROR([16]Base!F22/[16]Base!F$76*F$4,0)</f>
        <v>0</v>
      </c>
      <c r="G22" s="1079">
        <f>IFERROR([16]Base!G22/[16]Base!G$76*G$4,0)</f>
        <v>0</v>
      </c>
      <c r="H22" s="1079">
        <f>IFERROR([16]Base!H22/[16]Base!H$76*H$4,0)</f>
        <v>0</v>
      </c>
      <c r="I22" s="1079">
        <f>IFERROR([16]Base!I22/[16]Base!I$76*I$4,0)</f>
        <v>0</v>
      </c>
      <c r="J22" s="1079">
        <f>IFERROR([16]Base!J22/[16]Base!J$76*J$4,0)</f>
        <v>0</v>
      </c>
      <c r="K22" s="1079">
        <f>IFERROR([16]Base!K22/[16]Base!K$76*K$4,0)</f>
        <v>0</v>
      </c>
      <c r="L22" s="1079">
        <f>IFERROR([16]Base!L22/[16]Base!L$76*L$4,0)</f>
        <v>0</v>
      </c>
      <c r="M22" s="1079">
        <f>IFERROR([16]Base!M22/[16]Base!M$76*M$4,0)</f>
        <v>0</v>
      </c>
      <c r="N22" s="1079">
        <f>IFERROR([16]Base!N22/[16]Base!N$76*N$4,0)</f>
        <v>0</v>
      </c>
      <c r="O22" s="1079">
        <f>IFERROR([16]Base!O22/[16]Base!O$76*O$4,0)</f>
        <v>0</v>
      </c>
      <c r="P22" s="1079">
        <f>IFERROR([16]Base!P22/[16]Base!P$76*P$4,0)</f>
        <v>0</v>
      </c>
      <c r="Q22" s="1079">
        <f>IFERROR([16]Base!Q22/[16]Base!Q$76*Q$4,0)</f>
        <v>0</v>
      </c>
      <c r="R22" s="1079"/>
      <c r="S22" s="1079">
        <f>IFERROR([16]Base!S22/[16]Base!S$76*S$4,0)</f>
        <v>0</v>
      </c>
      <c r="T22" s="1079">
        <f>IFERROR([16]Base!T22/[16]Base!T$76*T$4,0)</f>
        <v>0</v>
      </c>
      <c r="U22" s="1079">
        <f>IFERROR([16]Base!U22/[16]Base!U$76*U$4,0)</f>
        <v>0</v>
      </c>
      <c r="V22" s="1079">
        <f>IFERROR([16]Base!V22/[16]Base!V$76*V$4,0)</f>
        <v>0</v>
      </c>
      <c r="W22" s="1079">
        <f>IFERROR([16]Base!W22/[16]Base!W$76*W$4,0)</f>
        <v>0</v>
      </c>
      <c r="X22" s="1079">
        <f>IFERROR([16]Base!X22/[16]Base!X$76*X$4,0)</f>
        <v>0</v>
      </c>
      <c r="Y22" s="1079">
        <f>IFERROR([16]Base!Y22/[16]Base!Y$76*Y$4,0)</f>
        <v>0</v>
      </c>
      <c r="Z22" s="1079"/>
      <c r="AA22" s="1079">
        <f>IFERROR([16]Base!AA22/[16]Base!AA$76*AA$4,0)</f>
        <v>0</v>
      </c>
      <c r="AB22" s="1080">
        <f>IFERROR([16]Base!AB22/[16]Base!AB$76*AB$4,0)</f>
        <v>0</v>
      </c>
      <c r="AC22" s="1080"/>
      <c r="AD22" s="1080"/>
      <c r="AE22" s="1080"/>
      <c r="AF22" s="1080">
        <f>IFERROR([16]Base!AF22/[16]Base!AF$76*AF$4,0)</f>
        <v>0</v>
      </c>
      <c r="AG22" s="1080">
        <f>IFERROR([16]Base!AG22/[16]Base!AG$76*AG$4,0)</f>
        <v>0</v>
      </c>
      <c r="AH22" s="1080">
        <f>IFERROR([16]Base!AH22/[16]Base!AH$76*AH$4,0)</f>
        <v>0</v>
      </c>
      <c r="AI22" s="1080">
        <f>IFERROR([16]Base!AI22/[16]Base!AI$76*AI$4,0)</f>
        <v>0</v>
      </c>
      <c r="AJ22" s="1080">
        <f>IFERROR([16]Base!AJ22/[16]Base!AJ$76*AJ$4,0)</f>
        <v>0</v>
      </c>
      <c r="AK22" s="1080">
        <f>IFERROR([16]Base!AK22/[16]Base!AK$76*AK$4,0)</f>
        <v>0</v>
      </c>
      <c r="AL22" s="1080">
        <f>IFERROR([16]Base!AL22/[16]Base!AL$76*AL$4,0)</f>
        <v>0</v>
      </c>
      <c r="AM22" s="1080">
        <f>IFERROR([16]Base!AM22/[16]Base!AM$76*AM$4,0)</f>
        <v>0</v>
      </c>
      <c r="AN22" s="1080">
        <f>IFERROR([16]Base!AN22/[16]Base!AN$76*AN$4,0)</f>
        <v>0</v>
      </c>
      <c r="AO22" s="1080">
        <f>IFERROR('8_2.1.19 SIS'!AO22/'8_2.1.19 SIS'!AO$76*AO$4,0)</f>
        <v>0</v>
      </c>
      <c r="AP22" s="1080">
        <f>IFERROR('8_2.1.19 SIS'!AP22/'8_2.1.19 SIS'!AP$76*AP$4,0)</f>
        <v>0</v>
      </c>
      <c r="AQ22" s="1080">
        <f>IFERROR('8_2.1.19 SIS'!AQ22/'8_2.1.19 SIS'!AQ$76*AQ$4,0)</f>
        <v>0</v>
      </c>
      <c r="AR22" s="1080">
        <f>IFERROR('8_2.1.19 SIS'!AR22/'8_2.1.19 SIS'!AR$76*AR$4,0)</f>
        <v>0</v>
      </c>
      <c r="AS22" s="1080">
        <f>IFERROR('8_2.1.19 SIS'!AS22/'8_2.1.19 SIS'!AS$76*AS$4,0)</f>
        <v>0</v>
      </c>
      <c r="AT22" s="1079">
        <f>IFERROR([16]Base!AT22/[16]Base!AT$76*AT$4,0)</f>
        <v>1037.296875</v>
      </c>
      <c r="AU22" s="1079">
        <f>IFERROR([16]Base!AU22/[16]Base!AU$76*AU$4,0)</f>
        <v>1081.0473205891569</v>
      </c>
      <c r="AV22" s="1081">
        <f t="shared" si="1"/>
        <v>739175.34419558919</v>
      </c>
      <c r="AW22" s="1079">
        <f>IFERROR([16]Base!AW22/[16]Base!AW$76*AW$4,0)</f>
        <v>0</v>
      </c>
      <c r="AX22" s="1079">
        <f>IFERROR([16]Base!AX22/[16]Base!AX$76*AX$4,0)</f>
        <v>0</v>
      </c>
      <c r="AY22" s="1079">
        <f>IFERROR([16]Base!AY22/[16]Base!AY$76*AY$4,0)</f>
        <v>0</v>
      </c>
      <c r="AZ22" s="1079">
        <f>IFERROR([16]Base!AZ22/[16]Base!AZ$76*AZ$4,0)</f>
        <v>0</v>
      </c>
      <c r="BA22" s="1079">
        <f>IFERROR([16]Base!BA22/[16]Base!BA$76*BA$4,0)</f>
        <v>0</v>
      </c>
      <c r="BB22" s="1079">
        <f>IFERROR([16]Base!BB22/[16]Base!BB$76*BB$4,0)</f>
        <v>0</v>
      </c>
      <c r="BC22" s="1079">
        <f>IFERROR([16]Base!BC22/[16]Base!BC$76*BC$4,0)</f>
        <v>0</v>
      </c>
      <c r="BD22" s="1079">
        <f>IFERROR([16]Base!BD22/[16]Base!BD$76*BD$4,0)</f>
        <v>0</v>
      </c>
      <c r="BE22" s="1079">
        <f>IFERROR([16]Base!BE22/[16]Base!BE$76*BE$4,0)</f>
        <v>0</v>
      </c>
      <c r="BF22" s="1079">
        <f>IFERROR([16]Base!BF22/[16]Base!BF$76*BF$4,0)</f>
        <v>382.28491620111731</v>
      </c>
      <c r="BG22" s="1079">
        <f>IFERROR([16]Base!BG22/[16]Base!BG$76*BG$4,0)</f>
        <v>0</v>
      </c>
      <c r="BH22" s="1082">
        <f>IFERROR([16]Base!BH22/[16]Base!BH$76*BH$4,0)</f>
        <v>0</v>
      </c>
      <c r="BI22" s="1079">
        <f t="shared" si="2"/>
        <v>739557.62911179033</v>
      </c>
    </row>
    <row r="23" spans="1:61" s="270" customFormat="1" ht="16.149999999999999" customHeight="1" x14ac:dyDescent="0.2">
      <c r="A23" s="275" t="s">
        <v>93</v>
      </c>
      <c r="B23" s="260" t="s">
        <v>160</v>
      </c>
      <c r="C23" s="1083">
        <f>'3B_Pay Raise'!O23</f>
        <v>6204975</v>
      </c>
      <c r="D23" s="1083">
        <f>'3B_Pay Raise'!O120-'3B_Pay Raise'!O113</f>
        <v>262982</v>
      </c>
      <c r="E23" s="1083">
        <f>IFERROR([16]Base!E23/[16]Base!E$76*E$4,0)</f>
        <v>53967.652631578945</v>
      </c>
      <c r="F23" s="1083">
        <f>IFERROR([16]Base!F23/[16]Base!F$76*F$4,0)</f>
        <v>0</v>
      </c>
      <c r="G23" s="1083">
        <f>IFERROR([16]Base!G23/[16]Base!G$76*G$4,0)</f>
        <v>0</v>
      </c>
      <c r="H23" s="1083">
        <f>IFERROR([16]Base!H23/[16]Base!H$76*H$4,0)</f>
        <v>0</v>
      </c>
      <c r="I23" s="1083">
        <f>IFERROR([16]Base!I23/[16]Base!I$76*I$4,0)</f>
        <v>0</v>
      </c>
      <c r="J23" s="1083">
        <f>IFERROR([16]Base!J23/[16]Base!J$76*J$4,0)</f>
        <v>0</v>
      </c>
      <c r="K23" s="1083">
        <f>IFERROR([16]Base!K23/[16]Base!K$76*K$4,0)</f>
        <v>0</v>
      </c>
      <c r="L23" s="1083">
        <f>IFERROR([16]Base!L23/[16]Base!L$76*L$4,0)</f>
        <v>0</v>
      </c>
      <c r="M23" s="1083">
        <f>IFERROR([16]Base!M23/[16]Base!M$76*M$4,0)</f>
        <v>48244.073684210525</v>
      </c>
      <c r="N23" s="1083">
        <f>IFERROR([16]Base!N23/[16]Base!N$76*N$4,0)</f>
        <v>0</v>
      </c>
      <c r="O23" s="1083">
        <f>IFERROR([16]Base!O23/[16]Base!O$76*O$4,0)</f>
        <v>92560.174825174836</v>
      </c>
      <c r="P23" s="1083">
        <f>IFERROR([16]Base!P23/[16]Base!P$76*P$4,0)</f>
        <v>0</v>
      </c>
      <c r="Q23" s="1083">
        <f>IFERROR([16]Base!Q23/[16]Base!Q$76*Q$4,0)</f>
        <v>23632.57614213198</v>
      </c>
      <c r="R23" s="1083"/>
      <c r="S23" s="1083">
        <f>IFERROR([16]Base!S23/[16]Base!S$76*S$4,0)</f>
        <v>23698.517311608961</v>
      </c>
      <c r="T23" s="1083">
        <f>IFERROR([16]Base!T23/[16]Base!T$76*T$4,0)</f>
        <v>190.7704081632653</v>
      </c>
      <c r="U23" s="1083">
        <f>IFERROR([16]Base!U23/[16]Base!U$76*U$4,0)</f>
        <v>0</v>
      </c>
      <c r="V23" s="1083">
        <f>IFERROR([16]Base!V23/[16]Base!V$76*V$4,0)</f>
        <v>0</v>
      </c>
      <c r="W23" s="1083">
        <f>IFERROR([16]Base!W23/[16]Base!W$76*W$4,0)</f>
        <v>0</v>
      </c>
      <c r="X23" s="1083">
        <f>IFERROR([16]Base!X23/[16]Base!X$76*X$4,0)</f>
        <v>0</v>
      </c>
      <c r="Y23" s="1083">
        <f>IFERROR([16]Base!Y23/[16]Base!Y$76*Y$4,0)</f>
        <v>0</v>
      </c>
      <c r="Z23" s="1083"/>
      <c r="AA23" s="1083">
        <f>IFERROR([16]Base!AA23/[16]Base!AA$76*AA$4,0)</f>
        <v>91214.259970457904</v>
      </c>
      <c r="AB23" s="1083">
        <f>IFERROR([16]Base!AB23/[16]Base!AB$76*AB$4,0)</f>
        <v>0</v>
      </c>
      <c r="AC23" s="1083"/>
      <c r="AD23" s="1083"/>
      <c r="AE23" s="1083"/>
      <c r="AF23" s="1083">
        <f>IFERROR([16]Base!AF23/[16]Base!AF$76*AF$4,0)</f>
        <v>0</v>
      </c>
      <c r="AG23" s="1083">
        <f>IFERROR([16]Base!AG23/[16]Base!AG$76*AG$4,0)</f>
        <v>0</v>
      </c>
      <c r="AH23" s="1083">
        <f>IFERROR([16]Base!AH23/[16]Base!AH$76*AH$4,0)</f>
        <v>0</v>
      </c>
      <c r="AI23" s="1083">
        <f>IFERROR([16]Base!AI23/[16]Base!AI$76*AI$4,0)</f>
        <v>53617.274463007161</v>
      </c>
      <c r="AJ23" s="1083">
        <f>IFERROR([16]Base!AJ23/[16]Base!AJ$76*AJ$4,0)</f>
        <v>29353.475935828876</v>
      </c>
      <c r="AK23" s="1083">
        <f>IFERROR([16]Base!AK23/[16]Base!AK$76*AK$4,0)</f>
        <v>0</v>
      </c>
      <c r="AL23" s="1083">
        <f>IFERROR([16]Base!AL23/[16]Base!AL$76*AL$4,0)</f>
        <v>0</v>
      </c>
      <c r="AM23" s="1083">
        <f>IFERROR([16]Base!AM23/[16]Base!AM$76*AM$4,0)</f>
        <v>13431.041666666668</v>
      </c>
      <c r="AN23" s="1083">
        <f>IFERROR([16]Base!AN23/[16]Base!AN$76*AN$4,0)</f>
        <v>0</v>
      </c>
      <c r="AO23" s="1083">
        <f>IFERROR('8_2.1.19 SIS'!AO23/'8_2.1.19 SIS'!AO$76*AO$4,0)</f>
        <v>0</v>
      </c>
      <c r="AP23" s="1083">
        <f>IFERROR('8_2.1.19 SIS'!AP23/'8_2.1.19 SIS'!AP$76*AP$4,0)</f>
        <v>0</v>
      </c>
      <c r="AQ23" s="1083">
        <f>IFERROR('8_2.1.19 SIS'!AQ23/'8_2.1.19 SIS'!AQ$76*AQ$4,0)</f>
        <v>0</v>
      </c>
      <c r="AR23" s="1083">
        <f>IFERROR('8_2.1.19 SIS'!AR23/'8_2.1.19 SIS'!AR$76*AR$4,0)</f>
        <v>0</v>
      </c>
      <c r="AS23" s="1083">
        <f>IFERROR('8_2.1.19 SIS'!AS23/'8_2.1.19 SIS'!AS$76*AS$4,0)</f>
        <v>0</v>
      </c>
      <c r="AT23" s="1083">
        <f>IFERROR([16]Base!AT23/[16]Base!AT$76*AT$4,0)</f>
        <v>5820.388020833333</v>
      </c>
      <c r="AU23" s="1083">
        <f>IFERROR([16]Base!AU23/[16]Base!AU$76*AU$4,0)</f>
        <v>26927.905985584457</v>
      </c>
      <c r="AV23" s="1084">
        <f t="shared" si="1"/>
        <v>6930615.1110452479</v>
      </c>
      <c r="AW23" s="1083">
        <f>IFERROR([16]Base!AW23/[16]Base!AW$76*AW$4,0)</f>
        <v>0</v>
      </c>
      <c r="AX23" s="1083">
        <f>IFERROR([16]Base!AX23/[16]Base!AX$76*AX$4,0)</f>
        <v>0</v>
      </c>
      <c r="AY23" s="1083">
        <f>IFERROR([16]Base!AY23/[16]Base!AY$76*AY$4,0)</f>
        <v>0</v>
      </c>
      <c r="AZ23" s="1083">
        <f>IFERROR([16]Base!AZ23/[16]Base!AZ$76*AZ$4,0)</f>
        <v>0</v>
      </c>
      <c r="BA23" s="1083">
        <f>IFERROR([16]Base!BA23/[16]Base!BA$76*BA$4,0)</f>
        <v>0</v>
      </c>
      <c r="BB23" s="1083">
        <f>IFERROR([16]Base!BB23/[16]Base!BB$76*BB$4,0)</f>
        <v>0</v>
      </c>
      <c r="BC23" s="1083">
        <f>IFERROR([16]Base!BC23/[16]Base!BC$76*BC$4,0)</f>
        <v>0</v>
      </c>
      <c r="BD23" s="1083">
        <f>IFERROR([16]Base!BD23/[16]Base!BD$76*BD$4,0)</f>
        <v>144252</v>
      </c>
      <c r="BE23" s="1083">
        <f>IFERROR([16]Base!BE23/[16]Base!BE$76*BE$4,0)</f>
        <v>36633</v>
      </c>
      <c r="BF23" s="1083">
        <f>IFERROR([16]Base!BF23/[16]Base!BF$76*BF$4,0)</f>
        <v>1911.4245810055866</v>
      </c>
      <c r="BG23" s="1083">
        <f>IFERROR([16]Base!BG23/[16]Base!BG$76*BG$4,0)</f>
        <v>0</v>
      </c>
      <c r="BH23" s="1083">
        <f>IFERROR([16]Base!BH23/[16]Base!BH$76*BH$4,0)</f>
        <v>30101.988439306358</v>
      </c>
      <c r="BI23" s="1083">
        <f t="shared" si="2"/>
        <v>7143513.5240655597</v>
      </c>
    </row>
    <row r="24" spans="1:61" s="270" customFormat="1" ht="16.149999999999999" customHeight="1" x14ac:dyDescent="0.2">
      <c r="A24" s="275" t="s">
        <v>161</v>
      </c>
      <c r="B24" s="260" t="s">
        <v>162</v>
      </c>
      <c r="C24" s="1083">
        <f>'3B_Pay Raise'!O24</f>
        <v>141488</v>
      </c>
      <c r="D24" s="1083"/>
      <c r="E24" s="1083">
        <f>IFERROR([16]Base!E24/[16]Base!E$76*E$4,0)</f>
        <v>0</v>
      </c>
      <c r="F24" s="1083">
        <f>IFERROR([16]Base!F24/[16]Base!F$76*F$4,0)</f>
        <v>0</v>
      </c>
      <c r="G24" s="1083">
        <f>IFERROR([16]Base!G24/[16]Base!G$76*G$4,0)</f>
        <v>0</v>
      </c>
      <c r="H24" s="1083">
        <f>IFERROR([16]Base!H24/[16]Base!H$76*H$4,0)</f>
        <v>0</v>
      </c>
      <c r="I24" s="1083">
        <f>IFERROR([16]Base!I24/[16]Base!I$76*I$4,0)</f>
        <v>0</v>
      </c>
      <c r="J24" s="1083">
        <f>IFERROR([16]Base!J24/[16]Base!J$76*J$4,0)</f>
        <v>0</v>
      </c>
      <c r="K24" s="1083">
        <f>IFERROR([16]Base!K24/[16]Base!K$76*K$4,0)</f>
        <v>0</v>
      </c>
      <c r="L24" s="1083">
        <f>IFERROR([16]Base!L24/[16]Base!L$76*L$4,0)</f>
        <v>0</v>
      </c>
      <c r="M24" s="1083">
        <f>IFERROR([16]Base!M24/[16]Base!M$76*M$4,0)</f>
        <v>0</v>
      </c>
      <c r="N24" s="1083">
        <f>IFERROR([16]Base!N24/[16]Base!N$76*N$4,0)</f>
        <v>0</v>
      </c>
      <c r="O24" s="1083">
        <f>IFERROR([16]Base!O24/[16]Base!O$76*O$4,0)</f>
        <v>0</v>
      </c>
      <c r="P24" s="1083">
        <f>IFERROR([16]Base!P24/[16]Base!P$76*P$4,0)</f>
        <v>0</v>
      </c>
      <c r="Q24" s="1083">
        <f>IFERROR([16]Base!Q24/[16]Base!Q$76*Q$4,0)</f>
        <v>0</v>
      </c>
      <c r="R24" s="1083"/>
      <c r="S24" s="1083">
        <f>IFERROR([16]Base!S24/[16]Base!S$76*S$4,0)</f>
        <v>0</v>
      </c>
      <c r="T24" s="1083">
        <f>IFERROR([16]Base!T24/[16]Base!T$76*T$4,0)</f>
        <v>0</v>
      </c>
      <c r="U24" s="1083">
        <f>IFERROR([16]Base!U24/[16]Base!U$76*U$4,0)</f>
        <v>0</v>
      </c>
      <c r="V24" s="1083">
        <f>IFERROR([16]Base!V24/[16]Base!V$76*V$4,0)</f>
        <v>0</v>
      </c>
      <c r="W24" s="1083">
        <f>IFERROR([16]Base!W24/[16]Base!W$76*W$4,0)</f>
        <v>0</v>
      </c>
      <c r="X24" s="1083">
        <f>IFERROR([16]Base!X24/[16]Base!X$76*X$4,0)</f>
        <v>0</v>
      </c>
      <c r="Y24" s="1083">
        <f>IFERROR([16]Base!Y24/[16]Base!Y$76*Y$4,0)</f>
        <v>0</v>
      </c>
      <c r="Z24" s="1083"/>
      <c r="AA24" s="1083">
        <f>IFERROR([16]Base!AA24/[16]Base!AA$76*AA$4,0)</f>
        <v>0</v>
      </c>
      <c r="AB24" s="1083">
        <f>IFERROR([16]Base!AB24/[16]Base!AB$76*AB$4,0)</f>
        <v>0</v>
      </c>
      <c r="AC24" s="1083"/>
      <c r="AD24" s="1083"/>
      <c r="AE24" s="1083"/>
      <c r="AF24" s="1083">
        <f>IFERROR([16]Base!AF24/[16]Base!AF$76*AF$4,0)</f>
        <v>0</v>
      </c>
      <c r="AG24" s="1083">
        <f>IFERROR([16]Base!AG24/[16]Base!AG$76*AG$4,0)</f>
        <v>0</v>
      </c>
      <c r="AH24" s="1083">
        <f>IFERROR([16]Base!AH24/[16]Base!AH$76*AH$4,0)</f>
        <v>0</v>
      </c>
      <c r="AI24" s="1083">
        <f>IFERROR([16]Base!AI24/[16]Base!AI$76*AI$4,0)</f>
        <v>0</v>
      </c>
      <c r="AJ24" s="1083">
        <f>IFERROR([16]Base!AJ24/[16]Base!AJ$76*AJ$4,0)</f>
        <v>0</v>
      </c>
      <c r="AK24" s="1083">
        <f>IFERROR([16]Base!AK24/[16]Base!AK$76*AK$4,0)</f>
        <v>0</v>
      </c>
      <c r="AL24" s="1083">
        <f>IFERROR([16]Base!AL24/[16]Base!AL$76*AL$4,0)</f>
        <v>0</v>
      </c>
      <c r="AM24" s="1083">
        <f>IFERROR([16]Base!AM24/[16]Base!AM$76*AM$4,0)</f>
        <v>0</v>
      </c>
      <c r="AN24" s="1083">
        <f>IFERROR([16]Base!AN24/[16]Base!AN$76*AN$4,0)</f>
        <v>0</v>
      </c>
      <c r="AO24" s="1083">
        <f>IFERROR('8_2.1.19 SIS'!AO24/'8_2.1.19 SIS'!AO$76*AO$4,0)</f>
        <v>0</v>
      </c>
      <c r="AP24" s="1083">
        <f>IFERROR('8_2.1.19 SIS'!AP24/'8_2.1.19 SIS'!AP$76*AP$4,0)</f>
        <v>0</v>
      </c>
      <c r="AQ24" s="1083">
        <f>IFERROR('8_2.1.19 SIS'!AQ24/'8_2.1.19 SIS'!AQ$76*AQ$4,0)</f>
        <v>0</v>
      </c>
      <c r="AR24" s="1083">
        <f>IFERROR('8_2.1.19 SIS'!AR24/'8_2.1.19 SIS'!AR$76*AR$4,0)</f>
        <v>0</v>
      </c>
      <c r="AS24" s="1083">
        <f>IFERROR('8_2.1.19 SIS'!AS24/'8_2.1.19 SIS'!AS$76*AS$4,0)</f>
        <v>0</v>
      </c>
      <c r="AT24" s="1083">
        <f>IFERROR([16]Base!AT24/[16]Base!AT$76*AT$4,0)</f>
        <v>345.765625</v>
      </c>
      <c r="AU24" s="1083">
        <f>IFERROR([16]Base!AU24/[16]Base!AU$76*AU$4,0)</f>
        <v>196.55405828893763</v>
      </c>
      <c r="AV24" s="1084">
        <f t="shared" si="1"/>
        <v>142030.31968328895</v>
      </c>
      <c r="AW24" s="1083">
        <f>IFERROR([16]Base!AW24/[16]Base!AW$76*AW$4,0)</f>
        <v>0</v>
      </c>
      <c r="AX24" s="1083">
        <f>IFERROR([16]Base!AX24/[16]Base!AX$76*AX$4,0)</f>
        <v>0</v>
      </c>
      <c r="AY24" s="1083">
        <f>IFERROR([16]Base!AY24/[16]Base!AY$76*AY$4,0)</f>
        <v>0</v>
      </c>
      <c r="AZ24" s="1083">
        <f>IFERROR([16]Base!AZ24/[16]Base!AZ$76*AZ$4,0)</f>
        <v>0</v>
      </c>
      <c r="BA24" s="1083">
        <f>IFERROR([16]Base!BA24/[16]Base!BA$76*BA$4,0)</f>
        <v>1848.2624113475179</v>
      </c>
      <c r="BB24" s="1083">
        <f>IFERROR([16]Base!BB24/[16]Base!BB$76*BB$4,0)</f>
        <v>0</v>
      </c>
      <c r="BC24" s="1083">
        <f>IFERROR([16]Base!BC24/[16]Base!BC$76*BC$4,0)</f>
        <v>0</v>
      </c>
      <c r="BD24" s="1083">
        <f>IFERROR([16]Base!BD24/[16]Base!BD$76*BD$4,0)</f>
        <v>0</v>
      </c>
      <c r="BE24" s="1083">
        <f>IFERROR([16]Base!BE24/[16]Base!BE$76*BE$4,0)</f>
        <v>0</v>
      </c>
      <c r="BF24" s="1083">
        <f>IFERROR([16]Base!BF24/[16]Base!BF$76*BF$4,0)</f>
        <v>0</v>
      </c>
      <c r="BG24" s="1083">
        <f>IFERROR([16]Base!BG24/[16]Base!BG$76*BG$4,0)</f>
        <v>0</v>
      </c>
      <c r="BH24" s="1083">
        <f>IFERROR([16]Base!BH24/[16]Base!BH$76*BH$4,0)</f>
        <v>0</v>
      </c>
      <c r="BI24" s="1083">
        <f t="shared" si="2"/>
        <v>143878.58209463648</v>
      </c>
    </row>
    <row r="25" spans="1:61" s="270" customFormat="1" ht="16.149999999999999" customHeight="1" x14ac:dyDescent="0.2">
      <c r="A25" s="275" t="s">
        <v>94</v>
      </c>
      <c r="B25" s="260" t="s">
        <v>163</v>
      </c>
      <c r="C25" s="1083">
        <f>'3B_Pay Raise'!O25</f>
        <v>294420</v>
      </c>
      <c r="D25" s="1083"/>
      <c r="E25" s="1083">
        <f>IFERROR([16]Base!E25/[16]Base!E$76*E$4,0)</f>
        <v>0</v>
      </c>
      <c r="F25" s="1083">
        <f>IFERROR([16]Base!F25/[16]Base!F$76*F$4,0)</f>
        <v>0</v>
      </c>
      <c r="G25" s="1083">
        <f>IFERROR([16]Base!G25/[16]Base!G$76*G$4,0)</f>
        <v>0</v>
      </c>
      <c r="H25" s="1083">
        <f>IFERROR([16]Base!H25/[16]Base!H$76*H$4,0)</f>
        <v>0</v>
      </c>
      <c r="I25" s="1083">
        <f>IFERROR([16]Base!I25/[16]Base!I$76*I$4,0)</f>
        <v>0</v>
      </c>
      <c r="J25" s="1083">
        <f>IFERROR([16]Base!J25/[16]Base!J$76*J$4,0)</f>
        <v>0</v>
      </c>
      <c r="K25" s="1083">
        <f>IFERROR([16]Base!K25/[16]Base!K$76*K$4,0)</f>
        <v>0</v>
      </c>
      <c r="L25" s="1083">
        <f>IFERROR([16]Base!L25/[16]Base!L$76*L$4,0)</f>
        <v>0</v>
      </c>
      <c r="M25" s="1083">
        <f>IFERROR([16]Base!M25/[16]Base!M$76*M$4,0)</f>
        <v>957.22368421052624</v>
      </c>
      <c r="N25" s="1083">
        <f>IFERROR([16]Base!N25/[16]Base!N$76*N$4,0)</f>
        <v>0</v>
      </c>
      <c r="O25" s="1083">
        <f>IFERROR([16]Base!O25/[16]Base!O$76*O$4,0)</f>
        <v>0</v>
      </c>
      <c r="P25" s="1083">
        <f>IFERROR([16]Base!P25/[16]Base!P$76*P$4,0)</f>
        <v>0</v>
      </c>
      <c r="Q25" s="1083">
        <f>IFERROR([16]Base!Q25/[16]Base!Q$76*Q$4,0)</f>
        <v>0</v>
      </c>
      <c r="R25" s="1083"/>
      <c r="S25" s="1083">
        <f>IFERROR([16]Base!S25/[16]Base!S$76*S$4,0)</f>
        <v>2755.6415478615072</v>
      </c>
      <c r="T25" s="1083">
        <f>IFERROR([16]Base!T25/[16]Base!T$76*T$4,0)</f>
        <v>0</v>
      </c>
      <c r="U25" s="1083">
        <f>IFERROR([16]Base!U25/[16]Base!U$76*U$4,0)</f>
        <v>0</v>
      </c>
      <c r="V25" s="1083">
        <f>IFERROR([16]Base!V25/[16]Base!V$76*V$4,0)</f>
        <v>0</v>
      </c>
      <c r="W25" s="1083">
        <f>IFERROR([16]Base!W25/[16]Base!W$76*W$4,0)</f>
        <v>0</v>
      </c>
      <c r="X25" s="1083">
        <f>IFERROR([16]Base!X25/[16]Base!X$76*X$4,0)</f>
        <v>0</v>
      </c>
      <c r="Y25" s="1083">
        <f>IFERROR([16]Base!Y25/[16]Base!Y$76*Y$4,0)</f>
        <v>0</v>
      </c>
      <c r="Z25" s="1083"/>
      <c r="AA25" s="1083">
        <f>IFERROR([16]Base!AA25/[16]Base!AA$76*AA$4,0)</f>
        <v>142.07828655834564</v>
      </c>
      <c r="AB25" s="1083">
        <f>IFERROR([16]Base!AB25/[16]Base!AB$76*AB$4,0)</f>
        <v>0</v>
      </c>
      <c r="AC25" s="1083"/>
      <c r="AD25" s="1083"/>
      <c r="AE25" s="1083"/>
      <c r="AF25" s="1083">
        <f>IFERROR([16]Base!AF25/[16]Base!AF$76*AF$4,0)</f>
        <v>0</v>
      </c>
      <c r="AG25" s="1083">
        <f>IFERROR([16]Base!AG25/[16]Base!AG$76*AG$4,0)</f>
        <v>0</v>
      </c>
      <c r="AH25" s="1083">
        <f>IFERROR([16]Base!AH25/[16]Base!AH$76*AH$4,0)</f>
        <v>0</v>
      </c>
      <c r="AI25" s="1083">
        <f>IFERROR([16]Base!AI25/[16]Base!AI$76*AI$4,0)</f>
        <v>0</v>
      </c>
      <c r="AJ25" s="1083">
        <f>IFERROR([16]Base!AJ25/[16]Base!AJ$76*AJ$4,0)</f>
        <v>0</v>
      </c>
      <c r="AK25" s="1083">
        <f>IFERROR([16]Base!AK25/[16]Base!AK$76*AK$4,0)</f>
        <v>0</v>
      </c>
      <c r="AL25" s="1083">
        <f>IFERROR([16]Base!AL25/[16]Base!AL$76*AL$4,0)</f>
        <v>0</v>
      </c>
      <c r="AM25" s="1083">
        <f>IFERROR([16]Base!AM25/[16]Base!AM$76*AM$4,0)</f>
        <v>0</v>
      </c>
      <c r="AN25" s="1083">
        <f>IFERROR([16]Base!AN25/[16]Base!AN$76*AN$4,0)</f>
        <v>0</v>
      </c>
      <c r="AO25" s="1083">
        <f>IFERROR('8_2.1.19 SIS'!AO25/'8_2.1.19 SIS'!AO$76*AO$4,0)</f>
        <v>0</v>
      </c>
      <c r="AP25" s="1083">
        <f>IFERROR('8_2.1.19 SIS'!AP25/'8_2.1.19 SIS'!AP$76*AP$4,0)</f>
        <v>0</v>
      </c>
      <c r="AQ25" s="1083">
        <f>IFERROR('8_2.1.19 SIS'!AQ25/'8_2.1.19 SIS'!AQ$76*AQ$4,0)</f>
        <v>0</v>
      </c>
      <c r="AR25" s="1083">
        <f>IFERROR('8_2.1.19 SIS'!AR25/'8_2.1.19 SIS'!AR$76*AR$4,0)</f>
        <v>0</v>
      </c>
      <c r="AS25" s="1083">
        <f>IFERROR('8_2.1.19 SIS'!AS25/'8_2.1.19 SIS'!AS$76*AS$4,0)</f>
        <v>0</v>
      </c>
      <c r="AT25" s="1083">
        <f>IFERROR([16]Base!AT25/[16]Base!AT$76*AT$4,0)</f>
        <v>691.53125</v>
      </c>
      <c r="AU25" s="1083">
        <f>IFERROR([16]Base!AU25/[16]Base!AU$76*AU$4,0)</f>
        <v>2555.2027577561894</v>
      </c>
      <c r="AV25" s="1084">
        <f t="shared" si="1"/>
        <v>301521.67752638651</v>
      </c>
      <c r="AW25" s="1083">
        <f>IFERROR([16]Base!AW25/[16]Base!AW$76*AW$4,0)</f>
        <v>0</v>
      </c>
      <c r="AX25" s="1083">
        <f>IFERROR([16]Base!AX25/[16]Base!AX$76*AX$4,0)</f>
        <v>0</v>
      </c>
      <c r="AY25" s="1083">
        <f>IFERROR([16]Base!AY25/[16]Base!AY$76*AY$4,0)</f>
        <v>0</v>
      </c>
      <c r="AZ25" s="1083">
        <f>IFERROR([16]Base!AZ25/[16]Base!AZ$76*AZ$4,0)</f>
        <v>0</v>
      </c>
      <c r="BA25" s="1083">
        <f>IFERROR([16]Base!BA25/[16]Base!BA$76*BA$4,0)</f>
        <v>0</v>
      </c>
      <c r="BB25" s="1083">
        <f>IFERROR([16]Base!BB25/[16]Base!BB$76*BB$4,0)</f>
        <v>0</v>
      </c>
      <c r="BC25" s="1083">
        <f>IFERROR([16]Base!BC25/[16]Base!BC$76*BC$4,0)</f>
        <v>0</v>
      </c>
      <c r="BD25" s="1083">
        <f>IFERROR([16]Base!BD25/[16]Base!BD$76*BD$4,0)</f>
        <v>0</v>
      </c>
      <c r="BE25" s="1083">
        <f>IFERROR([16]Base!BE25/[16]Base!BE$76*BE$4,0)</f>
        <v>0</v>
      </c>
      <c r="BF25" s="1083">
        <f>IFERROR([16]Base!BF25/[16]Base!BF$76*BF$4,0)</f>
        <v>573.42737430167597</v>
      </c>
      <c r="BG25" s="1083">
        <f>IFERROR([16]Base!BG25/[16]Base!BG$76*BG$4,0)</f>
        <v>0</v>
      </c>
      <c r="BH25" s="1083">
        <f>IFERROR([16]Base!BH25/[16]Base!BH$76*BH$4,0)</f>
        <v>0</v>
      </c>
      <c r="BI25" s="1083">
        <f t="shared" si="2"/>
        <v>302095.10490068817</v>
      </c>
    </row>
    <row r="26" spans="1:61" s="270" customFormat="1" ht="16.149999999999999" customHeight="1" x14ac:dyDescent="0.2">
      <c r="A26" s="277" t="s">
        <v>164</v>
      </c>
      <c r="B26" s="262" t="s">
        <v>165</v>
      </c>
      <c r="C26" s="1085">
        <f>'3B_Pay Raise'!O26</f>
        <v>756377</v>
      </c>
      <c r="D26" s="1085"/>
      <c r="E26" s="1085">
        <f>IFERROR([16]Base!E26/[16]Base!E$76*E$4,0)</f>
        <v>0</v>
      </c>
      <c r="F26" s="1085">
        <f>IFERROR([16]Base!F26/[16]Base!F$76*F$4,0)</f>
        <v>0</v>
      </c>
      <c r="G26" s="1085">
        <f>IFERROR([16]Base!G26/[16]Base!G$76*G$4,0)</f>
        <v>0</v>
      </c>
      <c r="H26" s="1085">
        <f>IFERROR([16]Base!H26/[16]Base!H$76*H$4,0)</f>
        <v>0</v>
      </c>
      <c r="I26" s="1085">
        <f>IFERROR([16]Base!I26/[16]Base!I$76*I$4,0)</f>
        <v>0</v>
      </c>
      <c r="J26" s="1085">
        <f>IFERROR([16]Base!J26/[16]Base!J$76*J$4,0)</f>
        <v>0</v>
      </c>
      <c r="K26" s="1085">
        <f>IFERROR([16]Base!K26/[16]Base!K$76*K$4,0)</f>
        <v>397.30120481927713</v>
      </c>
      <c r="L26" s="1085">
        <f>IFERROR([16]Base!L26/[16]Base!L$76*L$4,0)</f>
        <v>0</v>
      </c>
      <c r="M26" s="1085">
        <f>IFERROR([16]Base!M26/[16]Base!M$76*M$4,0)</f>
        <v>0</v>
      </c>
      <c r="N26" s="1085">
        <f>IFERROR([16]Base!N26/[16]Base!N$76*N$4,0)</f>
        <v>0</v>
      </c>
      <c r="O26" s="1085">
        <f>IFERROR([16]Base!O26/[16]Base!O$76*O$4,0)</f>
        <v>0</v>
      </c>
      <c r="P26" s="1085">
        <f>IFERROR([16]Base!P26/[16]Base!P$76*P$4,0)</f>
        <v>0</v>
      </c>
      <c r="Q26" s="1085">
        <f>IFERROR([16]Base!Q26/[16]Base!Q$76*Q$4,0)</f>
        <v>0</v>
      </c>
      <c r="R26" s="1085"/>
      <c r="S26" s="1085">
        <f>IFERROR([16]Base!S26/[16]Base!S$76*S$4,0)</f>
        <v>0</v>
      </c>
      <c r="T26" s="1085">
        <f>IFERROR([16]Base!T26/[16]Base!T$76*T$4,0)</f>
        <v>0</v>
      </c>
      <c r="U26" s="1085">
        <f>IFERROR([16]Base!U26/[16]Base!U$76*U$4,0)</f>
        <v>0</v>
      </c>
      <c r="V26" s="1085">
        <f>IFERROR([16]Base!V26/[16]Base!V$76*V$4,0)</f>
        <v>0</v>
      </c>
      <c r="W26" s="1085">
        <f>IFERROR([16]Base!W26/[16]Base!W$76*W$4,0)</f>
        <v>0</v>
      </c>
      <c r="X26" s="1085">
        <f>IFERROR([16]Base!X26/[16]Base!X$76*X$4,0)</f>
        <v>0</v>
      </c>
      <c r="Y26" s="1085">
        <f>IFERROR([16]Base!Y26/[16]Base!Y$76*Y$4,0)</f>
        <v>0</v>
      </c>
      <c r="Z26" s="1085"/>
      <c r="AA26" s="1085">
        <f>IFERROR([16]Base!AA26/[16]Base!AA$76*AA$4,0)</f>
        <v>0</v>
      </c>
      <c r="AB26" s="1085">
        <f>IFERROR([16]Base!AB26/[16]Base!AB$76*AB$4,0)</f>
        <v>0</v>
      </c>
      <c r="AC26" s="1085"/>
      <c r="AD26" s="1085"/>
      <c r="AE26" s="1085"/>
      <c r="AF26" s="1085">
        <f>IFERROR([16]Base!AF26/[16]Base!AF$76*AF$4,0)</f>
        <v>0</v>
      </c>
      <c r="AG26" s="1085">
        <f>IFERROR([16]Base!AG26/[16]Base!AG$76*AG$4,0)</f>
        <v>0</v>
      </c>
      <c r="AH26" s="1085">
        <f>IFERROR([16]Base!AH26/[16]Base!AH$76*AH$4,0)</f>
        <v>0</v>
      </c>
      <c r="AI26" s="1085">
        <f>IFERROR([16]Base!AI26/[16]Base!AI$76*AI$4,0)</f>
        <v>0</v>
      </c>
      <c r="AJ26" s="1085">
        <f>IFERROR([16]Base!AJ26/[16]Base!AJ$76*AJ$4,0)</f>
        <v>0</v>
      </c>
      <c r="AK26" s="1085">
        <f>IFERROR([16]Base!AK26/[16]Base!AK$76*AK$4,0)</f>
        <v>0</v>
      </c>
      <c r="AL26" s="1085">
        <f>IFERROR([16]Base!AL26/[16]Base!AL$76*AL$4,0)</f>
        <v>0</v>
      </c>
      <c r="AM26" s="1085">
        <f>IFERROR([16]Base!AM26/[16]Base!AM$76*AM$4,0)</f>
        <v>0</v>
      </c>
      <c r="AN26" s="1085">
        <f>IFERROR([16]Base!AN26/[16]Base!AN$76*AN$4,0)</f>
        <v>0</v>
      </c>
      <c r="AO26" s="1085">
        <f>IFERROR('8_2.1.19 SIS'!AO26/'8_2.1.19 SIS'!AO$76*AO$4,0)</f>
        <v>0</v>
      </c>
      <c r="AP26" s="1085">
        <f>IFERROR('8_2.1.19 SIS'!AP26/'8_2.1.19 SIS'!AP$76*AP$4,0)</f>
        <v>0</v>
      </c>
      <c r="AQ26" s="1085">
        <f>IFERROR('8_2.1.19 SIS'!AQ26/'8_2.1.19 SIS'!AQ$76*AQ$4,0)</f>
        <v>0</v>
      </c>
      <c r="AR26" s="1085">
        <f>IFERROR('8_2.1.19 SIS'!AR26/'8_2.1.19 SIS'!AR$76*AR$4,0)</f>
        <v>0</v>
      </c>
      <c r="AS26" s="1085">
        <f>IFERROR('8_2.1.19 SIS'!AS26/'8_2.1.19 SIS'!AS$76*AS$4,0)</f>
        <v>0</v>
      </c>
      <c r="AT26" s="1085">
        <f>IFERROR([16]Base!AT26/[16]Base!AT$76*AT$4,0)</f>
        <v>1037.296875</v>
      </c>
      <c r="AU26" s="1085">
        <f>IFERROR([16]Base!AU26/[16]Base!AU$76*AU$4,0)</f>
        <v>1965.5405828893763</v>
      </c>
      <c r="AV26" s="1086">
        <f t="shared" si="1"/>
        <v>759777.13866270857</v>
      </c>
      <c r="AW26" s="1085">
        <f>IFERROR([16]Base!AW26/[16]Base!AW$76*AW$4,0)</f>
        <v>0</v>
      </c>
      <c r="AX26" s="1085">
        <f>IFERROR([16]Base!AX26/[16]Base!AX$76*AX$4,0)</f>
        <v>0</v>
      </c>
      <c r="AY26" s="1085">
        <f>IFERROR([16]Base!AY26/[16]Base!AY$76*AY$4,0)</f>
        <v>0</v>
      </c>
      <c r="AZ26" s="1085">
        <f>IFERROR([16]Base!AZ26/[16]Base!AZ$76*AZ$4,0)</f>
        <v>0</v>
      </c>
      <c r="BA26" s="1085">
        <f>IFERROR([16]Base!BA26/[16]Base!BA$76*BA$4,0)</f>
        <v>0</v>
      </c>
      <c r="BB26" s="1085">
        <f>IFERROR([16]Base!BB26/[16]Base!BB$76*BB$4,0)</f>
        <v>0</v>
      </c>
      <c r="BC26" s="1085">
        <f>IFERROR([16]Base!BC26/[16]Base!BC$76*BC$4,0)</f>
        <v>0</v>
      </c>
      <c r="BD26" s="1085">
        <f>IFERROR([16]Base!BD26/[16]Base!BD$76*BD$4,0)</f>
        <v>0</v>
      </c>
      <c r="BE26" s="1085">
        <f>IFERROR([16]Base!BE26/[16]Base!BE$76*BE$4,0)</f>
        <v>0</v>
      </c>
      <c r="BF26" s="1085">
        <f>IFERROR([16]Base!BF26/[16]Base!BF$76*BF$4,0)</f>
        <v>382.28491620111731</v>
      </c>
      <c r="BG26" s="1085">
        <f>IFERROR([16]Base!BG26/[16]Base!BG$76*BG$4,0)</f>
        <v>0</v>
      </c>
      <c r="BH26" s="1087">
        <f>IFERROR([16]Base!BH26/[16]Base!BH$76*BH$4,0)</f>
        <v>0</v>
      </c>
      <c r="BI26" s="1085">
        <f t="shared" si="2"/>
        <v>760159.42357890971</v>
      </c>
    </row>
    <row r="27" spans="1:61" s="270" customFormat="1" ht="16.149999999999999" customHeight="1" x14ac:dyDescent="0.2">
      <c r="A27" s="273" t="s">
        <v>95</v>
      </c>
      <c r="B27" s="264" t="s">
        <v>166</v>
      </c>
      <c r="C27" s="1079">
        <f>'3B_Pay Raise'!O27</f>
        <v>453943</v>
      </c>
      <c r="D27" s="1079"/>
      <c r="E27" s="1079">
        <f>IFERROR([16]Base!E27/[16]Base!E$76*E$4,0)</f>
        <v>0</v>
      </c>
      <c r="F27" s="1079">
        <f>IFERROR([16]Base!F27/[16]Base!F$76*F$4,0)</f>
        <v>0</v>
      </c>
      <c r="G27" s="1079">
        <f>IFERROR([16]Base!G27/[16]Base!G$76*G$4,0)</f>
        <v>0</v>
      </c>
      <c r="H27" s="1079">
        <f>IFERROR([16]Base!H27/[16]Base!H$76*H$4,0)</f>
        <v>0</v>
      </c>
      <c r="I27" s="1079">
        <f>IFERROR([16]Base!I27/[16]Base!I$76*I$4,0)</f>
        <v>0</v>
      </c>
      <c r="J27" s="1079">
        <f>IFERROR([16]Base!J27/[16]Base!J$76*J$4,0)</f>
        <v>0</v>
      </c>
      <c r="K27" s="1079">
        <f>IFERROR([16]Base!K27/[16]Base!K$76*K$4,0)</f>
        <v>0</v>
      </c>
      <c r="L27" s="1079">
        <f>IFERROR([16]Base!L27/[16]Base!L$76*L$4,0)</f>
        <v>0</v>
      </c>
      <c r="M27" s="1079">
        <f>IFERROR([16]Base!M27/[16]Base!M$76*M$4,0)</f>
        <v>0</v>
      </c>
      <c r="N27" s="1079">
        <f>IFERROR([16]Base!N27/[16]Base!N$76*N$4,0)</f>
        <v>0</v>
      </c>
      <c r="O27" s="1079">
        <f>IFERROR([16]Base!O27/[16]Base!O$76*O$4,0)</f>
        <v>0</v>
      </c>
      <c r="P27" s="1079">
        <f>IFERROR([16]Base!P27/[16]Base!P$76*P$4,0)</f>
        <v>250.84810126582278</v>
      </c>
      <c r="Q27" s="1079">
        <f>IFERROR([16]Base!Q27/[16]Base!Q$76*Q$4,0)</f>
        <v>0</v>
      </c>
      <c r="R27" s="1079"/>
      <c r="S27" s="1079">
        <f>IFERROR([16]Base!S27/[16]Base!S$76*S$4,0)</f>
        <v>0</v>
      </c>
      <c r="T27" s="1079">
        <f>IFERROR([16]Base!T27/[16]Base!T$76*T$4,0)</f>
        <v>0</v>
      </c>
      <c r="U27" s="1079">
        <f>IFERROR([16]Base!U27/[16]Base!U$76*U$4,0)</f>
        <v>0</v>
      </c>
      <c r="V27" s="1079">
        <f>IFERROR([16]Base!V27/[16]Base!V$76*V$4,0)</f>
        <v>0</v>
      </c>
      <c r="W27" s="1079">
        <f>IFERROR([16]Base!W27/[16]Base!W$76*W$4,0)</f>
        <v>0</v>
      </c>
      <c r="X27" s="1079">
        <f>IFERROR([16]Base!X27/[16]Base!X$76*X$4,0)</f>
        <v>0</v>
      </c>
      <c r="Y27" s="1079">
        <f>IFERROR([16]Base!Y27/[16]Base!Y$76*Y$4,0)</f>
        <v>0</v>
      </c>
      <c r="Z27" s="1079"/>
      <c r="AA27" s="1079">
        <f>IFERROR([16]Base!AA27/[16]Base!AA$76*AA$4,0)</f>
        <v>0</v>
      </c>
      <c r="AB27" s="1080">
        <f>IFERROR([16]Base!AB27/[16]Base!AB$76*AB$4,0)</f>
        <v>0</v>
      </c>
      <c r="AC27" s="1080"/>
      <c r="AD27" s="1080"/>
      <c r="AE27" s="1080"/>
      <c r="AF27" s="1080">
        <f>IFERROR([16]Base!AF27/[16]Base!AF$76*AF$4,0)</f>
        <v>0</v>
      </c>
      <c r="AG27" s="1080">
        <f>IFERROR([16]Base!AG27/[16]Base!AG$76*AG$4,0)</f>
        <v>0</v>
      </c>
      <c r="AH27" s="1080">
        <f>IFERROR([16]Base!AH27/[16]Base!AH$76*AH$4,0)</f>
        <v>0</v>
      </c>
      <c r="AI27" s="1080">
        <f>IFERROR([16]Base!AI27/[16]Base!AI$76*AI$4,0)</f>
        <v>0</v>
      </c>
      <c r="AJ27" s="1080">
        <f>IFERROR([16]Base!AJ27/[16]Base!AJ$76*AJ$4,0)</f>
        <v>0</v>
      </c>
      <c r="AK27" s="1080">
        <f>IFERROR([16]Base!AK27/[16]Base!AK$76*AK$4,0)</f>
        <v>0</v>
      </c>
      <c r="AL27" s="1080">
        <f>IFERROR([16]Base!AL27/[16]Base!AL$76*AL$4,0)</f>
        <v>0</v>
      </c>
      <c r="AM27" s="1080">
        <f>IFERROR([16]Base!AM27/[16]Base!AM$76*AM$4,0)</f>
        <v>0</v>
      </c>
      <c r="AN27" s="1080">
        <f>IFERROR([16]Base!AN27/[16]Base!AN$76*AN$4,0)</f>
        <v>0</v>
      </c>
      <c r="AO27" s="1080">
        <f>IFERROR('8_2.1.19 SIS'!AO27/'8_2.1.19 SIS'!AO$76*AO$4,0)</f>
        <v>0</v>
      </c>
      <c r="AP27" s="1080">
        <f>IFERROR('8_2.1.19 SIS'!AP27/'8_2.1.19 SIS'!AP$76*AP$4,0)</f>
        <v>0</v>
      </c>
      <c r="AQ27" s="1080">
        <f>IFERROR('8_2.1.19 SIS'!AQ27/'8_2.1.19 SIS'!AQ$76*AQ$4,0)</f>
        <v>0</v>
      </c>
      <c r="AR27" s="1080">
        <f>IFERROR('8_2.1.19 SIS'!AR27/'8_2.1.19 SIS'!AR$76*AR$4,0)</f>
        <v>0</v>
      </c>
      <c r="AS27" s="1080">
        <f>IFERROR('8_2.1.19 SIS'!AS27/'8_2.1.19 SIS'!AS$76*AS$4,0)</f>
        <v>0</v>
      </c>
      <c r="AT27" s="1079">
        <f>IFERROR([16]Base!AT27/[16]Base!AT$76*AT$4,0)</f>
        <v>576.27604166666663</v>
      </c>
      <c r="AU27" s="1079">
        <f>IFERROR([16]Base!AU27/[16]Base!AU$76*AU$4,0)</f>
        <v>1179.3243497336257</v>
      </c>
      <c r="AV27" s="1081">
        <f t="shared" si="1"/>
        <v>455949.44849266618</v>
      </c>
      <c r="AW27" s="1079">
        <f>IFERROR([16]Base!AW27/[16]Base!AW$76*AW$4,0)</f>
        <v>200.37918215613382</v>
      </c>
      <c r="AX27" s="1079">
        <f>IFERROR([16]Base!AX27/[16]Base!AX$76*AX$4,0)</f>
        <v>0</v>
      </c>
      <c r="AY27" s="1079">
        <f>IFERROR([16]Base!AY27/[16]Base!AY$76*AY$4,0)</f>
        <v>0</v>
      </c>
      <c r="AZ27" s="1079">
        <f>IFERROR([16]Base!AZ27/[16]Base!AZ$76*AZ$4,0)</f>
        <v>0</v>
      </c>
      <c r="BA27" s="1079">
        <f>IFERROR([16]Base!BA27/[16]Base!BA$76*BA$4,0)</f>
        <v>8255.5721040189128</v>
      </c>
      <c r="BB27" s="1079">
        <f>IFERROR([16]Base!BB27/[16]Base!BB$76*BB$4,0)</f>
        <v>0</v>
      </c>
      <c r="BC27" s="1079">
        <f>IFERROR([16]Base!BC27/[16]Base!BC$76*BC$4,0)</f>
        <v>0</v>
      </c>
      <c r="BD27" s="1079">
        <f>IFERROR([16]Base!BD27/[16]Base!BD$76*BD$4,0)</f>
        <v>0</v>
      </c>
      <c r="BE27" s="1079">
        <f>IFERROR([16]Base!BE27/[16]Base!BE$76*BE$4,0)</f>
        <v>0</v>
      </c>
      <c r="BF27" s="1079">
        <f>IFERROR([16]Base!BF27/[16]Base!BF$76*BF$4,0)</f>
        <v>573.42737430167597</v>
      </c>
      <c r="BG27" s="1079">
        <f>IFERROR([16]Base!BG27/[16]Base!BG$76*BG$4,0)</f>
        <v>0</v>
      </c>
      <c r="BH27" s="1082">
        <f>IFERROR([16]Base!BH27/[16]Base!BH$76*BH$4,0)</f>
        <v>0</v>
      </c>
      <c r="BI27" s="1079">
        <f t="shared" si="2"/>
        <v>464978.82715314289</v>
      </c>
    </row>
    <row r="28" spans="1:61" s="270" customFormat="1" ht="16.149999999999999" customHeight="1" x14ac:dyDescent="0.2">
      <c r="A28" s="275" t="s">
        <v>96</v>
      </c>
      <c r="B28" s="260" t="s">
        <v>167</v>
      </c>
      <c r="C28" s="1083">
        <f>'3B_Pay Raise'!O28</f>
        <v>423800</v>
      </c>
      <c r="D28" s="1083"/>
      <c r="E28" s="1083">
        <f>IFERROR([16]Base!E28/[16]Base!E$76*E$4,0)</f>
        <v>0</v>
      </c>
      <c r="F28" s="1083">
        <f>IFERROR([16]Base!F28/[16]Base!F$76*F$4,0)</f>
        <v>0</v>
      </c>
      <c r="G28" s="1083">
        <f>IFERROR([16]Base!G28/[16]Base!G$76*G$4,0)</f>
        <v>0</v>
      </c>
      <c r="H28" s="1083">
        <f>IFERROR([16]Base!H28/[16]Base!H$76*H$4,0)</f>
        <v>0</v>
      </c>
      <c r="I28" s="1083">
        <f>IFERROR([16]Base!I28/[16]Base!I$76*I$4,0)</f>
        <v>0</v>
      </c>
      <c r="J28" s="1083">
        <f>IFERROR([16]Base!J28/[16]Base!J$76*J$4,0)</f>
        <v>0</v>
      </c>
      <c r="K28" s="1083">
        <f>IFERROR([16]Base!K28/[16]Base!K$76*K$4,0)</f>
        <v>0</v>
      </c>
      <c r="L28" s="1083">
        <f>IFERROR([16]Base!L28/[16]Base!L$76*L$4,0)</f>
        <v>0</v>
      </c>
      <c r="M28" s="1083">
        <f>IFERROR([16]Base!M28/[16]Base!M$76*M$4,0)</f>
        <v>0</v>
      </c>
      <c r="N28" s="1083">
        <f>IFERROR([16]Base!N28/[16]Base!N$76*N$4,0)</f>
        <v>0</v>
      </c>
      <c r="O28" s="1083">
        <f>IFERROR([16]Base!O28/[16]Base!O$76*O$4,0)</f>
        <v>0</v>
      </c>
      <c r="P28" s="1083">
        <f>IFERROR([16]Base!P28/[16]Base!P$76*P$4,0)</f>
        <v>0</v>
      </c>
      <c r="Q28" s="1083">
        <f>IFERROR([16]Base!Q28/[16]Base!Q$76*Q$4,0)</f>
        <v>0</v>
      </c>
      <c r="R28" s="1083"/>
      <c r="S28" s="1083">
        <f>IFERROR([16]Base!S28/[16]Base!S$76*S$4,0)</f>
        <v>0</v>
      </c>
      <c r="T28" s="1083">
        <f>IFERROR([16]Base!T28/[16]Base!T$76*T$4,0)</f>
        <v>0</v>
      </c>
      <c r="U28" s="1083">
        <f>IFERROR([16]Base!U28/[16]Base!U$76*U$4,0)</f>
        <v>0</v>
      </c>
      <c r="V28" s="1083">
        <f>IFERROR([16]Base!V28/[16]Base!V$76*V$4,0)</f>
        <v>0</v>
      </c>
      <c r="W28" s="1083">
        <f>IFERROR([16]Base!W28/[16]Base!W$76*W$4,0)</f>
        <v>0</v>
      </c>
      <c r="X28" s="1083">
        <f>IFERROR([16]Base!X28/[16]Base!X$76*X$4,0)</f>
        <v>0</v>
      </c>
      <c r="Y28" s="1083">
        <f>IFERROR([16]Base!Y28/[16]Base!Y$76*Y$4,0)</f>
        <v>0</v>
      </c>
      <c r="Z28" s="1083"/>
      <c r="AA28" s="1083">
        <f>IFERROR([16]Base!AA28/[16]Base!AA$76*AA$4,0)</f>
        <v>0</v>
      </c>
      <c r="AB28" s="1083">
        <f>IFERROR([16]Base!AB28/[16]Base!AB$76*AB$4,0)</f>
        <v>0</v>
      </c>
      <c r="AC28" s="1083"/>
      <c r="AD28" s="1083"/>
      <c r="AE28" s="1083"/>
      <c r="AF28" s="1083">
        <f>IFERROR([16]Base!AF28/[16]Base!AF$76*AF$4,0)</f>
        <v>0</v>
      </c>
      <c r="AG28" s="1083">
        <f>IFERROR([16]Base!AG28/[16]Base!AG$76*AG$4,0)</f>
        <v>0</v>
      </c>
      <c r="AH28" s="1083">
        <f>IFERROR([16]Base!AH28/[16]Base!AH$76*AH$4,0)</f>
        <v>0</v>
      </c>
      <c r="AI28" s="1083">
        <f>IFERROR([16]Base!AI28/[16]Base!AI$76*AI$4,0)</f>
        <v>0</v>
      </c>
      <c r="AJ28" s="1083">
        <f>IFERROR([16]Base!AJ28/[16]Base!AJ$76*AJ$4,0)</f>
        <v>0</v>
      </c>
      <c r="AK28" s="1083">
        <f>IFERROR([16]Base!AK28/[16]Base!AK$76*AK$4,0)</f>
        <v>0</v>
      </c>
      <c r="AL28" s="1083">
        <f>IFERROR([16]Base!AL28/[16]Base!AL$76*AL$4,0)</f>
        <v>0</v>
      </c>
      <c r="AM28" s="1083">
        <f>IFERROR([16]Base!AM28/[16]Base!AM$76*AM$4,0)</f>
        <v>0</v>
      </c>
      <c r="AN28" s="1083">
        <f>IFERROR([16]Base!AN28/[16]Base!AN$76*AN$4,0)</f>
        <v>0</v>
      </c>
      <c r="AO28" s="1083">
        <f>IFERROR('8_2.1.19 SIS'!AO28/'8_2.1.19 SIS'!AO$76*AO$4,0)</f>
        <v>0</v>
      </c>
      <c r="AP28" s="1083">
        <f>IFERROR('8_2.1.19 SIS'!AP28/'8_2.1.19 SIS'!AP$76*AP$4,0)</f>
        <v>0</v>
      </c>
      <c r="AQ28" s="1083">
        <f>IFERROR('8_2.1.19 SIS'!AQ28/'8_2.1.19 SIS'!AQ$76*AQ$4,0)</f>
        <v>0</v>
      </c>
      <c r="AR28" s="1083">
        <f>IFERROR('8_2.1.19 SIS'!AR28/'8_2.1.19 SIS'!AR$76*AR$4,0)</f>
        <v>0</v>
      </c>
      <c r="AS28" s="1083">
        <f>IFERROR('8_2.1.19 SIS'!AS28/'8_2.1.19 SIS'!AS$76*AS$4,0)</f>
        <v>0</v>
      </c>
      <c r="AT28" s="1083">
        <f>IFERROR([16]Base!AT28/[16]Base!AT$76*AT$4,0)</f>
        <v>518.6484375</v>
      </c>
      <c r="AU28" s="1083">
        <f>IFERROR([16]Base!AU28/[16]Base!AU$76*AU$4,0)</f>
        <v>1768.9865246004388</v>
      </c>
      <c r="AV28" s="1084">
        <f t="shared" si="1"/>
        <v>426087.63496210042</v>
      </c>
      <c r="AW28" s="1083">
        <f>IFERROR([16]Base!AW28/[16]Base!AW$76*AW$4,0)</f>
        <v>0</v>
      </c>
      <c r="AX28" s="1083">
        <f>IFERROR([16]Base!AX28/[16]Base!AX$76*AX$4,0)</f>
        <v>0</v>
      </c>
      <c r="AY28" s="1083">
        <f>IFERROR([16]Base!AY28/[16]Base!AY$76*AY$4,0)</f>
        <v>0</v>
      </c>
      <c r="AZ28" s="1083">
        <f>IFERROR([16]Base!AZ28/[16]Base!AZ$76*AZ$4,0)</f>
        <v>0</v>
      </c>
      <c r="BA28" s="1083">
        <f>IFERROR([16]Base!BA28/[16]Base!BA$76*BA$4,0)</f>
        <v>0</v>
      </c>
      <c r="BB28" s="1083">
        <f>IFERROR([16]Base!BB28/[16]Base!BB$76*BB$4,0)</f>
        <v>0</v>
      </c>
      <c r="BC28" s="1083">
        <f>IFERROR([16]Base!BC28/[16]Base!BC$76*BC$4,0)</f>
        <v>0</v>
      </c>
      <c r="BD28" s="1083">
        <f>IFERROR([16]Base!BD28/[16]Base!BD$76*BD$4,0)</f>
        <v>0</v>
      </c>
      <c r="BE28" s="1083">
        <f>IFERROR([16]Base!BE28/[16]Base!BE$76*BE$4,0)</f>
        <v>0</v>
      </c>
      <c r="BF28" s="1083">
        <f>IFERROR([16]Base!BF28/[16]Base!BF$76*BF$4,0)</f>
        <v>573.42737430167597</v>
      </c>
      <c r="BG28" s="1083">
        <f>IFERROR([16]Base!BG28/[16]Base!BG$76*BG$4,0)</f>
        <v>0</v>
      </c>
      <c r="BH28" s="1083">
        <f>IFERROR([16]Base!BH28/[16]Base!BH$76*BH$4,0)</f>
        <v>0</v>
      </c>
      <c r="BI28" s="1083">
        <f t="shared" si="2"/>
        <v>426661.06233640207</v>
      </c>
    </row>
    <row r="29" spans="1:61" s="270" customFormat="1" ht="16.149999999999999" customHeight="1" x14ac:dyDescent="0.2">
      <c r="A29" s="275" t="s">
        <v>97</v>
      </c>
      <c r="B29" s="260" t="s">
        <v>168</v>
      </c>
      <c r="C29" s="1083">
        <f>'3B_Pay Raise'!O29</f>
        <v>1707453</v>
      </c>
      <c r="D29" s="1083"/>
      <c r="E29" s="1083">
        <f>IFERROR([16]Base!E29/[16]Base!E$76*E$4,0)</f>
        <v>0</v>
      </c>
      <c r="F29" s="1083">
        <f>IFERROR([16]Base!F29/[16]Base!F$76*F$4,0)</f>
        <v>0</v>
      </c>
      <c r="G29" s="1083">
        <f>IFERROR([16]Base!G29/[16]Base!G$76*G$4,0)</f>
        <v>0</v>
      </c>
      <c r="H29" s="1083">
        <f>IFERROR([16]Base!H29/[16]Base!H$76*H$4,0)</f>
        <v>0</v>
      </c>
      <c r="I29" s="1083">
        <f>IFERROR([16]Base!I29/[16]Base!I$76*I$4,0)</f>
        <v>0</v>
      </c>
      <c r="J29" s="1083">
        <f>IFERROR([16]Base!J29/[16]Base!J$76*J$4,0)</f>
        <v>0</v>
      </c>
      <c r="K29" s="1083">
        <f>IFERROR([16]Base!K29/[16]Base!K$76*K$4,0)</f>
        <v>0</v>
      </c>
      <c r="L29" s="1083">
        <f>IFERROR([16]Base!L29/[16]Base!L$76*L$4,0)</f>
        <v>0</v>
      </c>
      <c r="M29" s="1083">
        <f>IFERROR([16]Base!M29/[16]Base!M$76*M$4,0)</f>
        <v>0</v>
      </c>
      <c r="N29" s="1083">
        <f>IFERROR([16]Base!N29/[16]Base!N$76*N$4,0)</f>
        <v>0</v>
      </c>
      <c r="O29" s="1083">
        <f>IFERROR([16]Base!O29/[16]Base!O$76*O$4,0)</f>
        <v>0</v>
      </c>
      <c r="P29" s="1083">
        <f>IFERROR([16]Base!P29/[16]Base!P$76*P$4,0)</f>
        <v>0</v>
      </c>
      <c r="Q29" s="1083">
        <f>IFERROR([16]Base!Q29/[16]Base!Q$76*Q$4,0)</f>
        <v>0</v>
      </c>
      <c r="R29" s="1083"/>
      <c r="S29" s="1083">
        <f>IFERROR([16]Base!S29/[16]Base!S$76*S$4,0)</f>
        <v>0</v>
      </c>
      <c r="T29" s="1083">
        <f>IFERROR([16]Base!T29/[16]Base!T$76*T$4,0)</f>
        <v>0</v>
      </c>
      <c r="U29" s="1083">
        <f>IFERROR([16]Base!U29/[16]Base!U$76*U$4,0)</f>
        <v>0</v>
      </c>
      <c r="V29" s="1083">
        <f>IFERROR([16]Base!V29/[16]Base!V$76*V$4,0)</f>
        <v>0</v>
      </c>
      <c r="W29" s="1083">
        <f>IFERROR([16]Base!W29/[16]Base!W$76*W$4,0)</f>
        <v>6645.9642857142862</v>
      </c>
      <c r="X29" s="1083">
        <f>IFERROR([16]Base!X29/[16]Base!X$76*X$4,0)</f>
        <v>406.40653728294177</v>
      </c>
      <c r="Y29" s="1083">
        <f>IFERROR([16]Base!Y29/[16]Base!Y$76*Y$4,0)</f>
        <v>0</v>
      </c>
      <c r="Z29" s="1083"/>
      <c r="AA29" s="1083">
        <f>IFERROR([16]Base!AA29/[16]Base!AA$76*AA$4,0)</f>
        <v>0</v>
      </c>
      <c r="AB29" s="1083">
        <f>IFERROR([16]Base!AB29/[16]Base!AB$76*AB$4,0)</f>
        <v>0</v>
      </c>
      <c r="AC29" s="1083"/>
      <c r="AD29" s="1083"/>
      <c r="AE29" s="1083"/>
      <c r="AF29" s="1083">
        <f>IFERROR([16]Base!AF29/[16]Base!AF$76*AF$4,0)</f>
        <v>0</v>
      </c>
      <c r="AG29" s="1083">
        <f>IFERROR([16]Base!AG29/[16]Base!AG$76*AG$4,0)</f>
        <v>0</v>
      </c>
      <c r="AH29" s="1083">
        <f>IFERROR([16]Base!AH29/[16]Base!AH$76*AH$4,0)</f>
        <v>185.88235294117646</v>
      </c>
      <c r="AI29" s="1083">
        <f>IFERROR([16]Base!AI29/[16]Base!AI$76*AI$4,0)</f>
        <v>0</v>
      </c>
      <c r="AJ29" s="1083">
        <f>IFERROR([16]Base!AJ29/[16]Base!AJ$76*AJ$4,0)</f>
        <v>0</v>
      </c>
      <c r="AK29" s="1083">
        <f>IFERROR([16]Base!AK29/[16]Base!AK$76*AK$4,0)</f>
        <v>0</v>
      </c>
      <c r="AL29" s="1083">
        <f>IFERROR([16]Base!AL29/[16]Base!AL$76*AL$4,0)</f>
        <v>0</v>
      </c>
      <c r="AM29" s="1083">
        <f>IFERROR([16]Base!AM29/[16]Base!AM$76*AM$4,0)</f>
        <v>0</v>
      </c>
      <c r="AN29" s="1083">
        <f>IFERROR([16]Base!AN29/[16]Base!AN$76*AN$4,0)</f>
        <v>0</v>
      </c>
      <c r="AO29" s="1083">
        <f>IFERROR('8_2.1.19 SIS'!AO29/'8_2.1.19 SIS'!AO$76*AO$4,0)</f>
        <v>0</v>
      </c>
      <c r="AP29" s="1083">
        <f>IFERROR('8_2.1.19 SIS'!AP29/'8_2.1.19 SIS'!AP$76*AP$4,0)</f>
        <v>0</v>
      </c>
      <c r="AQ29" s="1083">
        <f>IFERROR('8_2.1.19 SIS'!AQ29/'8_2.1.19 SIS'!AQ$76*AQ$4,0)</f>
        <v>0</v>
      </c>
      <c r="AR29" s="1083">
        <f>IFERROR('8_2.1.19 SIS'!AR29/'8_2.1.19 SIS'!AR$76*AR$4,0)</f>
        <v>0</v>
      </c>
      <c r="AS29" s="1083">
        <f>IFERROR('8_2.1.19 SIS'!AS29/'8_2.1.19 SIS'!AS$76*AS$4,0)</f>
        <v>0</v>
      </c>
      <c r="AT29" s="1083">
        <f>IFERROR([16]Base!AT29/[16]Base!AT$76*AT$4,0)</f>
        <v>1786.4557291666667</v>
      </c>
      <c r="AU29" s="1083">
        <f>IFERROR([16]Base!AU29/[16]Base!AU$76*AU$4,0)</f>
        <v>3931.0811657787526</v>
      </c>
      <c r="AV29" s="1084">
        <f t="shared" si="1"/>
        <v>1720408.7900708839</v>
      </c>
      <c r="AW29" s="1083">
        <f>IFERROR([16]Base!AW29/[16]Base!AW$76*AW$4,0)</f>
        <v>0</v>
      </c>
      <c r="AX29" s="1083">
        <f>IFERROR([16]Base!AX29/[16]Base!AX$76*AX$4,0)</f>
        <v>13209.382183908045</v>
      </c>
      <c r="AY29" s="1083">
        <f>IFERROR([16]Base!AY29/[16]Base!AY$76*AY$4,0)</f>
        <v>0</v>
      </c>
      <c r="AZ29" s="1083">
        <f>IFERROR([16]Base!AZ29/[16]Base!AZ$76*AZ$4,0)</f>
        <v>0</v>
      </c>
      <c r="BA29" s="1083">
        <f>IFERROR([16]Base!BA29/[16]Base!BA$76*BA$4,0)</f>
        <v>0</v>
      </c>
      <c r="BB29" s="1083">
        <f>IFERROR([16]Base!BB29/[16]Base!BB$76*BB$4,0)</f>
        <v>0</v>
      </c>
      <c r="BC29" s="1083">
        <f>IFERROR([16]Base!BC29/[16]Base!BC$76*BC$4,0)</f>
        <v>0</v>
      </c>
      <c r="BD29" s="1083">
        <f>IFERROR([16]Base!BD29/[16]Base!BD$76*BD$4,0)</f>
        <v>0</v>
      </c>
      <c r="BE29" s="1083">
        <f>IFERROR([16]Base!BE29/[16]Base!BE$76*BE$4,0)</f>
        <v>0</v>
      </c>
      <c r="BF29" s="1083">
        <f>IFERROR([16]Base!BF29/[16]Base!BF$76*BF$4,0)</f>
        <v>1146.8547486033519</v>
      </c>
      <c r="BG29" s="1083">
        <f>IFERROR([16]Base!BG29/[16]Base!BG$76*BG$4,0)</f>
        <v>0</v>
      </c>
      <c r="BH29" s="1083">
        <f>IFERROR([16]Base!BH29/[16]Base!BH$76*BH$4,0)</f>
        <v>0</v>
      </c>
      <c r="BI29" s="1083">
        <f t="shared" si="2"/>
        <v>1734765.0270033954</v>
      </c>
    </row>
    <row r="30" spans="1:61" s="270" customFormat="1" ht="16.149999999999999" customHeight="1" x14ac:dyDescent="0.2">
      <c r="A30" s="275" t="s">
        <v>98</v>
      </c>
      <c r="B30" s="260" t="s">
        <v>169</v>
      </c>
      <c r="C30" s="1083">
        <f>'3B_Pay Raise'!O30</f>
        <v>769170</v>
      </c>
      <c r="D30" s="1083"/>
      <c r="E30" s="1083">
        <f>IFERROR([16]Base!E30/[16]Base!E$76*E$4,0)</f>
        <v>202.50526315789475</v>
      </c>
      <c r="F30" s="1083">
        <f>IFERROR([16]Base!F30/[16]Base!F$76*F$4,0)</f>
        <v>0</v>
      </c>
      <c r="G30" s="1083">
        <f>IFERROR([16]Base!G30/[16]Base!G$76*G$4,0)</f>
        <v>0</v>
      </c>
      <c r="H30" s="1083">
        <f>IFERROR([16]Base!H30/[16]Base!H$76*H$4,0)</f>
        <v>0</v>
      </c>
      <c r="I30" s="1083">
        <f>IFERROR([16]Base!I30/[16]Base!I$76*I$4,0)</f>
        <v>0</v>
      </c>
      <c r="J30" s="1083">
        <f>IFERROR([16]Base!J30/[16]Base!J$76*J$4,0)</f>
        <v>0</v>
      </c>
      <c r="K30" s="1083">
        <f>IFERROR([16]Base!K30/[16]Base!K$76*K$4,0)</f>
        <v>0</v>
      </c>
      <c r="L30" s="1083">
        <f>IFERROR([16]Base!L30/[16]Base!L$76*L$4,0)</f>
        <v>0</v>
      </c>
      <c r="M30" s="1083">
        <f>IFERROR([16]Base!M30/[16]Base!M$76*M$4,0)</f>
        <v>3446.0052631578947</v>
      </c>
      <c r="N30" s="1083">
        <f>IFERROR([16]Base!N30/[16]Base!N$76*N$4,0)</f>
        <v>0</v>
      </c>
      <c r="O30" s="1083">
        <f>IFERROR([16]Base!O30/[16]Base!O$76*O$4,0)</f>
        <v>0</v>
      </c>
      <c r="P30" s="1083">
        <f>IFERROR([16]Base!P30/[16]Base!P$76*P$4,0)</f>
        <v>0</v>
      </c>
      <c r="Q30" s="1083">
        <f>IFERROR([16]Base!Q30/[16]Base!Q$76*Q$4,0)</f>
        <v>127.74365482233502</v>
      </c>
      <c r="R30" s="1083"/>
      <c r="S30" s="1083">
        <f>IFERROR([16]Base!S30/[16]Base!S$76*S$4,0)</f>
        <v>275.56415478615071</v>
      </c>
      <c r="T30" s="1083">
        <f>IFERROR([16]Base!T30/[16]Base!T$76*T$4,0)</f>
        <v>19267.811224489793</v>
      </c>
      <c r="U30" s="1083">
        <f>IFERROR([16]Base!U30/[16]Base!U$76*U$4,0)</f>
        <v>0</v>
      </c>
      <c r="V30" s="1083">
        <f>IFERROR([16]Base!V30/[16]Base!V$76*V$4,0)</f>
        <v>0</v>
      </c>
      <c r="W30" s="1083">
        <f>IFERROR([16]Base!W30/[16]Base!W$76*W$4,0)</f>
        <v>0</v>
      </c>
      <c r="X30" s="1083">
        <f>IFERROR([16]Base!X30/[16]Base!X$76*X$4,0)</f>
        <v>0</v>
      </c>
      <c r="Y30" s="1083">
        <f>IFERROR([16]Base!Y30/[16]Base!Y$76*Y$4,0)</f>
        <v>0</v>
      </c>
      <c r="Z30" s="1083"/>
      <c r="AA30" s="1083">
        <f>IFERROR([16]Base!AA30/[16]Base!AA$76*AA$4,0)</f>
        <v>0</v>
      </c>
      <c r="AB30" s="1083">
        <f>IFERROR([16]Base!AB30/[16]Base!AB$76*AB$4,0)</f>
        <v>0</v>
      </c>
      <c r="AC30" s="1083"/>
      <c r="AD30" s="1083"/>
      <c r="AE30" s="1083"/>
      <c r="AF30" s="1083">
        <f>IFERROR([16]Base!AF30/[16]Base!AF$76*AF$4,0)</f>
        <v>0</v>
      </c>
      <c r="AG30" s="1083">
        <f>IFERROR([16]Base!AG30/[16]Base!AG$76*AG$4,0)</f>
        <v>0</v>
      </c>
      <c r="AH30" s="1083">
        <f>IFERROR([16]Base!AH30/[16]Base!AH$76*AH$4,0)</f>
        <v>0</v>
      </c>
      <c r="AI30" s="1083">
        <f>IFERROR([16]Base!AI30/[16]Base!AI$76*AI$4,0)</f>
        <v>0</v>
      </c>
      <c r="AJ30" s="1083">
        <f>IFERROR([16]Base!AJ30/[16]Base!AJ$76*AJ$4,0)</f>
        <v>0</v>
      </c>
      <c r="AK30" s="1083">
        <f>IFERROR([16]Base!AK30/[16]Base!AK$76*AK$4,0)</f>
        <v>0</v>
      </c>
      <c r="AL30" s="1083">
        <f>IFERROR([16]Base!AL30/[16]Base!AL$76*AL$4,0)</f>
        <v>0</v>
      </c>
      <c r="AM30" s="1083">
        <f>IFERROR([16]Base!AM30/[16]Base!AM$76*AM$4,0)</f>
        <v>0</v>
      </c>
      <c r="AN30" s="1083">
        <f>IFERROR([16]Base!AN30/[16]Base!AN$76*AN$4,0)</f>
        <v>0</v>
      </c>
      <c r="AO30" s="1083">
        <f>IFERROR('8_2.1.19 SIS'!AO30/'8_2.1.19 SIS'!AO$76*AO$4,0)</f>
        <v>0</v>
      </c>
      <c r="AP30" s="1083">
        <f>IFERROR('8_2.1.19 SIS'!AP30/'8_2.1.19 SIS'!AP$76*AP$4,0)</f>
        <v>0</v>
      </c>
      <c r="AQ30" s="1083">
        <f>IFERROR('8_2.1.19 SIS'!AQ30/'8_2.1.19 SIS'!AQ$76*AQ$4,0)</f>
        <v>0</v>
      </c>
      <c r="AR30" s="1083">
        <f>IFERROR('8_2.1.19 SIS'!AR30/'8_2.1.19 SIS'!AR$76*AR$4,0)</f>
        <v>0</v>
      </c>
      <c r="AS30" s="1083">
        <f>IFERROR('8_2.1.19 SIS'!AS30/'8_2.1.19 SIS'!AS$76*AS$4,0)</f>
        <v>0</v>
      </c>
      <c r="AT30" s="1083">
        <f>IFERROR([16]Base!AT30/[16]Base!AT$76*AT$4,0)</f>
        <v>345.765625</v>
      </c>
      <c r="AU30" s="1083">
        <f>IFERROR([16]Base!AU30/[16]Base!AU$76*AU$4,0)</f>
        <v>1768.9865246004388</v>
      </c>
      <c r="AV30" s="1084">
        <f t="shared" si="1"/>
        <v>794604.38171001454</v>
      </c>
      <c r="AW30" s="1083">
        <f>IFERROR([16]Base!AW30/[16]Base!AW$76*AW$4,0)</f>
        <v>0</v>
      </c>
      <c r="AX30" s="1083">
        <f>IFERROR([16]Base!AX30/[16]Base!AX$76*AX$4,0)</f>
        <v>0</v>
      </c>
      <c r="AY30" s="1083">
        <f>IFERROR([16]Base!AY30/[16]Base!AY$76*AY$4,0)</f>
        <v>0</v>
      </c>
      <c r="AZ30" s="1083">
        <f>IFERROR([16]Base!AZ30/[16]Base!AZ$76*AZ$4,0)</f>
        <v>0</v>
      </c>
      <c r="BA30" s="1083">
        <f>IFERROR([16]Base!BA30/[16]Base!BA$76*BA$4,0)</f>
        <v>0</v>
      </c>
      <c r="BB30" s="1083">
        <f>IFERROR([16]Base!BB30/[16]Base!BB$76*BB$4,0)</f>
        <v>187.03728070175438</v>
      </c>
      <c r="BC30" s="1083">
        <f>IFERROR([16]Base!BC30/[16]Base!BC$76*BC$4,0)</f>
        <v>0</v>
      </c>
      <c r="BD30" s="1083">
        <f>IFERROR([16]Base!BD30/[16]Base!BD$76*BD$4,0)</f>
        <v>0</v>
      </c>
      <c r="BE30" s="1083">
        <f>IFERROR([16]Base!BE30/[16]Base!BE$76*BE$4,0)</f>
        <v>0</v>
      </c>
      <c r="BF30" s="1083">
        <f>IFERROR([16]Base!BF30/[16]Base!BF$76*BF$4,0)</f>
        <v>382.28491620111731</v>
      </c>
      <c r="BG30" s="1083">
        <f>IFERROR([16]Base!BG30/[16]Base!BG$76*BG$4,0)</f>
        <v>0</v>
      </c>
      <c r="BH30" s="1083">
        <f>IFERROR([16]Base!BH30/[16]Base!BH$76*BH$4,0)</f>
        <v>1098.6127167630057</v>
      </c>
      <c r="BI30" s="1083">
        <f t="shared" si="2"/>
        <v>796272.31662368053</v>
      </c>
    </row>
    <row r="31" spans="1:61" s="270" customFormat="1" ht="16.149999999999999" customHeight="1" x14ac:dyDescent="0.2">
      <c r="A31" s="277" t="s">
        <v>99</v>
      </c>
      <c r="B31" s="262" t="s">
        <v>170</v>
      </c>
      <c r="C31" s="1085">
        <f>'3B_Pay Raise'!O31</f>
        <v>332662</v>
      </c>
      <c r="D31" s="1085"/>
      <c r="E31" s="1085">
        <f>IFERROR([16]Base!E31/[16]Base!E$76*E$4,0)</f>
        <v>0</v>
      </c>
      <c r="F31" s="1085">
        <f>IFERROR([16]Base!F31/[16]Base!F$76*F$4,0)</f>
        <v>0</v>
      </c>
      <c r="G31" s="1085">
        <f>IFERROR([16]Base!G31/[16]Base!G$76*G$4,0)</f>
        <v>0</v>
      </c>
      <c r="H31" s="1085">
        <f>IFERROR([16]Base!H31/[16]Base!H$76*H$4,0)</f>
        <v>0</v>
      </c>
      <c r="I31" s="1085">
        <f>IFERROR([16]Base!I31/[16]Base!I$76*I$4,0)</f>
        <v>0</v>
      </c>
      <c r="J31" s="1085">
        <f>IFERROR([16]Base!J31/[16]Base!J$76*J$4,0)</f>
        <v>0</v>
      </c>
      <c r="K31" s="1085">
        <f>IFERROR([16]Base!K31/[16]Base!K$76*K$4,0)</f>
        <v>0</v>
      </c>
      <c r="L31" s="1085">
        <f>IFERROR([16]Base!L31/[16]Base!L$76*L$4,0)</f>
        <v>0</v>
      </c>
      <c r="M31" s="1085">
        <f>IFERROR([16]Base!M31/[16]Base!M$76*M$4,0)</f>
        <v>0</v>
      </c>
      <c r="N31" s="1085">
        <f>IFERROR([16]Base!N31/[16]Base!N$76*N$4,0)</f>
        <v>0</v>
      </c>
      <c r="O31" s="1085">
        <f>IFERROR([16]Base!O31/[16]Base!O$76*O$4,0)</f>
        <v>0</v>
      </c>
      <c r="P31" s="1085">
        <f>IFERROR([16]Base!P31/[16]Base!P$76*P$4,0)</f>
        <v>0</v>
      </c>
      <c r="Q31" s="1085">
        <f>IFERROR([16]Base!Q31/[16]Base!Q$76*Q$4,0)</f>
        <v>0</v>
      </c>
      <c r="R31" s="1085"/>
      <c r="S31" s="1085">
        <f>IFERROR([16]Base!S31/[16]Base!S$76*S$4,0)</f>
        <v>0</v>
      </c>
      <c r="T31" s="1085">
        <f>IFERROR([16]Base!T31/[16]Base!T$76*T$4,0)</f>
        <v>0</v>
      </c>
      <c r="U31" s="1085">
        <f>IFERROR([16]Base!U31/[16]Base!U$76*U$4,0)</f>
        <v>0</v>
      </c>
      <c r="V31" s="1085">
        <f>IFERROR([16]Base!V31/[16]Base!V$76*V$4,0)</f>
        <v>0</v>
      </c>
      <c r="W31" s="1085">
        <f>IFERROR([16]Base!W31/[16]Base!W$76*W$4,0)</f>
        <v>0</v>
      </c>
      <c r="X31" s="1085">
        <f>IFERROR([16]Base!X31/[16]Base!X$76*X$4,0)</f>
        <v>0</v>
      </c>
      <c r="Y31" s="1085">
        <f>IFERROR([16]Base!Y31/[16]Base!Y$76*Y$4,0)</f>
        <v>0</v>
      </c>
      <c r="Z31" s="1085"/>
      <c r="AA31" s="1085">
        <f>IFERROR([16]Base!AA31/[16]Base!AA$76*AA$4,0)</f>
        <v>0</v>
      </c>
      <c r="AB31" s="1085">
        <f>IFERROR([16]Base!AB31/[16]Base!AB$76*AB$4,0)</f>
        <v>2391.2578616352203</v>
      </c>
      <c r="AC31" s="1085"/>
      <c r="AD31" s="1085"/>
      <c r="AE31" s="1085"/>
      <c r="AF31" s="1085">
        <f>IFERROR([16]Base!AF31/[16]Base!AF$76*AF$4,0)</f>
        <v>0</v>
      </c>
      <c r="AG31" s="1085">
        <f>IFERROR([16]Base!AG31/[16]Base!AG$76*AG$4,0)</f>
        <v>0</v>
      </c>
      <c r="AH31" s="1085">
        <f>IFERROR([16]Base!AH31/[16]Base!AH$76*AH$4,0)</f>
        <v>0</v>
      </c>
      <c r="AI31" s="1085">
        <f>IFERROR([16]Base!AI31/[16]Base!AI$76*AI$4,0)</f>
        <v>0</v>
      </c>
      <c r="AJ31" s="1085">
        <f>IFERROR([16]Base!AJ31/[16]Base!AJ$76*AJ$4,0)</f>
        <v>0</v>
      </c>
      <c r="AK31" s="1085">
        <f>IFERROR([16]Base!AK31/[16]Base!AK$76*AK$4,0)</f>
        <v>0</v>
      </c>
      <c r="AL31" s="1085">
        <f>IFERROR([16]Base!AL31/[16]Base!AL$76*AL$4,0)</f>
        <v>0</v>
      </c>
      <c r="AM31" s="1085">
        <f>IFERROR([16]Base!AM31/[16]Base!AM$76*AM$4,0)</f>
        <v>0</v>
      </c>
      <c r="AN31" s="1085">
        <f>IFERROR([16]Base!AN31/[16]Base!AN$76*AN$4,0)</f>
        <v>0</v>
      </c>
      <c r="AO31" s="1085">
        <f>IFERROR('8_2.1.19 SIS'!AO31/'8_2.1.19 SIS'!AO$76*AO$4,0)</f>
        <v>0</v>
      </c>
      <c r="AP31" s="1085">
        <f>IFERROR('8_2.1.19 SIS'!AP31/'8_2.1.19 SIS'!AP$76*AP$4,0)</f>
        <v>0</v>
      </c>
      <c r="AQ31" s="1085">
        <f>IFERROR('8_2.1.19 SIS'!AQ31/'8_2.1.19 SIS'!AQ$76*AQ$4,0)</f>
        <v>0</v>
      </c>
      <c r="AR31" s="1085">
        <f>IFERROR('8_2.1.19 SIS'!AR31/'8_2.1.19 SIS'!AR$76*AR$4,0)</f>
        <v>0</v>
      </c>
      <c r="AS31" s="1085">
        <f>IFERROR('8_2.1.19 SIS'!AS31/'8_2.1.19 SIS'!AS$76*AS$4,0)</f>
        <v>0</v>
      </c>
      <c r="AT31" s="1085">
        <f>IFERROR([16]Base!AT31/[16]Base!AT$76*AT$4,0)</f>
        <v>691.53125</v>
      </c>
      <c r="AU31" s="1085">
        <f>IFERROR([16]Base!AU31/[16]Base!AU$76*AU$4,0)</f>
        <v>687.93920401128173</v>
      </c>
      <c r="AV31" s="1086">
        <f t="shared" si="1"/>
        <v>336432.72831564653</v>
      </c>
      <c r="AW31" s="1085">
        <f>IFERROR([16]Base!AW31/[16]Base!AW$76*AW$4,0)</f>
        <v>0</v>
      </c>
      <c r="AX31" s="1085">
        <f>IFERROR([16]Base!AX31/[16]Base!AX$76*AX$4,0)</f>
        <v>0</v>
      </c>
      <c r="AY31" s="1085">
        <f>IFERROR([16]Base!AY31/[16]Base!AY$76*AY$4,0)</f>
        <v>0</v>
      </c>
      <c r="AZ31" s="1085">
        <f>IFERROR([16]Base!AZ31/[16]Base!AZ$76*AZ$4,0)</f>
        <v>0</v>
      </c>
      <c r="BA31" s="1085">
        <f>IFERROR([16]Base!BA31/[16]Base!BA$76*BA$4,0)</f>
        <v>0</v>
      </c>
      <c r="BB31" s="1085">
        <f>IFERROR([16]Base!BB31/[16]Base!BB$76*BB$4,0)</f>
        <v>0</v>
      </c>
      <c r="BC31" s="1085">
        <f>IFERROR([16]Base!BC31/[16]Base!BC$76*BC$4,0)</f>
        <v>0</v>
      </c>
      <c r="BD31" s="1085">
        <f>IFERROR([16]Base!BD31/[16]Base!BD$76*BD$4,0)</f>
        <v>0</v>
      </c>
      <c r="BE31" s="1085">
        <f>IFERROR([16]Base!BE31/[16]Base!BE$76*BE$4,0)</f>
        <v>0</v>
      </c>
      <c r="BF31" s="1085">
        <f>IFERROR([16]Base!BF31/[16]Base!BF$76*BF$4,0)</f>
        <v>573.42737430167597</v>
      </c>
      <c r="BG31" s="1085">
        <f>IFERROR([16]Base!BG31/[16]Base!BG$76*BG$4,0)</f>
        <v>0</v>
      </c>
      <c r="BH31" s="1087">
        <f>IFERROR([16]Base!BH31/[16]Base!BH$76*BH$4,0)</f>
        <v>0</v>
      </c>
      <c r="BI31" s="1085">
        <f t="shared" si="2"/>
        <v>337006.15568994818</v>
      </c>
    </row>
    <row r="32" spans="1:61" s="270" customFormat="1" ht="16.149999999999999" customHeight="1" x14ac:dyDescent="0.2">
      <c r="A32" s="273" t="s">
        <v>100</v>
      </c>
      <c r="B32" s="264" t="s">
        <v>171</v>
      </c>
      <c r="C32" s="1079">
        <f>'3B_Pay Raise'!O32</f>
        <v>6989935</v>
      </c>
      <c r="D32" s="1079"/>
      <c r="E32" s="1079">
        <f>IFERROR([16]Base!E32/[16]Base!E$76*E$4,0)</f>
        <v>0</v>
      </c>
      <c r="F32" s="1079">
        <f>IFERROR([16]Base!F32/[16]Base!F$76*F$4,0)</f>
        <v>0</v>
      </c>
      <c r="G32" s="1079">
        <f>IFERROR([16]Base!G32/[16]Base!G$76*G$4,0)</f>
        <v>6843.7368421052624</v>
      </c>
      <c r="H32" s="1079">
        <f>IFERROR([16]Base!H32/[16]Base!H$76*H$4,0)</f>
        <v>81039.067092651763</v>
      </c>
      <c r="I32" s="1079">
        <f>IFERROR([16]Base!I32/[16]Base!I$76*I$4,0)</f>
        <v>38456.786387434557</v>
      </c>
      <c r="J32" s="1079">
        <f>IFERROR([16]Base!J32/[16]Base!J$76*J$4,0)</f>
        <v>0</v>
      </c>
      <c r="K32" s="1079">
        <f>IFERROR([16]Base!K32/[16]Base!K$76*K$4,0)</f>
        <v>0</v>
      </c>
      <c r="L32" s="1079">
        <f>IFERROR([16]Base!L32/[16]Base!L$76*L$4,0)</f>
        <v>0</v>
      </c>
      <c r="M32" s="1079">
        <f>IFERROR([16]Base!M32/[16]Base!M$76*M$4,0)</f>
        <v>0</v>
      </c>
      <c r="N32" s="1079">
        <f>IFERROR([16]Base!N32/[16]Base!N$76*N$4,0)</f>
        <v>27410.829694323143</v>
      </c>
      <c r="O32" s="1079">
        <f>IFERROR([16]Base!O32/[16]Base!O$76*O$4,0)</f>
        <v>0</v>
      </c>
      <c r="P32" s="1079">
        <f>IFERROR([16]Base!P32/[16]Base!P$76*P$4,0)</f>
        <v>0</v>
      </c>
      <c r="Q32" s="1079">
        <f>IFERROR([16]Base!Q32/[16]Base!Q$76*Q$4,0)</f>
        <v>0</v>
      </c>
      <c r="R32" s="1079"/>
      <c r="S32" s="1079">
        <f>IFERROR([16]Base!S32/[16]Base!S$76*S$4,0)</f>
        <v>0</v>
      </c>
      <c r="T32" s="1079">
        <f>IFERROR([16]Base!T32/[16]Base!T$76*T$4,0)</f>
        <v>763.08163265306121</v>
      </c>
      <c r="U32" s="1079">
        <f>IFERROR([16]Base!U32/[16]Base!U$76*U$4,0)</f>
        <v>0</v>
      </c>
      <c r="V32" s="1079">
        <f>IFERROR([16]Base!V32/[16]Base!V$76*V$4,0)</f>
        <v>0</v>
      </c>
      <c r="W32" s="1079">
        <f>IFERROR([16]Base!W32/[16]Base!W$76*W$4,0)</f>
        <v>0</v>
      </c>
      <c r="X32" s="1079">
        <f>IFERROR([16]Base!X32/[16]Base!X$76*X$4,0)</f>
        <v>0</v>
      </c>
      <c r="Y32" s="1079">
        <f>IFERROR([16]Base!Y32/[16]Base!Y$76*Y$4,0)</f>
        <v>0</v>
      </c>
      <c r="Z32" s="1079"/>
      <c r="AA32" s="1079">
        <f>IFERROR([16]Base!AA32/[16]Base!AA$76*AA$4,0)</f>
        <v>0</v>
      </c>
      <c r="AB32" s="1080">
        <f>IFERROR([16]Base!AB32/[16]Base!AB$76*AB$4,0)</f>
        <v>0</v>
      </c>
      <c r="AC32" s="1080"/>
      <c r="AD32" s="1080"/>
      <c r="AE32" s="1080"/>
      <c r="AF32" s="1080">
        <f>IFERROR([16]Base!AF32/[16]Base!AF$76*AF$4,0)</f>
        <v>0</v>
      </c>
      <c r="AG32" s="1080">
        <f>IFERROR([16]Base!AG32/[16]Base!AG$76*AG$4,0)</f>
        <v>1298.2135922330096</v>
      </c>
      <c r="AH32" s="1080">
        <f>IFERROR([16]Base!AH32/[16]Base!AH$76*AH$4,0)</f>
        <v>0</v>
      </c>
      <c r="AI32" s="1080">
        <f>IFERROR([16]Base!AI32/[16]Base!AI$76*AI$4,0)</f>
        <v>0</v>
      </c>
      <c r="AJ32" s="1080">
        <f>IFERROR([16]Base!AJ32/[16]Base!AJ$76*AJ$4,0)</f>
        <v>0</v>
      </c>
      <c r="AK32" s="1080">
        <f>IFERROR([16]Base!AK32/[16]Base!AK$76*AK$4,0)</f>
        <v>1248.2352941176471</v>
      </c>
      <c r="AL32" s="1080">
        <f>IFERROR([16]Base!AL32/[16]Base!AL$76*AL$4,0)</f>
        <v>103877.9522546419</v>
      </c>
      <c r="AM32" s="1080">
        <f>IFERROR([16]Base!AM32/[16]Base!AM$76*AM$4,0)</f>
        <v>0</v>
      </c>
      <c r="AN32" s="1080">
        <f>IFERROR([16]Base!AN32/[16]Base!AN$76*AN$4,0)</f>
        <v>0</v>
      </c>
      <c r="AO32" s="1080">
        <f>IFERROR('8_2.1.19 SIS'!AO32/'8_2.1.19 SIS'!AO$76*AO$4,0)</f>
        <v>0</v>
      </c>
      <c r="AP32" s="1080">
        <f>IFERROR('8_2.1.19 SIS'!AP32/'8_2.1.19 SIS'!AP$76*AP$4,0)</f>
        <v>0</v>
      </c>
      <c r="AQ32" s="1080">
        <f>IFERROR('8_2.1.19 SIS'!AQ32/'8_2.1.19 SIS'!AQ$76*AQ$4,0)</f>
        <v>0</v>
      </c>
      <c r="AR32" s="1080">
        <f>IFERROR('8_2.1.19 SIS'!AR32/'8_2.1.19 SIS'!AR$76*AR$4,0)</f>
        <v>0</v>
      </c>
      <c r="AS32" s="1080">
        <f>IFERROR('8_2.1.19 SIS'!AS32/'8_2.1.19 SIS'!AS$76*AS$4,0)</f>
        <v>0</v>
      </c>
      <c r="AT32" s="1079">
        <f>IFERROR([16]Base!AT32/[16]Base!AT$76*AT$4,0)</f>
        <v>9796.6927083333339</v>
      </c>
      <c r="AU32" s="1079">
        <f>IFERROR([16]Base!AU32/[16]Base!AU$76*AU$4,0)</f>
        <v>18967.46662488248</v>
      </c>
      <c r="AV32" s="1081">
        <f t="shared" si="1"/>
        <v>7279637.062123375</v>
      </c>
      <c r="AW32" s="1079">
        <f>IFERROR([16]Base!AW32/[16]Base!AW$76*AW$4,0)</f>
        <v>0</v>
      </c>
      <c r="AX32" s="1079">
        <f>IFERROR([16]Base!AX32/[16]Base!AX$76*AX$4,0)</f>
        <v>0</v>
      </c>
      <c r="AY32" s="1079">
        <f>IFERROR([16]Base!AY32/[16]Base!AY$76*AY$4,0)</f>
        <v>90634.394004282658</v>
      </c>
      <c r="AZ32" s="1079">
        <f>IFERROR([16]Base!AZ32/[16]Base!AZ$76*AZ$4,0)</f>
        <v>0</v>
      </c>
      <c r="BA32" s="1079">
        <f>IFERROR([16]Base!BA32/[16]Base!BA$76*BA$4,0)</f>
        <v>0</v>
      </c>
      <c r="BB32" s="1079">
        <f>IFERROR([16]Base!BB32/[16]Base!BB$76*BB$4,0)</f>
        <v>42644.5</v>
      </c>
      <c r="BC32" s="1079">
        <f>IFERROR([16]Base!BC32/[16]Base!BC$76*BC$4,0)</f>
        <v>0</v>
      </c>
      <c r="BD32" s="1079">
        <f>IFERROR([16]Base!BD32/[16]Base!BD$76*BD$4,0)</f>
        <v>0</v>
      </c>
      <c r="BE32" s="1079">
        <f>IFERROR([16]Base!BE32/[16]Base!BE$76*BE$4,0)</f>
        <v>0</v>
      </c>
      <c r="BF32" s="1079">
        <f>IFERROR([16]Base!BF32/[16]Base!BF$76*BF$4,0)</f>
        <v>1146.8547486033519</v>
      </c>
      <c r="BG32" s="1079">
        <f>IFERROR([16]Base!BG32/[16]Base!BG$76*BG$4,0)</f>
        <v>15473.675213675215</v>
      </c>
      <c r="BH32" s="1082">
        <f>IFERROR([16]Base!BH32/[16]Base!BH$76*BH$4,0)</f>
        <v>219.72254335260115</v>
      </c>
      <c r="BI32" s="1079">
        <f t="shared" si="2"/>
        <v>7429756.2086332878</v>
      </c>
    </row>
    <row r="33" spans="1:61" s="270" customFormat="1" ht="16.149999999999999" customHeight="1" x14ac:dyDescent="0.2">
      <c r="A33" s="275" t="s">
        <v>172</v>
      </c>
      <c r="B33" s="260" t="s">
        <v>173</v>
      </c>
      <c r="C33" s="1083">
        <f>'3B_Pay Raise'!O33</f>
        <v>761538</v>
      </c>
      <c r="D33" s="1083"/>
      <c r="E33" s="1083">
        <f>IFERROR([16]Base!E33/[16]Base!E$76*E$4,0)</f>
        <v>0</v>
      </c>
      <c r="F33" s="1083">
        <f>IFERROR([16]Base!F33/[16]Base!F$76*F$4,0)</f>
        <v>0</v>
      </c>
      <c r="G33" s="1083">
        <f>IFERROR([16]Base!G33/[16]Base!G$76*G$4,0)</f>
        <v>0</v>
      </c>
      <c r="H33" s="1083">
        <f>IFERROR([16]Base!H33/[16]Base!H$76*H$4,0)</f>
        <v>0</v>
      </c>
      <c r="I33" s="1083">
        <f>IFERROR([16]Base!I33/[16]Base!I$76*I$4,0)</f>
        <v>0</v>
      </c>
      <c r="J33" s="1083">
        <f>IFERROR([16]Base!J33/[16]Base!J$76*J$4,0)</f>
        <v>421.50903294367691</v>
      </c>
      <c r="K33" s="1083">
        <f>IFERROR([16]Base!K33/[16]Base!K$76*K$4,0)</f>
        <v>0</v>
      </c>
      <c r="L33" s="1083">
        <f>IFERROR([16]Base!L33/[16]Base!L$76*L$4,0)</f>
        <v>227.97406340057634</v>
      </c>
      <c r="M33" s="1083">
        <f>IFERROR([16]Base!M33/[16]Base!M$76*M$4,0)</f>
        <v>0</v>
      </c>
      <c r="N33" s="1083">
        <f>IFERROR([16]Base!N33/[16]Base!N$76*N$4,0)</f>
        <v>0</v>
      </c>
      <c r="O33" s="1083">
        <f>IFERROR([16]Base!O33/[16]Base!O$76*O$4,0)</f>
        <v>0</v>
      </c>
      <c r="P33" s="1083">
        <f>IFERROR([16]Base!P33/[16]Base!P$76*P$4,0)</f>
        <v>0</v>
      </c>
      <c r="Q33" s="1083">
        <f>IFERROR([16]Base!Q33/[16]Base!Q$76*Q$4,0)</f>
        <v>0</v>
      </c>
      <c r="R33" s="1083"/>
      <c r="S33" s="1083">
        <f>IFERROR([16]Base!S33/[16]Base!S$76*S$4,0)</f>
        <v>0</v>
      </c>
      <c r="T33" s="1083">
        <f>IFERROR([16]Base!T33/[16]Base!T$76*T$4,0)</f>
        <v>0</v>
      </c>
      <c r="U33" s="1083">
        <f>IFERROR([16]Base!U33/[16]Base!U$76*U$4,0)</f>
        <v>0</v>
      </c>
      <c r="V33" s="1083">
        <f>IFERROR([16]Base!V33/[16]Base!V$76*V$4,0)</f>
        <v>0</v>
      </c>
      <c r="W33" s="1083">
        <f>IFERROR([16]Base!W33/[16]Base!W$76*W$4,0)</f>
        <v>0</v>
      </c>
      <c r="X33" s="1083">
        <f>IFERROR([16]Base!X33/[16]Base!X$76*X$4,0)</f>
        <v>0</v>
      </c>
      <c r="Y33" s="1083">
        <f>IFERROR([16]Base!Y33/[16]Base!Y$76*Y$4,0)</f>
        <v>0</v>
      </c>
      <c r="Z33" s="1083"/>
      <c r="AA33" s="1083">
        <f>IFERROR([16]Base!AA33/[16]Base!AA$76*AA$4,0)</f>
        <v>0</v>
      </c>
      <c r="AB33" s="1083">
        <f>IFERROR([16]Base!AB33/[16]Base!AB$76*AB$4,0)</f>
        <v>0</v>
      </c>
      <c r="AC33" s="1083"/>
      <c r="AD33" s="1083"/>
      <c r="AE33" s="1083"/>
      <c r="AF33" s="1083">
        <f>IFERROR([16]Base!AF33/[16]Base!AF$76*AF$4,0)</f>
        <v>0</v>
      </c>
      <c r="AG33" s="1083">
        <f>IFERROR([16]Base!AG33/[16]Base!AG$76*AG$4,0)</f>
        <v>0</v>
      </c>
      <c r="AH33" s="1083">
        <f>IFERROR([16]Base!AH33/[16]Base!AH$76*AH$4,0)</f>
        <v>185.88235294117646</v>
      </c>
      <c r="AI33" s="1083">
        <f>IFERROR([16]Base!AI33/[16]Base!AI$76*AI$4,0)</f>
        <v>0</v>
      </c>
      <c r="AJ33" s="1083">
        <f>IFERROR([16]Base!AJ33/[16]Base!AJ$76*AJ$4,0)</f>
        <v>0</v>
      </c>
      <c r="AK33" s="1083">
        <f>IFERROR([16]Base!AK33/[16]Base!AK$76*AK$4,0)</f>
        <v>0</v>
      </c>
      <c r="AL33" s="1083">
        <f>IFERROR([16]Base!AL33/[16]Base!AL$76*AL$4,0)</f>
        <v>0</v>
      </c>
      <c r="AM33" s="1083">
        <f>IFERROR([16]Base!AM33/[16]Base!AM$76*AM$4,0)</f>
        <v>0</v>
      </c>
      <c r="AN33" s="1083">
        <f>IFERROR([16]Base!AN33/[16]Base!AN$76*AN$4,0)</f>
        <v>0</v>
      </c>
      <c r="AO33" s="1083">
        <f>IFERROR('8_2.1.19 SIS'!AO33/'8_2.1.19 SIS'!AO$76*AO$4,0)</f>
        <v>0</v>
      </c>
      <c r="AP33" s="1083">
        <f>IFERROR('8_2.1.19 SIS'!AP33/'8_2.1.19 SIS'!AP$76*AP$4,0)</f>
        <v>0</v>
      </c>
      <c r="AQ33" s="1083">
        <f>IFERROR('8_2.1.19 SIS'!AQ33/'8_2.1.19 SIS'!AQ$76*AQ$4,0)</f>
        <v>0</v>
      </c>
      <c r="AR33" s="1083">
        <f>IFERROR('8_2.1.19 SIS'!AR33/'8_2.1.19 SIS'!AR$76*AR$4,0)</f>
        <v>0</v>
      </c>
      <c r="AS33" s="1083">
        <f>IFERROR('8_2.1.19 SIS'!AS33/'8_2.1.19 SIS'!AS$76*AS$4,0)</f>
        <v>0</v>
      </c>
      <c r="AT33" s="1083">
        <f>IFERROR([16]Base!AT33/[16]Base!AT$76*AT$4,0)</f>
        <v>864.4140625</v>
      </c>
      <c r="AU33" s="1083">
        <f>IFERROR([16]Base!AU33/[16]Base!AU$76*AU$4,0)</f>
        <v>196.55405828893763</v>
      </c>
      <c r="AV33" s="1084">
        <f t="shared" si="1"/>
        <v>763434.33357007429</v>
      </c>
      <c r="AW33" s="1083">
        <f>IFERROR([16]Base!AW33/[16]Base!AW$76*AW$4,0)</f>
        <v>0</v>
      </c>
      <c r="AX33" s="1083">
        <f>IFERROR([16]Base!AX33/[16]Base!AX$76*AX$4,0)</f>
        <v>0</v>
      </c>
      <c r="AY33" s="1083">
        <f>IFERROR([16]Base!AY33/[16]Base!AY$76*AY$4,0)</f>
        <v>0</v>
      </c>
      <c r="AZ33" s="1083">
        <f>IFERROR([16]Base!AZ33/[16]Base!AZ$76*AZ$4,0)</f>
        <v>0</v>
      </c>
      <c r="BA33" s="1083">
        <f>IFERROR([16]Base!BA33/[16]Base!BA$76*BA$4,0)</f>
        <v>0</v>
      </c>
      <c r="BB33" s="1083">
        <f>IFERROR([16]Base!BB33/[16]Base!BB$76*BB$4,0)</f>
        <v>0</v>
      </c>
      <c r="BC33" s="1083">
        <f>IFERROR([16]Base!BC33/[16]Base!BC$76*BC$4,0)</f>
        <v>0</v>
      </c>
      <c r="BD33" s="1083">
        <f>IFERROR([16]Base!BD33/[16]Base!BD$76*BD$4,0)</f>
        <v>0</v>
      </c>
      <c r="BE33" s="1083">
        <f>IFERROR([16]Base!BE33/[16]Base!BE$76*BE$4,0)</f>
        <v>0</v>
      </c>
      <c r="BF33" s="1083">
        <f>IFERROR([16]Base!BF33/[16]Base!BF$76*BF$4,0)</f>
        <v>573.42737430167597</v>
      </c>
      <c r="BG33" s="1083">
        <f>IFERROR([16]Base!BG33/[16]Base!BG$76*BG$4,0)</f>
        <v>0</v>
      </c>
      <c r="BH33" s="1083">
        <f>IFERROR([16]Base!BH33/[16]Base!BH$76*BH$4,0)</f>
        <v>0</v>
      </c>
      <c r="BI33" s="1083">
        <f t="shared" si="2"/>
        <v>764007.760944376</v>
      </c>
    </row>
    <row r="34" spans="1:61" s="270" customFormat="1" ht="16.149999999999999" customHeight="1" x14ac:dyDescent="0.2">
      <c r="A34" s="275" t="s">
        <v>101</v>
      </c>
      <c r="B34" s="260" t="s">
        <v>174</v>
      </c>
      <c r="C34" s="1083">
        <f>'3B_Pay Raise'!O34</f>
        <v>4244926</v>
      </c>
      <c r="D34" s="1083"/>
      <c r="E34" s="1083">
        <f>IFERROR([16]Base!E34/[16]Base!E$76*E$4,0)</f>
        <v>0</v>
      </c>
      <c r="F34" s="1083">
        <f>IFERROR([16]Base!F34/[16]Base!F$76*F$4,0)</f>
        <v>0</v>
      </c>
      <c r="G34" s="1083">
        <f>IFERROR([16]Base!G34/[16]Base!G$76*G$4,0)</f>
        <v>0</v>
      </c>
      <c r="H34" s="1083">
        <f>IFERROR([16]Base!H34/[16]Base!H$76*H$4,0)</f>
        <v>0</v>
      </c>
      <c r="I34" s="1083">
        <f>IFERROR([16]Base!I34/[16]Base!I$76*I$4,0)</f>
        <v>0</v>
      </c>
      <c r="J34" s="1083">
        <f>IFERROR([16]Base!J34/[16]Base!J$76*J$4,0)</f>
        <v>0</v>
      </c>
      <c r="K34" s="1083">
        <f>IFERROR([16]Base!K34/[16]Base!K$76*K$4,0)</f>
        <v>0</v>
      </c>
      <c r="L34" s="1083">
        <f>IFERROR([16]Base!L34/[16]Base!L$76*L$4,0)</f>
        <v>0</v>
      </c>
      <c r="M34" s="1083">
        <f>IFERROR([16]Base!M34/[16]Base!M$76*M$4,0)</f>
        <v>0</v>
      </c>
      <c r="N34" s="1083">
        <f>IFERROR([16]Base!N34/[16]Base!N$76*N$4,0)</f>
        <v>0</v>
      </c>
      <c r="O34" s="1083">
        <f>IFERROR([16]Base!O34/[16]Base!O$76*O$4,0)</f>
        <v>0</v>
      </c>
      <c r="P34" s="1083">
        <f>IFERROR([16]Base!P34/[16]Base!P$76*P$4,0)</f>
        <v>0</v>
      </c>
      <c r="Q34" s="1083">
        <f>IFERROR([16]Base!Q34/[16]Base!Q$76*Q$4,0)</f>
        <v>0</v>
      </c>
      <c r="R34" s="1083"/>
      <c r="S34" s="1083">
        <f>IFERROR([16]Base!S34/[16]Base!S$76*S$4,0)</f>
        <v>0</v>
      </c>
      <c r="T34" s="1083">
        <f>IFERROR([16]Base!T34/[16]Base!T$76*T$4,0)</f>
        <v>0</v>
      </c>
      <c r="U34" s="1083">
        <f>IFERROR([16]Base!U34/[16]Base!U$76*U$4,0)</f>
        <v>0</v>
      </c>
      <c r="V34" s="1083">
        <f>IFERROR([16]Base!V34/[16]Base!V$76*V$4,0)</f>
        <v>0</v>
      </c>
      <c r="W34" s="1083">
        <f>IFERROR([16]Base!W34/[16]Base!W$76*W$4,0)</f>
        <v>75119.53571428571</v>
      </c>
      <c r="X34" s="1083">
        <f>IFERROR([16]Base!X34/[16]Base!X$76*X$4,0)</f>
        <v>83618.14504596527</v>
      </c>
      <c r="Y34" s="1083">
        <f>IFERROR([16]Base!Y34/[16]Base!Y$76*Y$4,0)</f>
        <v>61446.323529411769</v>
      </c>
      <c r="Z34" s="1083"/>
      <c r="AA34" s="1083">
        <f>IFERROR([16]Base!AA34/[16]Base!AA$76*AA$4,0)</f>
        <v>0</v>
      </c>
      <c r="AB34" s="1083">
        <f>IFERROR([16]Base!AB34/[16]Base!AB$76*AB$4,0)</f>
        <v>0</v>
      </c>
      <c r="AC34" s="1083"/>
      <c r="AD34" s="1083"/>
      <c r="AE34" s="1083"/>
      <c r="AF34" s="1083">
        <f>IFERROR([16]Base!AF34/[16]Base!AF$76*AF$4,0)</f>
        <v>0</v>
      </c>
      <c r="AG34" s="1083">
        <f>IFERROR([16]Base!AG34/[16]Base!AG$76*AG$4,0)</f>
        <v>0</v>
      </c>
      <c r="AH34" s="1083">
        <f>IFERROR([16]Base!AH34/[16]Base!AH$76*AH$4,0)</f>
        <v>10781.176470588234</v>
      </c>
      <c r="AI34" s="1083">
        <f>IFERROR([16]Base!AI34/[16]Base!AI$76*AI$4,0)</f>
        <v>0</v>
      </c>
      <c r="AJ34" s="1083">
        <f>IFERROR([16]Base!AJ34/[16]Base!AJ$76*AJ$4,0)</f>
        <v>0</v>
      </c>
      <c r="AK34" s="1083">
        <f>IFERROR([16]Base!AK34/[16]Base!AK$76*AK$4,0)</f>
        <v>0</v>
      </c>
      <c r="AL34" s="1083">
        <f>IFERROR([16]Base!AL34/[16]Base!AL$76*AL$4,0)</f>
        <v>0</v>
      </c>
      <c r="AM34" s="1083">
        <f>IFERROR([16]Base!AM34/[16]Base!AM$76*AM$4,0)</f>
        <v>0</v>
      </c>
      <c r="AN34" s="1083">
        <f>IFERROR([16]Base!AN34/[16]Base!AN$76*AN$4,0)</f>
        <v>0</v>
      </c>
      <c r="AO34" s="1083">
        <f>IFERROR('8_2.1.19 SIS'!AO34/'8_2.1.19 SIS'!AO$76*AO$4,0)</f>
        <v>0</v>
      </c>
      <c r="AP34" s="1083">
        <f>IFERROR('8_2.1.19 SIS'!AP34/'8_2.1.19 SIS'!AP$76*AP$4,0)</f>
        <v>0</v>
      </c>
      <c r="AQ34" s="1083">
        <f>IFERROR('8_2.1.19 SIS'!AQ34/'8_2.1.19 SIS'!AQ$76*AQ$4,0)</f>
        <v>0</v>
      </c>
      <c r="AR34" s="1083">
        <f>IFERROR('8_2.1.19 SIS'!AR34/'8_2.1.19 SIS'!AR$76*AR$4,0)</f>
        <v>0</v>
      </c>
      <c r="AS34" s="1083">
        <f>IFERROR('8_2.1.19 SIS'!AS34/'8_2.1.19 SIS'!AS$76*AS$4,0)</f>
        <v>0</v>
      </c>
      <c r="AT34" s="1083">
        <f>IFERROR([16]Base!AT34/[16]Base!AT$76*AT$4,0)</f>
        <v>3918.677083333333</v>
      </c>
      <c r="AU34" s="1083">
        <f>IFERROR([16]Base!AU34/[16]Base!AU$76*AU$4,0)</f>
        <v>10810.473205891571</v>
      </c>
      <c r="AV34" s="1084">
        <f t="shared" si="1"/>
        <v>4490620.3310494749</v>
      </c>
      <c r="AW34" s="1083">
        <f>IFERROR([16]Base!AW34/[16]Base!AW$76*AW$4,0)</f>
        <v>0</v>
      </c>
      <c r="AX34" s="1083">
        <f>IFERROR([16]Base!AX34/[16]Base!AX$76*AX$4,0)</f>
        <v>435.47413793103448</v>
      </c>
      <c r="AY34" s="1083">
        <f>IFERROR([16]Base!AY34/[16]Base!AY$76*AY$4,0)</f>
        <v>0</v>
      </c>
      <c r="AZ34" s="1083">
        <f>IFERROR([16]Base!AZ34/[16]Base!AZ$76*AZ$4,0)</f>
        <v>0</v>
      </c>
      <c r="BA34" s="1083">
        <f>IFERROR([16]Base!BA34/[16]Base!BA$76*BA$4,0)</f>
        <v>0</v>
      </c>
      <c r="BB34" s="1083">
        <f>IFERROR([16]Base!BB34/[16]Base!BB$76*BB$4,0)</f>
        <v>0</v>
      </c>
      <c r="BC34" s="1083">
        <f>IFERROR([16]Base!BC34/[16]Base!BC$76*BC$4,0)</f>
        <v>0</v>
      </c>
      <c r="BD34" s="1083">
        <f>IFERROR([16]Base!BD34/[16]Base!BD$76*BD$4,0)</f>
        <v>0</v>
      </c>
      <c r="BE34" s="1083">
        <f>IFERROR([16]Base!BE34/[16]Base!BE$76*BE$4,0)</f>
        <v>0</v>
      </c>
      <c r="BF34" s="1083">
        <f>IFERROR([16]Base!BF34/[16]Base!BF$76*BF$4,0)</f>
        <v>2867.1368715083795</v>
      </c>
      <c r="BG34" s="1083">
        <f>IFERROR([16]Base!BG34/[16]Base!BG$76*BG$4,0)</f>
        <v>0</v>
      </c>
      <c r="BH34" s="1083">
        <f>IFERROR([16]Base!BH34/[16]Base!BH$76*BH$4,0)</f>
        <v>0</v>
      </c>
      <c r="BI34" s="1083">
        <f t="shared" si="2"/>
        <v>4493922.9420589143</v>
      </c>
    </row>
    <row r="35" spans="1:61" s="270" customFormat="1" ht="16.149999999999999" customHeight="1" x14ac:dyDescent="0.2">
      <c r="A35" s="275" t="s">
        <v>102</v>
      </c>
      <c r="B35" s="260" t="s">
        <v>175</v>
      </c>
      <c r="C35" s="1083">
        <f>'3B_Pay Raise'!O35</f>
        <v>1854051</v>
      </c>
      <c r="D35" s="1083"/>
      <c r="E35" s="1083">
        <f>IFERROR([16]Base!E35/[16]Base!E$76*E$4,0)</f>
        <v>0</v>
      </c>
      <c r="F35" s="1083">
        <f>IFERROR([16]Base!F35/[16]Base!F$76*F$4,0)</f>
        <v>0</v>
      </c>
      <c r="G35" s="1083">
        <f>IFERROR([16]Base!G35/[16]Base!G$76*G$4,0)</f>
        <v>155.53947368421052</v>
      </c>
      <c r="H35" s="1083">
        <f>IFERROR([16]Base!H35/[16]Base!H$76*H$4,0)</f>
        <v>0</v>
      </c>
      <c r="I35" s="1083">
        <f>IFERROR([16]Base!I35/[16]Base!I$76*I$4,0)</f>
        <v>0</v>
      </c>
      <c r="J35" s="1083">
        <f>IFERROR([16]Base!J35/[16]Base!J$76*J$4,0)</f>
        <v>0</v>
      </c>
      <c r="K35" s="1083">
        <f>IFERROR([16]Base!K35/[16]Base!K$76*K$4,0)</f>
        <v>0</v>
      </c>
      <c r="L35" s="1083">
        <f>IFERROR([16]Base!L35/[16]Base!L$76*L$4,0)</f>
        <v>0</v>
      </c>
      <c r="M35" s="1083">
        <f>IFERROR([16]Base!M35/[16]Base!M$76*M$4,0)</f>
        <v>0</v>
      </c>
      <c r="N35" s="1083">
        <f>IFERROR([16]Base!N35/[16]Base!N$76*N$4,0)</f>
        <v>151.44104803493448</v>
      </c>
      <c r="O35" s="1083">
        <f>IFERROR([16]Base!O35/[16]Base!O$76*O$4,0)</f>
        <v>0</v>
      </c>
      <c r="P35" s="1083">
        <f>IFERROR([16]Base!P35/[16]Base!P$76*P$4,0)</f>
        <v>0</v>
      </c>
      <c r="Q35" s="1083">
        <f>IFERROR([16]Base!Q35/[16]Base!Q$76*Q$4,0)</f>
        <v>0</v>
      </c>
      <c r="R35" s="1083"/>
      <c r="S35" s="1083">
        <f>IFERROR([16]Base!S35/[16]Base!S$76*S$4,0)</f>
        <v>0</v>
      </c>
      <c r="T35" s="1083">
        <f>IFERROR([16]Base!T35/[16]Base!T$76*T$4,0)</f>
        <v>6009.2678571428578</v>
      </c>
      <c r="U35" s="1083">
        <f>IFERROR([16]Base!U35/[16]Base!U$76*U$4,0)</f>
        <v>0</v>
      </c>
      <c r="V35" s="1083">
        <f>IFERROR([16]Base!V35/[16]Base!V$76*V$4,0)</f>
        <v>0</v>
      </c>
      <c r="W35" s="1083">
        <f>IFERROR([16]Base!W35/[16]Base!W$76*W$4,0)</f>
        <v>0</v>
      </c>
      <c r="X35" s="1083">
        <f>IFERROR([16]Base!X35/[16]Base!X$76*X$4,0)</f>
        <v>0</v>
      </c>
      <c r="Y35" s="1083">
        <f>IFERROR([16]Base!Y35/[16]Base!Y$76*Y$4,0)</f>
        <v>0</v>
      </c>
      <c r="Z35" s="1083"/>
      <c r="AA35" s="1083">
        <f>IFERROR([16]Base!AA35/[16]Base!AA$76*AA$4,0)</f>
        <v>0</v>
      </c>
      <c r="AB35" s="1083">
        <f>IFERROR([16]Base!AB35/[16]Base!AB$76*AB$4,0)</f>
        <v>0</v>
      </c>
      <c r="AC35" s="1083"/>
      <c r="AD35" s="1083"/>
      <c r="AE35" s="1083"/>
      <c r="AF35" s="1083">
        <f>IFERROR([16]Base!AF35/[16]Base!AF$76*AF$4,0)</f>
        <v>400.57894736842104</v>
      </c>
      <c r="AG35" s="1083">
        <f>IFERROR([16]Base!AG35/[16]Base!AG$76*AG$4,0)</f>
        <v>0</v>
      </c>
      <c r="AH35" s="1083">
        <f>IFERROR([16]Base!AH35/[16]Base!AH$76*AH$4,0)</f>
        <v>0</v>
      </c>
      <c r="AI35" s="1083">
        <f>IFERROR([16]Base!AI35/[16]Base!AI$76*AI$4,0)</f>
        <v>0</v>
      </c>
      <c r="AJ35" s="1083">
        <f>IFERROR([16]Base!AJ35/[16]Base!AJ$76*AJ$4,0)</f>
        <v>0</v>
      </c>
      <c r="AK35" s="1083">
        <f>IFERROR([16]Base!AK35/[16]Base!AK$76*AK$4,0)</f>
        <v>0</v>
      </c>
      <c r="AL35" s="1083">
        <f>IFERROR([16]Base!AL35/[16]Base!AL$76*AL$4,0)</f>
        <v>0</v>
      </c>
      <c r="AM35" s="1083">
        <f>IFERROR([16]Base!AM35/[16]Base!AM$76*AM$4,0)</f>
        <v>0</v>
      </c>
      <c r="AN35" s="1083">
        <f>IFERROR([16]Base!AN35/[16]Base!AN$76*AN$4,0)</f>
        <v>0</v>
      </c>
      <c r="AO35" s="1083">
        <f>IFERROR('8_2.1.19 SIS'!AO35/'8_2.1.19 SIS'!AO$76*AO$4,0)</f>
        <v>0</v>
      </c>
      <c r="AP35" s="1083">
        <f>IFERROR('8_2.1.19 SIS'!AP35/'8_2.1.19 SIS'!AP$76*AP$4,0)</f>
        <v>0</v>
      </c>
      <c r="AQ35" s="1083">
        <f>IFERROR('8_2.1.19 SIS'!AQ35/'8_2.1.19 SIS'!AQ$76*AQ$4,0)</f>
        <v>0</v>
      </c>
      <c r="AR35" s="1083">
        <f>IFERROR('8_2.1.19 SIS'!AR35/'8_2.1.19 SIS'!AR$76*AR$4,0)</f>
        <v>0</v>
      </c>
      <c r="AS35" s="1083">
        <f>IFERROR('8_2.1.19 SIS'!AS35/'8_2.1.19 SIS'!AS$76*AS$4,0)</f>
        <v>0</v>
      </c>
      <c r="AT35" s="1083">
        <f>IFERROR([16]Base!AT35/[16]Base!AT$76*AT$4,0)</f>
        <v>1671.2005208333333</v>
      </c>
      <c r="AU35" s="1083">
        <f>IFERROR([16]Base!AU35/[16]Base!AU$76*AU$4,0)</f>
        <v>6584.5609526794105</v>
      </c>
      <c r="AV35" s="1084">
        <f t="shared" si="1"/>
        <v>1869023.5887997432</v>
      </c>
      <c r="AW35" s="1083">
        <f>IFERROR([16]Base!AW35/[16]Base!AW$76*AW$4,0)</f>
        <v>0</v>
      </c>
      <c r="AX35" s="1083">
        <f>IFERROR([16]Base!AX35/[16]Base!AX$76*AX$4,0)</f>
        <v>0</v>
      </c>
      <c r="AY35" s="1083">
        <f>IFERROR([16]Base!AY35/[16]Base!AY$76*AY$4,0)</f>
        <v>152.58315488936475</v>
      </c>
      <c r="AZ35" s="1083">
        <f>IFERROR([16]Base!AZ35/[16]Base!AZ$76*AZ$4,0)</f>
        <v>0</v>
      </c>
      <c r="BA35" s="1083">
        <f>IFERROR([16]Base!BA35/[16]Base!BA$76*BA$4,0)</f>
        <v>0</v>
      </c>
      <c r="BB35" s="1083">
        <f>IFERROR([16]Base!BB35/[16]Base!BB$76*BB$4,0)</f>
        <v>0</v>
      </c>
      <c r="BC35" s="1083">
        <f>IFERROR([16]Base!BC35/[16]Base!BC$76*BC$4,0)</f>
        <v>12054.866666666669</v>
      </c>
      <c r="BD35" s="1083">
        <f>IFERROR([16]Base!BD35/[16]Base!BD$76*BD$4,0)</f>
        <v>0</v>
      </c>
      <c r="BE35" s="1083">
        <f>IFERROR([16]Base!BE35/[16]Base!BE$76*BE$4,0)</f>
        <v>0</v>
      </c>
      <c r="BF35" s="1083">
        <f>IFERROR([16]Base!BF35/[16]Base!BF$76*BF$4,0)</f>
        <v>1911.4245810055866</v>
      </c>
      <c r="BG35" s="1083">
        <f>IFERROR([16]Base!BG35/[16]Base!BG$76*BG$4,0)</f>
        <v>0</v>
      </c>
      <c r="BH35" s="1083">
        <f>IFERROR([16]Base!BH35/[16]Base!BH$76*BH$4,0)</f>
        <v>0</v>
      </c>
      <c r="BI35" s="1083">
        <f t="shared" si="2"/>
        <v>1883142.4632023047</v>
      </c>
    </row>
    <row r="36" spans="1:61" s="270" customFormat="1" ht="16.149999999999999" customHeight="1" x14ac:dyDescent="0.2">
      <c r="A36" s="277" t="s">
        <v>176</v>
      </c>
      <c r="B36" s="262" t="s">
        <v>177</v>
      </c>
      <c r="C36" s="1085">
        <f>'3B_Pay Raise'!O36</f>
        <v>373997</v>
      </c>
      <c r="D36" s="1085"/>
      <c r="E36" s="1085">
        <f>IFERROR([16]Base!E36/[16]Base!E$76*E$4,0)</f>
        <v>0</v>
      </c>
      <c r="F36" s="1085">
        <f>IFERROR([16]Base!F36/[16]Base!F$76*F$4,0)</f>
        <v>0</v>
      </c>
      <c r="G36" s="1085">
        <f>IFERROR([16]Base!G36/[16]Base!G$76*G$4,0)</f>
        <v>0</v>
      </c>
      <c r="H36" s="1085">
        <f>IFERROR([16]Base!H36/[16]Base!H$76*H$4,0)</f>
        <v>0</v>
      </c>
      <c r="I36" s="1085">
        <f>IFERROR([16]Base!I36/[16]Base!I$76*I$4,0)</f>
        <v>0</v>
      </c>
      <c r="J36" s="1085">
        <f>IFERROR([16]Base!J36/[16]Base!J$76*J$4,0)</f>
        <v>0</v>
      </c>
      <c r="K36" s="1085">
        <f>IFERROR([16]Base!K36/[16]Base!K$76*K$4,0)</f>
        <v>0</v>
      </c>
      <c r="L36" s="1085">
        <f>IFERROR([16]Base!L36/[16]Base!L$76*L$4,0)</f>
        <v>0</v>
      </c>
      <c r="M36" s="1085">
        <f>IFERROR([16]Base!M36/[16]Base!M$76*M$4,0)</f>
        <v>0</v>
      </c>
      <c r="N36" s="1085">
        <f>IFERROR([16]Base!N36/[16]Base!N$76*N$4,0)</f>
        <v>0</v>
      </c>
      <c r="O36" s="1085">
        <f>IFERROR([16]Base!O36/[16]Base!O$76*O$4,0)</f>
        <v>0</v>
      </c>
      <c r="P36" s="1085">
        <f>IFERROR([16]Base!P36/[16]Base!P$76*P$4,0)</f>
        <v>0</v>
      </c>
      <c r="Q36" s="1085">
        <f>IFERROR([16]Base!Q36/[16]Base!Q$76*Q$4,0)</f>
        <v>0</v>
      </c>
      <c r="R36" s="1085"/>
      <c r="S36" s="1085">
        <f>IFERROR([16]Base!S36/[16]Base!S$76*S$4,0)</f>
        <v>0</v>
      </c>
      <c r="T36" s="1085">
        <f>IFERROR([16]Base!T36/[16]Base!T$76*T$4,0)</f>
        <v>0</v>
      </c>
      <c r="U36" s="1085">
        <f>IFERROR([16]Base!U36/[16]Base!U$76*U$4,0)</f>
        <v>0</v>
      </c>
      <c r="V36" s="1085">
        <f>IFERROR([16]Base!V36/[16]Base!V$76*V$4,0)</f>
        <v>0</v>
      </c>
      <c r="W36" s="1085">
        <f>IFERROR([16]Base!W36/[16]Base!W$76*W$4,0)</f>
        <v>0</v>
      </c>
      <c r="X36" s="1085">
        <f>IFERROR([16]Base!X36/[16]Base!X$76*X$4,0)</f>
        <v>0</v>
      </c>
      <c r="Y36" s="1085">
        <f>IFERROR([16]Base!Y36/[16]Base!Y$76*Y$4,0)</f>
        <v>0</v>
      </c>
      <c r="Z36" s="1085"/>
      <c r="AA36" s="1085">
        <f>IFERROR([16]Base!AA36/[16]Base!AA$76*AA$4,0)</f>
        <v>0</v>
      </c>
      <c r="AB36" s="1085">
        <f>IFERROR([16]Base!AB36/[16]Base!AB$76*AB$4,0)</f>
        <v>0</v>
      </c>
      <c r="AC36" s="1085"/>
      <c r="AD36" s="1085"/>
      <c r="AE36" s="1085"/>
      <c r="AF36" s="1085">
        <f>IFERROR([16]Base!AF36/[16]Base!AF$76*AF$4,0)</f>
        <v>0</v>
      </c>
      <c r="AG36" s="1085">
        <f>IFERROR([16]Base!AG36/[16]Base!AG$76*AG$4,0)</f>
        <v>0</v>
      </c>
      <c r="AH36" s="1085">
        <f>IFERROR([16]Base!AH36/[16]Base!AH$76*AH$4,0)</f>
        <v>0</v>
      </c>
      <c r="AI36" s="1085">
        <f>IFERROR([16]Base!AI36/[16]Base!AI$76*AI$4,0)</f>
        <v>0</v>
      </c>
      <c r="AJ36" s="1085">
        <f>IFERROR([16]Base!AJ36/[16]Base!AJ$76*AJ$4,0)</f>
        <v>0</v>
      </c>
      <c r="AK36" s="1085">
        <f>IFERROR([16]Base!AK36/[16]Base!AK$76*AK$4,0)</f>
        <v>0</v>
      </c>
      <c r="AL36" s="1085">
        <f>IFERROR([16]Base!AL36/[16]Base!AL$76*AL$4,0)</f>
        <v>0</v>
      </c>
      <c r="AM36" s="1085">
        <f>IFERROR([16]Base!AM36/[16]Base!AM$76*AM$4,0)</f>
        <v>0</v>
      </c>
      <c r="AN36" s="1085">
        <f>IFERROR([16]Base!AN36/[16]Base!AN$76*AN$4,0)</f>
        <v>0</v>
      </c>
      <c r="AO36" s="1085">
        <f>IFERROR('8_2.1.19 SIS'!AO36/'8_2.1.19 SIS'!AO$76*AO$4,0)</f>
        <v>0</v>
      </c>
      <c r="AP36" s="1085">
        <f>IFERROR('8_2.1.19 SIS'!AP36/'8_2.1.19 SIS'!AP$76*AP$4,0)</f>
        <v>0</v>
      </c>
      <c r="AQ36" s="1085">
        <f>IFERROR('8_2.1.19 SIS'!AQ36/'8_2.1.19 SIS'!AQ$76*AQ$4,0)</f>
        <v>0</v>
      </c>
      <c r="AR36" s="1085">
        <f>IFERROR('8_2.1.19 SIS'!AR36/'8_2.1.19 SIS'!AR$76*AR$4,0)</f>
        <v>0</v>
      </c>
      <c r="AS36" s="1085">
        <f>IFERROR('8_2.1.19 SIS'!AS36/'8_2.1.19 SIS'!AS$76*AS$4,0)</f>
        <v>0</v>
      </c>
      <c r="AT36" s="1085">
        <f>IFERROR([16]Base!AT36/[16]Base!AT$76*AT$4,0)</f>
        <v>0</v>
      </c>
      <c r="AU36" s="1085">
        <f>IFERROR([16]Base!AU36/[16]Base!AU$76*AU$4,0)</f>
        <v>884.49326230021938</v>
      </c>
      <c r="AV36" s="1086">
        <f t="shared" si="1"/>
        <v>374881.49326230021</v>
      </c>
      <c r="AW36" s="1085">
        <f>IFERROR([16]Base!AW36/[16]Base!AW$76*AW$4,0)</f>
        <v>0</v>
      </c>
      <c r="AX36" s="1085">
        <f>IFERROR([16]Base!AX36/[16]Base!AX$76*AX$4,0)</f>
        <v>0</v>
      </c>
      <c r="AY36" s="1085">
        <f>IFERROR([16]Base!AY36/[16]Base!AY$76*AY$4,0)</f>
        <v>0</v>
      </c>
      <c r="AZ36" s="1085">
        <f>IFERROR([16]Base!AZ36/[16]Base!AZ$76*AZ$4,0)</f>
        <v>0</v>
      </c>
      <c r="BA36" s="1085">
        <f>IFERROR([16]Base!BA36/[16]Base!BA$76*BA$4,0)</f>
        <v>0</v>
      </c>
      <c r="BB36" s="1085">
        <f>IFERROR([16]Base!BB36/[16]Base!BB$76*BB$4,0)</f>
        <v>0</v>
      </c>
      <c r="BC36" s="1085">
        <f>IFERROR([16]Base!BC36/[16]Base!BC$76*BC$4,0)</f>
        <v>0</v>
      </c>
      <c r="BD36" s="1085">
        <f>IFERROR([16]Base!BD36/[16]Base!BD$76*BD$4,0)</f>
        <v>0</v>
      </c>
      <c r="BE36" s="1085">
        <f>IFERROR([16]Base!BE36/[16]Base!BE$76*BE$4,0)</f>
        <v>0</v>
      </c>
      <c r="BF36" s="1085">
        <f>IFERROR([16]Base!BF36/[16]Base!BF$76*BF$4,0)</f>
        <v>0</v>
      </c>
      <c r="BG36" s="1085">
        <f>IFERROR([16]Base!BG36/[16]Base!BG$76*BG$4,0)</f>
        <v>0</v>
      </c>
      <c r="BH36" s="1087">
        <f>IFERROR([16]Base!BH36/[16]Base!BH$76*BH$4,0)</f>
        <v>0</v>
      </c>
      <c r="BI36" s="1085">
        <f t="shared" si="2"/>
        <v>374881.49326230021</v>
      </c>
    </row>
    <row r="37" spans="1:61" s="270" customFormat="1" ht="16.149999999999999" customHeight="1" x14ac:dyDescent="0.2">
      <c r="A37" s="273" t="s">
        <v>103</v>
      </c>
      <c r="B37" s="264" t="s">
        <v>178</v>
      </c>
      <c r="C37" s="1079">
        <f>'3B_Pay Raise'!O37</f>
        <v>857338</v>
      </c>
      <c r="D37" s="1079"/>
      <c r="E37" s="1079">
        <f>IFERROR([16]Base!E37/[16]Base!E$76*E$4,0)</f>
        <v>0</v>
      </c>
      <c r="F37" s="1079">
        <f>IFERROR([16]Base!F37/[16]Base!F$76*F$4,0)</f>
        <v>5890.854657113613</v>
      </c>
      <c r="G37" s="1079">
        <f>IFERROR([16]Base!G37/[16]Base!G$76*G$4,0)</f>
        <v>0</v>
      </c>
      <c r="H37" s="1079">
        <f>IFERROR([16]Base!H37/[16]Base!H$76*H$4,0)</f>
        <v>0</v>
      </c>
      <c r="I37" s="1079">
        <f>IFERROR([16]Base!I37/[16]Base!I$76*I$4,0)</f>
        <v>0</v>
      </c>
      <c r="J37" s="1079">
        <f>IFERROR([16]Base!J37/[16]Base!J$76*J$4,0)</f>
        <v>0</v>
      </c>
      <c r="K37" s="1079">
        <f>IFERROR([16]Base!K37/[16]Base!K$76*K$4,0)</f>
        <v>0</v>
      </c>
      <c r="L37" s="1079">
        <f>IFERROR([16]Base!L37/[16]Base!L$76*L$4,0)</f>
        <v>0</v>
      </c>
      <c r="M37" s="1079">
        <f>IFERROR([16]Base!M37/[16]Base!M$76*M$4,0)</f>
        <v>0</v>
      </c>
      <c r="N37" s="1079">
        <f>IFERROR([16]Base!N37/[16]Base!N$76*N$4,0)</f>
        <v>0</v>
      </c>
      <c r="O37" s="1079">
        <f>IFERROR([16]Base!O37/[16]Base!O$76*O$4,0)</f>
        <v>0</v>
      </c>
      <c r="P37" s="1079">
        <f>IFERROR([16]Base!P37/[16]Base!P$76*P$4,0)</f>
        <v>0</v>
      </c>
      <c r="Q37" s="1079">
        <f>IFERROR([16]Base!Q37/[16]Base!Q$76*Q$4,0)</f>
        <v>0</v>
      </c>
      <c r="R37" s="1079"/>
      <c r="S37" s="1079">
        <f>IFERROR([16]Base!S37/[16]Base!S$76*S$4,0)</f>
        <v>0</v>
      </c>
      <c r="T37" s="1079">
        <f>IFERROR([16]Base!T37/[16]Base!T$76*T$4,0)</f>
        <v>0</v>
      </c>
      <c r="U37" s="1079">
        <f>IFERROR([16]Base!U37/[16]Base!U$76*U$4,0)</f>
        <v>0</v>
      </c>
      <c r="V37" s="1079">
        <f>IFERROR([16]Base!V37/[16]Base!V$76*V$4,0)</f>
        <v>370.80555555555554</v>
      </c>
      <c r="W37" s="1079">
        <f>IFERROR([16]Base!W37/[16]Base!W$76*W$4,0)</f>
        <v>0</v>
      </c>
      <c r="X37" s="1079">
        <f>IFERROR([16]Base!X37/[16]Base!X$76*X$4,0)</f>
        <v>0</v>
      </c>
      <c r="Y37" s="1079">
        <f>IFERROR([16]Base!Y37/[16]Base!Y$76*Y$4,0)</f>
        <v>0</v>
      </c>
      <c r="Z37" s="1079"/>
      <c r="AA37" s="1079">
        <f>IFERROR([16]Base!AA37/[16]Base!AA$76*AA$4,0)</f>
        <v>0</v>
      </c>
      <c r="AB37" s="1080">
        <f>IFERROR([16]Base!AB37/[16]Base!AB$76*AB$4,0)</f>
        <v>52607.672955974842</v>
      </c>
      <c r="AC37" s="1080"/>
      <c r="AD37" s="1080"/>
      <c r="AE37" s="1080"/>
      <c r="AF37" s="1080">
        <f>IFERROR([16]Base!AF37/[16]Base!AF$76*AF$4,0)</f>
        <v>0</v>
      </c>
      <c r="AG37" s="1080">
        <f>IFERROR([16]Base!AG37/[16]Base!AG$76*AG$4,0)</f>
        <v>0</v>
      </c>
      <c r="AH37" s="1080">
        <f>IFERROR([16]Base!AH37/[16]Base!AH$76*AH$4,0)</f>
        <v>0</v>
      </c>
      <c r="AI37" s="1080">
        <f>IFERROR([16]Base!AI37/[16]Base!AI$76*AI$4,0)</f>
        <v>0</v>
      </c>
      <c r="AJ37" s="1080">
        <f>IFERROR([16]Base!AJ37/[16]Base!AJ$76*AJ$4,0)</f>
        <v>0</v>
      </c>
      <c r="AK37" s="1080">
        <f>IFERROR([16]Base!AK37/[16]Base!AK$76*AK$4,0)</f>
        <v>0</v>
      </c>
      <c r="AL37" s="1080">
        <f>IFERROR([16]Base!AL37/[16]Base!AL$76*AL$4,0)</f>
        <v>0</v>
      </c>
      <c r="AM37" s="1080">
        <f>IFERROR([16]Base!AM37/[16]Base!AM$76*AM$4,0)</f>
        <v>0</v>
      </c>
      <c r="AN37" s="1080">
        <f>IFERROR([16]Base!AN37/[16]Base!AN$76*AN$4,0)</f>
        <v>0</v>
      </c>
      <c r="AO37" s="1080">
        <f>IFERROR('8_2.1.19 SIS'!AO37/'8_2.1.19 SIS'!AO$76*AO$4,0)</f>
        <v>0</v>
      </c>
      <c r="AP37" s="1080">
        <f>IFERROR('8_2.1.19 SIS'!AP37/'8_2.1.19 SIS'!AP$76*AP$4,0)</f>
        <v>0</v>
      </c>
      <c r="AQ37" s="1080">
        <f>IFERROR('8_2.1.19 SIS'!AQ37/'8_2.1.19 SIS'!AQ$76*AQ$4,0)</f>
        <v>0</v>
      </c>
      <c r="AR37" s="1080">
        <f>IFERROR('8_2.1.19 SIS'!AR37/'8_2.1.19 SIS'!AR$76*AR$4,0)</f>
        <v>0</v>
      </c>
      <c r="AS37" s="1080">
        <f>IFERROR('8_2.1.19 SIS'!AS37/'8_2.1.19 SIS'!AS$76*AS$4,0)</f>
        <v>0</v>
      </c>
      <c r="AT37" s="1079">
        <f>IFERROR([16]Base!AT37/[16]Base!AT$76*AT$4,0)</f>
        <v>691.53125</v>
      </c>
      <c r="AU37" s="1079">
        <f>IFERROR([16]Base!AU37/[16]Base!AU$76*AU$4,0)</f>
        <v>491.38514572234408</v>
      </c>
      <c r="AV37" s="1081">
        <f t="shared" si="1"/>
        <v>917390.2495643663</v>
      </c>
      <c r="AW37" s="1079">
        <f>IFERROR([16]Base!AW37/[16]Base!AW$76*AW$4,0)</f>
        <v>200.37918215613382</v>
      </c>
      <c r="AX37" s="1079">
        <f>IFERROR([16]Base!AX37/[16]Base!AX$76*AX$4,0)</f>
        <v>0</v>
      </c>
      <c r="AY37" s="1079">
        <f>IFERROR([16]Base!AY37/[16]Base!AY$76*AY$4,0)</f>
        <v>0</v>
      </c>
      <c r="AZ37" s="1079">
        <f>IFERROR([16]Base!AZ37/[16]Base!AZ$76*AZ$4,0)</f>
        <v>0</v>
      </c>
      <c r="BA37" s="1079">
        <f>IFERROR([16]Base!BA37/[16]Base!BA$76*BA$4,0)</f>
        <v>0</v>
      </c>
      <c r="BB37" s="1079">
        <f>IFERROR([16]Base!BB37/[16]Base!BB$76*BB$4,0)</f>
        <v>0</v>
      </c>
      <c r="BC37" s="1079">
        <f>IFERROR([16]Base!BC37/[16]Base!BC$76*BC$4,0)</f>
        <v>0</v>
      </c>
      <c r="BD37" s="1079">
        <f>IFERROR([16]Base!BD37/[16]Base!BD$76*BD$4,0)</f>
        <v>0</v>
      </c>
      <c r="BE37" s="1079">
        <f>IFERROR([16]Base!BE37/[16]Base!BE$76*BE$4,0)</f>
        <v>0</v>
      </c>
      <c r="BF37" s="1079">
        <f>IFERROR([16]Base!BF37/[16]Base!BF$76*BF$4,0)</f>
        <v>955.71229050279328</v>
      </c>
      <c r="BG37" s="1079">
        <f>IFERROR([16]Base!BG37/[16]Base!BG$76*BG$4,0)</f>
        <v>0</v>
      </c>
      <c r="BH37" s="1082">
        <f>IFERROR([16]Base!BH37/[16]Base!BH$76*BH$4,0)</f>
        <v>0</v>
      </c>
      <c r="BI37" s="1079">
        <f t="shared" si="2"/>
        <v>918546.34103702521</v>
      </c>
    </row>
    <row r="38" spans="1:61" s="270" customFormat="1" ht="16.149999999999999" customHeight="1" x14ac:dyDescent="0.2">
      <c r="A38" s="275" t="s">
        <v>104</v>
      </c>
      <c r="B38" s="260" t="s">
        <v>179</v>
      </c>
      <c r="C38" s="1083">
        <f>'3B_Pay Raise'!O38</f>
        <v>3510634</v>
      </c>
      <c r="D38" s="1083"/>
      <c r="E38" s="1083">
        <f>IFERROR([16]Base!E38/[16]Base!E$76*E$4,0)</f>
        <v>607.51578947368421</v>
      </c>
      <c r="F38" s="1083">
        <f>IFERROR([16]Base!F38/[16]Base!F$76*F$4,0)</f>
        <v>0</v>
      </c>
      <c r="G38" s="1083">
        <f>IFERROR([16]Base!G38/[16]Base!G$76*G$4,0)</f>
        <v>0</v>
      </c>
      <c r="H38" s="1083">
        <f>IFERROR([16]Base!H38/[16]Base!H$76*H$4,0)</f>
        <v>0</v>
      </c>
      <c r="I38" s="1083">
        <f>IFERROR([16]Base!I38/[16]Base!I$76*I$4,0)</f>
        <v>0</v>
      </c>
      <c r="J38" s="1083">
        <f>IFERROR([16]Base!J38/[16]Base!J$76*J$4,0)</f>
        <v>0</v>
      </c>
      <c r="K38" s="1083">
        <f>IFERROR([16]Base!K38/[16]Base!K$76*K$4,0)</f>
        <v>0</v>
      </c>
      <c r="L38" s="1083">
        <f>IFERROR([16]Base!L38/[16]Base!L$76*L$4,0)</f>
        <v>0</v>
      </c>
      <c r="M38" s="1083">
        <f>IFERROR([16]Base!M38/[16]Base!M$76*M$4,0)</f>
        <v>3637.4500000000003</v>
      </c>
      <c r="N38" s="1083">
        <f>IFERROR([16]Base!N38/[16]Base!N$76*N$4,0)</f>
        <v>0</v>
      </c>
      <c r="O38" s="1083">
        <f>IFERROR([16]Base!O38/[16]Base!O$76*O$4,0)</f>
        <v>535.80419580419584</v>
      </c>
      <c r="P38" s="1083">
        <f>IFERROR([16]Base!P38/[16]Base!P$76*P$4,0)</f>
        <v>0</v>
      </c>
      <c r="Q38" s="1083">
        <f>IFERROR([16]Base!Q38/[16]Base!Q$76*Q$4,0)</f>
        <v>0</v>
      </c>
      <c r="R38" s="1083"/>
      <c r="S38" s="1083">
        <f>IFERROR([16]Base!S38/[16]Base!S$76*S$4,0)</f>
        <v>0</v>
      </c>
      <c r="T38" s="1083">
        <f>IFERROR([16]Base!T38/[16]Base!T$76*T$4,0)</f>
        <v>0</v>
      </c>
      <c r="U38" s="1083">
        <f>IFERROR([16]Base!U38/[16]Base!U$76*U$4,0)</f>
        <v>0</v>
      </c>
      <c r="V38" s="1083">
        <f>IFERROR([16]Base!V38/[16]Base!V$76*V$4,0)</f>
        <v>0</v>
      </c>
      <c r="W38" s="1083">
        <f>IFERROR([16]Base!W38/[16]Base!W$76*W$4,0)</f>
        <v>0</v>
      </c>
      <c r="X38" s="1083">
        <f>IFERROR([16]Base!X38/[16]Base!X$76*X$4,0)</f>
        <v>0</v>
      </c>
      <c r="Y38" s="1083">
        <f>IFERROR([16]Base!Y38/[16]Base!Y$76*Y$4,0)</f>
        <v>0</v>
      </c>
      <c r="Z38" s="1083"/>
      <c r="AA38" s="1083">
        <f>IFERROR([16]Base!AA38/[16]Base!AA$76*AA$4,0)</f>
        <v>568.31314623338255</v>
      </c>
      <c r="AB38" s="1083">
        <f>IFERROR([16]Base!AB38/[16]Base!AB$76*AB$4,0)</f>
        <v>0</v>
      </c>
      <c r="AC38" s="1083"/>
      <c r="AD38" s="1083"/>
      <c r="AE38" s="1083"/>
      <c r="AF38" s="1083">
        <f>IFERROR([16]Base!AF38/[16]Base!AF$76*AF$4,0)</f>
        <v>0</v>
      </c>
      <c r="AG38" s="1083">
        <f>IFERROR([16]Base!AG38/[16]Base!AG$76*AG$4,0)</f>
        <v>0</v>
      </c>
      <c r="AH38" s="1083">
        <f>IFERROR([16]Base!AH38/[16]Base!AH$76*AH$4,0)</f>
        <v>0</v>
      </c>
      <c r="AI38" s="1083">
        <f>IFERROR([16]Base!AI38/[16]Base!AI$76*AI$4,0)</f>
        <v>0</v>
      </c>
      <c r="AJ38" s="1083">
        <f>IFERROR([16]Base!AJ38/[16]Base!AJ$76*AJ$4,0)</f>
        <v>0</v>
      </c>
      <c r="AK38" s="1083">
        <f>IFERROR([16]Base!AK38/[16]Base!AK$76*AK$4,0)</f>
        <v>0</v>
      </c>
      <c r="AL38" s="1083">
        <f>IFERROR([16]Base!AL38/[16]Base!AL$76*AL$4,0)</f>
        <v>0</v>
      </c>
      <c r="AM38" s="1083">
        <f>IFERROR([16]Base!AM38/[16]Base!AM$76*AM$4,0)</f>
        <v>0</v>
      </c>
      <c r="AN38" s="1083">
        <f>IFERROR([16]Base!AN38/[16]Base!AN$76*AN$4,0)</f>
        <v>0</v>
      </c>
      <c r="AO38" s="1083">
        <f>IFERROR('8_2.1.19 SIS'!AO38/'8_2.1.19 SIS'!AO$76*AO$4,0)</f>
        <v>0</v>
      </c>
      <c r="AP38" s="1083">
        <f>IFERROR('8_2.1.19 SIS'!AP38/'8_2.1.19 SIS'!AP$76*AP$4,0)</f>
        <v>0</v>
      </c>
      <c r="AQ38" s="1083">
        <f>IFERROR('8_2.1.19 SIS'!AQ38/'8_2.1.19 SIS'!AQ$76*AQ$4,0)</f>
        <v>0</v>
      </c>
      <c r="AR38" s="1083">
        <f>IFERROR('8_2.1.19 SIS'!AR38/'8_2.1.19 SIS'!AR$76*AR$4,0)</f>
        <v>0</v>
      </c>
      <c r="AS38" s="1083">
        <f>IFERROR('8_2.1.19 SIS'!AS38/'8_2.1.19 SIS'!AS$76*AS$4,0)</f>
        <v>0</v>
      </c>
      <c r="AT38" s="1083">
        <f>IFERROR([16]Base!AT38/[16]Base!AT$76*AT$4,0)</f>
        <v>5301.7395833333339</v>
      </c>
      <c r="AU38" s="1083">
        <f>IFERROR([16]Base!AU38/[16]Base!AU$76*AU$4,0)</f>
        <v>24765.811344406142</v>
      </c>
      <c r="AV38" s="1084">
        <f t="shared" si="1"/>
        <v>3546050.6340592513</v>
      </c>
      <c r="AW38" s="1083">
        <f>IFERROR([16]Base!AW38/[16]Base!AW$76*AW$4,0)</f>
        <v>0</v>
      </c>
      <c r="AX38" s="1083">
        <f>IFERROR([16]Base!AX38/[16]Base!AX$76*AX$4,0)</f>
        <v>0</v>
      </c>
      <c r="AY38" s="1083">
        <f>IFERROR([16]Base!AY38/[16]Base!AY$76*AY$4,0)</f>
        <v>0</v>
      </c>
      <c r="AZ38" s="1083">
        <f>IFERROR([16]Base!AZ38/[16]Base!AZ$76*AZ$4,0)</f>
        <v>0</v>
      </c>
      <c r="BA38" s="1083">
        <f>IFERROR([16]Base!BA38/[16]Base!BA$76*BA$4,0)</f>
        <v>0</v>
      </c>
      <c r="BB38" s="1083">
        <f>IFERROR([16]Base!BB38/[16]Base!BB$76*BB$4,0)</f>
        <v>0</v>
      </c>
      <c r="BC38" s="1083">
        <f>IFERROR([16]Base!BC38/[16]Base!BC$76*BC$4,0)</f>
        <v>0</v>
      </c>
      <c r="BD38" s="1083">
        <f>IFERROR([16]Base!BD38/[16]Base!BD$76*BD$4,0)</f>
        <v>0</v>
      </c>
      <c r="BE38" s="1083">
        <f>IFERROR([16]Base!BE38/[16]Base!BE$76*BE$4,0)</f>
        <v>0</v>
      </c>
      <c r="BF38" s="1083">
        <f>IFERROR([16]Base!BF38/[16]Base!BF$76*BF$4,0)</f>
        <v>3249.421787709497</v>
      </c>
      <c r="BG38" s="1083">
        <f>IFERROR([16]Base!BG38/[16]Base!BG$76*BG$4,0)</f>
        <v>0</v>
      </c>
      <c r="BH38" s="1083">
        <f>IFERROR([16]Base!BH38/[16]Base!BH$76*BH$4,0)</f>
        <v>0</v>
      </c>
      <c r="BI38" s="1083">
        <f t="shared" si="2"/>
        <v>3549300.0558469607</v>
      </c>
    </row>
    <row r="39" spans="1:61" s="270" customFormat="1" ht="16.149999999999999" customHeight="1" x14ac:dyDescent="0.2">
      <c r="A39" s="275" t="s">
        <v>180</v>
      </c>
      <c r="B39" s="260" t="s">
        <v>181</v>
      </c>
      <c r="C39" s="1083">
        <f>'3B_Pay Raise'!O39</f>
        <v>183365</v>
      </c>
      <c r="D39" s="1083"/>
      <c r="E39" s="1083">
        <f>IFERROR([16]Base!E39/[16]Base!E$76*E$4,0)</f>
        <v>0</v>
      </c>
      <c r="F39" s="1083">
        <f>IFERROR([16]Base!F39/[16]Base!F$76*F$4,0)</f>
        <v>0</v>
      </c>
      <c r="G39" s="1083">
        <f>IFERROR([16]Base!G39/[16]Base!G$76*G$4,0)</f>
        <v>0</v>
      </c>
      <c r="H39" s="1083">
        <f>IFERROR([16]Base!H39/[16]Base!H$76*H$4,0)</f>
        <v>0</v>
      </c>
      <c r="I39" s="1083">
        <f>IFERROR([16]Base!I39/[16]Base!I$76*I$4,0)</f>
        <v>0</v>
      </c>
      <c r="J39" s="1083">
        <f>IFERROR([16]Base!J39/[16]Base!J$76*J$4,0)</f>
        <v>0</v>
      </c>
      <c r="K39" s="1083">
        <f>IFERROR([16]Base!K39/[16]Base!K$76*K$4,0)</f>
        <v>0</v>
      </c>
      <c r="L39" s="1083">
        <f>IFERROR([16]Base!L39/[16]Base!L$76*L$4,0)</f>
        <v>0</v>
      </c>
      <c r="M39" s="1083">
        <f>IFERROR([16]Base!M39/[16]Base!M$76*M$4,0)</f>
        <v>0</v>
      </c>
      <c r="N39" s="1083">
        <f>IFERROR([16]Base!N39/[16]Base!N$76*N$4,0)</f>
        <v>0</v>
      </c>
      <c r="O39" s="1083">
        <f>IFERROR([16]Base!O39/[16]Base!O$76*O$4,0)</f>
        <v>0</v>
      </c>
      <c r="P39" s="1083">
        <f>IFERROR([16]Base!P39/[16]Base!P$76*P$4,0)</f>
        <v>0</v>
      </c>
      <c r="Q39" s="1083">
        <f>IFERROR([16]Base!Q39/[16]Base!Q$76*Q$4,0)</f>
        <v>0</v>
      </c>
      <c r="R39" s="1083"/>
      <c r="S39" s="1083">
        <f>IFERROR([16]Base!S39/[16]Base!S$76*S$4,0)</f>
        <v>0</v>
      </c>
      <c r="T39" s="1083">
        <f>IFERROR([16]Base!T39/[16]Base!T$76*T$4,0)</f>
        <v>0</v>
      </c>
      <c r="U39" s="1083">
        <f>IFERROR([16]Base!U39/[16]Base!U$76*U$4,0)</f>
        <v>0</v>
      </c>
      <c r="V39" s="1083">
        <f>IFERROR([16]Base!V39/[16]Base!V$76*V$4,0)</f>
        <v>0</v>
      </c>
      <c r="W39" s="1083">
        <f>IFERROR([16]Base!W39/[16]Base!W$76*W$4,0)</f>
        <v>0</v>
      </c>
      <c r="X39" s="1083">
        <f>IFERROR([16]Base!X39/[16]Base!X$76*X$4,0)</f>
        <v>0</v>
      </c>
      <c r="Y39" s="1083">
        <f>IFERROR([16]Base!Y39/[16]Base!Y$76*Y$4,0)</f>
        <v>0</v>
      </c>
      <c r="Z39" s="1083"/>
      <c r="AA39" s="1083">
        <f>IFERROR([16]Base!AA39/[16]Base!AA$76*AA$4,0)</f>
        <v>0</v>
      </c>
      <c r="AB39" s="1083">
        <f>IFERROR([16]Base!AB39/[16]Base!AB$76*AB$4,0)</f>
        <v>0</v>
      </c>
      <c r="AC39" s="1083"/>
      <c r="AD39" s="1083"/>
      <c r="AE39" s="1083"/>
      <c r="AF39" s="1083">
        <f>IFERROR([16]Base!AF39/[16]Base!AF$76*AF$4,0)</f>
        <v>0</v>
      </c>
      <c r="AG39" s="1083">
        <f>IFERROR([16]Base!AG39/[16]Base!AG$76*AG$4,0)</f>
        <v>0</v>
      </c>
      <c r="AH39" s="1083">
        <f>IFERROR([16]Base!AH39/[16]Base!AH$76*AH$4,0)</f>
        <v>0</v>
      </c>
      <c r="AI39" s="1083">
        <f>IFERROR([16]Base!AI39/[16]Base!AI$76*AI$4,0)</f>
        <v>0</v>
      </c>
      <c r="AJ39" s="1083">
        <f>IFERROR([16]Base!AJ39/[16]Base!AJ$76*AJ$4,0)</f>
        <v>0</v>
      </c>
      <c r="AK39" s="1083">
        <f>IFERROR([16]Base!AK39/[16]Base!AK$76*AK$4,0)</f>
        <v>0</v>
      </c>
      <c r="AL39" s="1083">
        <f>IFERROR([16]Base!AL39/[16]Base!AL$76*AL$4,0)</f>
        <v>0</v>
      </c>
      <c r="AM39" s="1083">
        <f>IFERROR([16]Base!AM39/[16]Base!AM$76*AM$4,0)</f>
        <v>0</v>
      </c>
      <c r="AN39" s="1083">
        <f>IFERROR([16]Base!AN39/[16]Base!AN$76*AN$4,0)</f>
        <v>0</v>
      </c>
      <c r="AO39" s="1083">
        <f>IFERROR('8_2.1.19 SIS'!AO39/'8_2.1.19 SIS'!AO$76*AO$4,0)</f>
        <v>0</v>
      </c>
      <c r="AP39" s="1083">
        <f>IFERROR('8_2.1.19 SIS'!AP39/'8_2.1.19 SIS'!AP$76*AP$4,0)</f>
        <v>0</v>
      </c>
      <c r="AQ39" s="1083">
        <f>IFERROR('8_2.1.19 SIS'!AQ39/'8_2.1.19 SIS'!AQ$76*AQ$4,0)</f>
        <v>0</v>
      </c>
      <c r="AR39" s="1083">
        <f>IFERROR('8_2.1.19 SIS'!AR39/'8_2.1.19 SIS'!AR$76*AR$4,0)</f>
        <v>0</v>
      </c>
      <c r="AS39" s="1083">
        <f>IFERROR('8_2.1.19 SIS'!AS39/'8_2.1.19 SIS'!AS$76*AS$4,0)</f>
        <v>0</v>
      </c>
      <c r="AT39" s="1083">
        <f>IFERROR([16]Base!AT39/[16]Base!AT$76*AT$4,0)</f>
        <v>172.8828125</v>
      </c>
      <c r="AU39" s="1083">
        <f>IFERROR([16]Base!AU39/[16]Base!AU$76*AU$4,0)</f>
        <v>29876.216859918521</v>
      </c>
      <c r="AV39" s="1084">
        <f t="shared" ref="AV39:AV70" si="3">SUM(C39:AU39)</f>
        <v>213414.09967241852</v>
      </c>
      <c r="AW39" s="1083">
        <f>IFERROR([16]Base!AW39/[16]Base!AW$76*AW$4,0)</f>
        <v>100.18959107806691</v>
      </c>
      <c r="AX39" s="1083">
        <f>IFERROR([16]Base!AX39/[16]Base!AX$76*AX$4,0)</f>
        <v>0</v>
      </c>
      <c r="AY39" s="1083">
        <f>IFERROR([16]Base!AY39/[16]Base!AY$76*AY$4,0)</f>
        <v>0</v>
      </c>
      <c r="AZ39" s="1083">
        <f>IFERROR([16]Base!AZ39/[16]Base!AZ$76*AZ$4,0)</f>
        <v>0</v>
      </c>
      <c r="BA39" s="1083">
        <f>IFERROR([16]Base!BA39/[16]Base!BA$76*BA$4,0)</f>
        <v>38936.728132387703</v>
      </c>
      <c r="BB39" s="1083">
        <f>IFERROR([16]Base!BB39/[16]Base!BB$76*BB$4,0)</f>
        <v>0</v>
      </c>
      <c r="BC39" s="1083">
        <f>IFERROR([16]Base!BC39/[16]Base!BC$76*BC$4,0)</f>
        <v>0</v>
      </c>
      <c r="BD39" s="1083">
        <f>IFERROR([16]Base!BD39/[16]Base!BD$76*BD$4,0)</f>
        <v>0</v>
      </c>
      <c r="BE39" s="1083">
        <f>IFERROR([16]Base!BE39/[16]Base!BE$76*BE$4,0)</f>
        <v>0</v>
      </c>
      <c r="BF39" s="1083">
        <f>IFERROR([16]Base!BF39/[16]Base!BF$76*BF$4,0)</f>
        <v>191.14245810055866</v>
      </c>
      <c r="BG39" s="1083">
        <f>IFERROR([16]Base!BG39/[16]Base!BG$76*BG$4,0)</f>
        <v>0</v>
      </c>
      <c r="BH39" s="1083">
        <f>IFERROR([16]Base!BH39/[16]Base!BH$76*BH$4,0)</f>
        <v>0</v>
      </c>
      <c r="BI39" s="1083">
        <f t="shared" si="2"/>
        <v>252642.15985398486</v>
      </c>
    </row>
    <row r="40" spans="1:61" s="270" customFormat="1" ht="16.149999999999999" customHeight="1" x14ac:dyDescent="0.2">
      <c r="A40" s="275" t="s">
        <v>105</v>
      </c>
      <c r="B40" s="260" t="s">
        <v>182</v>
      </c>
      <c r="C40" s="1083">
        <f>'3B_Pay Raise'!O40</f>
        <v>498007</v>
      </c>
      <c r="D40" s="1083"/>
      <c r="E40" s="1083">
        <f>IFERROR([16]Base!E40/[16]Base!E$76*E$4,0)</f>
        <v>0</v>
      </c>
      <c r="F40" s="1083">
        <f>IFERROR([16]Base!F40/[16]Base!F$76*F$4,0)</f>
        <v>107.1064483111566</v>
      </c>
      <c r="G40" s="1083">
        <f>IFERROR([16]Base!G40/[16]Base!G$76*G$4,0)</f>
        <v>0</v>
      </c>
      <c r="H40" s="1083">
        <f>IFERROR([16]Base!H40/[16]Base!H$76*H$4,0)</f>
        <v>0</v>
      </c>
      <c r="I40" s="1083">
        <f>IFERROR([16]Base!I40/[16]Base!I$76*I$4,0)</f>
        <v>0</v>
      </c>
      <c r="J40" s="1083">
        <f>IFERROR([16]Base!J40/[16]Base!J$76*J$4,0)</f>
        <v>0</v>
      </c>
      <c r="K40" s="1083">
        <f>IFERROR([16]Base!K40/[16]Base!K$76*K$4,0)</f>
        <v>0</v>
      </c>
      <c r="L40" s="1083">
        <f>IFERROR([16]Base!L40/[16]Base!L$76*L$4,0)</f>
        <v>0</v>
      </c>
      <c r="M40" s="1083">
        <f>IFERROR([16]Base!M40/[16]Base!M$76*M$4,0)</f>
        <v>0</v>
      </c>
      <c r="N40" s="1083">
        <f>IFERROR([16]Base!N40/[16]Base!N$76*N$4,0)</f>
        <v>0</v>
      </c>
      <c r="O40" s="1083">
        <f>IFERROR([16]Base!O40/[16]Base!O$76*O$4,0)</f>
        <v>0</v>
      </c>
      <c r="P40" s="1083">
        <f>IFERROR([16]Base!P40/[16]Base!P$76*P$4,0)</f>
        <v>0</v>
      </c>
      <c r="Q40" s="1083">
        <f>IFERROR([16]Base!Q40/[16]Base!Q$76*Q$4,0)</f>
        <v>0</v>
      </c>
      <c r="R40" s="1083"/>
      <c r="S40" s="1083">
        <f>IFERROR([16]Base!S40/[16]Base!S$76*S$4,0)</f>
        <v>0</v>
      </c>
      <c r="T40" s="1083">
        <f>IFERROR([16]Base!T40/[16]Base!T$76*T$4,0)</f>
        <v>0</v>
      </c>
      <c r="U40" s="1083">
        <f>IFERROR([16]Base!U40/[16]Base!U$76*U$4,0)</f>
        <v>0</v>
      </c>
      <c r="V40" s="1083">
        <f>IFERROR([16]Base!V40/[16]Base!V$76*V$4,0)</f>
        <v>0</v>
      </c>
      <c r="W40" s="1083">
        <f>IFERROR([16]Base!W40/[16]Base!W$76*W$4,0)</f>
        <v>0</v>
      </c>
      <c r="X40" s="1083">
        <f>IFERROR([16]Base!X40/[16]Base!X$76*X$4,0)</f>
        <v>0</v>
      </c>
      <c r="Y40" s="1083">
        <f>IFERROR([16]Base!Y40/[16]Base!Y$76*Y$4,0)</f>
        <v>0</v>
      </c>
      <c r="Z40" s="1083"/>
      <c r="AA40" s="1083">
        <f>IFERROR([16]Base!AA40/[16]Base!AA$76*AA$4,0)</f>
        <v>0</v>
      </c>
      <c r="AB40" s="1083">
        <f>IFERROR([16]Base!AB40/[16]Base!AB$76*AB$4,0)</f>
        <v>0</v>
      </c>
      <c r="AC40" s="1083"/>
      <c r="AD40" s="1083"/>
      <c r="AE40" s="1083"/>
      <c r="AF40" s="1083">
        <f>IFERROR([16]Base!AF40/[16]Base!AF$76*AF$4,0)</f>
        <v>0</v>
      </c>
      <c r="AG40" s="1083">
        <f>IFERROR([16]Base!AG40/[16]Base!AG$76*AG$4,0)</f>
        <v>0</v>
      </c>
      <c r="AH40" s="1083">
        <f>IFERROR([16]Base!AH40/[16]Base!AH$76*AH$4,0)</f>
        <v>0</v>
      </c>
      <c r="AI40" s="1083">
        <f>IFERROR([16]Base!AI40/[16]Base!AI$76*AI$4,0)</f>
        <v>0</v>
      </c>
      <c r="AJ40" s="1083">
        <f>IFERROR([16]Base!AJ40/[16]Base!AJ$76*AJ$4,0)</f>
        <v>0</v>
      </c>
      <c r="AK40" s="1083">
        <f>IFERROR([16]Base!AK40/[16]Base!AK$76*AK$4,0)</f>
        <v>0</v>
      </c>
      <c r="AL40" s="1083">
        <f>IFERROR([16]Base!AL40/[16]Base!AL$76*AL$4,0)</f>
        <v>0</v>
      </c>
      <c r="AM40" s="1083">
        <f>IFERROR([16]Base!AM40/[16]Base!AM$76*AM$4,0)</f>
        <v>0</v>
      </c>
      <c r="AN40" s="1083">
        <f>IFERROR([16]Base!AN40/[16]Base!AN$76*AN$4,0)</f>
        <v>0</v>
      </c>
      <c r="AO40" s="1083">
        <f>IFERROR('8_2.1.19 SIS'!AO40/'8_2.1.19 SIS'!AO$76*AO$4,0)</f>
        <v>0</v>
      </c>
      <c r="AP40" s="1083">
        <f>IFERROR('8_2.1.19 SIS'!AP40/'8_2.1.19 SIS'!AP$76*AP$4,0)</f>
        <v>0</v>
      </c>
      <c r="AQ40" s="1083">
        <f>IFERROR('8_2.1.19 SIS'!AQ40/'8_2.1.19 SIS'!AQ$76*AQ$4,0)</f>
        <v>0</v>
      </c>
      <c r="AR40" s="1083">
        <f>IFERROR('8_2.1.19 SIS'!AR40/'8_2.1.19 SIS'!AR$76*AR$4,0)</f>
        <v>0</v>
      </c>
      <c r="AS40" s="1083">
        <f>IFERROR('8_2.1.19 SIS'!AS40/'8_2.1.19 SIS'!AS$76*AS$4,0)</f>
        <v>0</v>
      </c>
      <c r="AT40" s="1083">
        <f>IFERROR([16]Base!AT40/[16]Base!AT$76*AT$4,0)</f>
        <v>2247.4765625</v>
      </c>
      <c r="AU40" s="1083">
        <f>IFERROR([16]Base!AU40/[16]Base!AU$76*AU$4,0)</f>
        <v>2358.6486994672514</v>
      </c>
      <c r="AV40" s="1084">
        <f t="shared" si="3"/>
        <v>502720.23171027843</v>
      </c>
      <c r="AW40" s="1083">
        <f>IFERROR([16]Base!AW40/[16]Base!AW$76*AW$4,0)</f>
        <v>1502.8438661710036</v>
      </c>
      <c r="AX40" s="1083">
        <f>IFERROR([16]Base!AX40/[16]Base!AX$76*AX$4,0)</f>
        <v>0</v>
      </c>
      <c r="AY40" s="1083">
        <f>IFERROR([16]Base!AY40/[16]Base!AY$76*AY$4,0)</f>
        <v>0</v>
      </c>
      <c r="AZ40" s="1083">
        <f>IFERROR([16]Base!AZ40/[16]Base!AZ$76*AZ$4,0)</f>
        <v>0</v>
      </c>
      <c r="BA40" s="1083">
        <f>IFERROR([16]Base!BA40/[16]Base!BA$76*BA$4,0)</f>
        <v>0</v>
      </c>
      <c r="BB40" s="1083">
        <f>IFERROR([16]Base!BB40/[16]Base!BB$76*BB$4,0)</f>
        <v>0</v>
      </c>
      <c r="BC40" s="1083">
        <f>IFERROR([16]Base!BC40/[16]Base!BC$76*BC$4,0)</f>
        <v>0</v>
      </c>
      <c r="BD40" s="1083">
        <f>IFERROR([16]Base!BD40/[16]Base!BD$76*BD$4,0)</f>
        <v>0</v>
      </c>
      <c r="BE40" s="1083">
        <f>IFERROR([16]Base!BE40/[16]Base!BE$76*BE$4,0)</f>
        <v>0</v>
      </c>
      <c r="BF40" s="1083">
        <f>IFERROR([16]Base!BF40/[16]Base!BF$76*BF$4,0)</f>
        <v>0</v>
      </c>
      <c r="BG40" s="1083">
        <f>IFERROR([16]Base!BG40/[16]Base!BG$76*BG$4,0)</f>
        <v>0</v>
      </c>
      <c r="BH40" s="1083">
        <f>IFERROR([16]Base!BH40/[16]Base!BH$76*BH$4,0)</f>
        <v>0</v>
      </c>
      <c r="BI40" s="1083">
        <f t="shared" si="2"/>
        <v>504223.07557644945</v>
      </c>
    </row>
    <row r="41" spans="1:61" s="270" customFormat="1" ht="16.149999999999999" customHeight="1" x14ac:dyDescent="0.2">
      <c r="A41" s="277" t="s">
        <v>106</v>
      </c>
      <c r="B41" s="262" t="s">
        <v>183</v>
      </c>
      <c r="C41" s="1085">
        <f>'3B_Pay Raise'!O41</f>
        <v>831471</v>
      </c>
      <c r="D41" s="1085"/>
      <c r="E41" s="1085">
        <f>IFERROR([16]Base!E41/[16]Base!E$76*E$4,0)</f>
        <v>0</v>
      </c>
      <c r="F41" s="1085">
        <f>IFERROR([16]Base!F41/[16]Base!F$76*F$4,0)</f>
        <v>0</v>
      </c>
      <c r="G41" s="1085">
        <f>IFERROR([16]Base!G41/[16]Base!G$76*G$4,0)</f>
        <v>0</v>
      </c>
      <c r="H41" s="1085">
        <f>IFERROR([16]Base!H41/[16]Base!H$76*H$4,0)</f>
        <v>0</v>
      </c>
      <c r="I41" s="1085">
        <f>IFERROR([16]Base!I41/[16]Base!I$76*I$4,0)</f>
        <v>0</v>
      </c>
      <c r="J41" s="1085">
        <f>IFERROR([16]Base!J41/[16]Base!J$76*J$4,0)</f>
        <v>0</v>
      </c>
      <c r="K41" s="1085">
        <f>IFERROR([16]Base!K41/[16]Base!K$76*K$4,0)</f>
        <v>0</v>
      </c>
      <c r="L41" s="1085">
        <f>IFERROR([16]Base!L41/[16]Base!L$76*L$4,0)</f>
        <v>0</v>
      </c>
      <c r="M41" s="1085">
        <f>IFERROR([16]Base!M41/[16]Base!M$76*M$4,0)</f>
        <v>0</v>
      </c>
      <c r="N41" s="1085">
        <f>IFERROR([16]Base!N41/[16]Base!N$76*N$4,0)</f>
        <v>0</v>
      </c>
      <c r="O41" s="1085">
        <f>IFERROR([16]Base!O41/[16]Base!O$76*O$4,0)</f>
        <v>0</v>
      </c>
      <c r="P41" s="1085">
        <f>IFERROR([16]Base!P41/[16]Base!P$76*P$4,0)</f>
        <v>0</v>
      </c>
      <c r="Q41" s="1085">
        <f>IFERROR([16]Base!Q41/[16]Base!Q$76*Q$4,0)</f>
        <v>0</v>
      </c>
      <c r="R41" s="1085"/>
      <c r="S41" s="1085">
        <f>IFERROR([16]Base!S41/[16]Base!S$76*S$4,0)</f>
        <v>0</v>
      </c>
      <c r="T41" s="1085">
        <f>IFERROR([16]Base!T41/[16]Base!T$76*T$4,0)</f>
        <v>0</v>
      </c>
      <c r="U41" s="1085">
        <f>IFERROR([16]Base!U41/[16]Base!U$76*U$4,0)</f>
        <v>0</v>
      </c>
      <c r="V41" s="1085">
        <f>IFERROR([16]Base!V41/[16]Base!V$76*V$4,0)</f>
        <v>0</v>
      </c>
      <c r="W41" s="1085">
        <f>IFERROR([16]Base!W41/[16]Base!W$76*W$4,0)</f>
        <v>0</v>
      </c>
      <c r="X41" s="1085">
        <f>IFERROR([16]Base!X41/[16]Base!X$76*X$4,0)</f>
        <v>0</v>
      </c>
      <c r="Y41" s="1085">
        <f>IFERROR([16]Base!Y41/[16]Base!Y$76*Y$4,0)</f>
        <v>0</v>
      </c>
      <c r="Z41" s="1085"/>
      <c r="AA41" s="1085">
        <f>IFERROR([16]Base!AA41/[16]Base!AA$76*AA$4,0)</f>
        <v>0</v>
      </c>
      <c r="AB41" s="1085">
        <f>IFERROR([16]Base!AB41/[16]Base!AB$76*AB$4,0)</f>
        <v>0</v>
      </c>
      <c r="AC41" s="1085"/>
      <c r="AD41" s="1085"/>
      <c r="AE41" s="1085"/>
      <c r="AF41" s="1085">
        <f>IFERROR([16]Base!AF41/[16]Base!AF$76*AF$4,0)</f>
        <v>0</v>
      </c>
      <c r="AG41" s="1085">
        <f>IFERROR([16]Base!AG41/[16]Base!AG$76*AG$4,0)</f>
        <v>0</v>
      </c>
      <c r="AH41" s="1085">
        <f>IFERROR([16]Base!AH41/[16]Base!AH$76*AH$4,0)</f>
        <v>0</v>
      </c>
      <c r="AI41" s="1085">
        <f>IFERROR([16]Base!AI41/[16]Base!AI$76*AI$4,0)</f>
        <v>0</v>
      </c>
      <c r="AJ41" s="1085">
        <f>IFERROR([16]Base!AJ41/[16]Base!AJ$76*AJ$4,0)</f>
        <v>0</v>
      </c>
      <c r="AK41" s="1085">
        <f>IFERROR([16]Base!AK41/[16]Base!AK$76*AK$4,0)</f>
        <v>0</v>
      </c>
      <c r="AL41" s="1085">
        <f>IFERROR([16]Base!AL41/[16]Base!AL$76*AL$4,0)</f>
        <v>0</v>
      </c>
      <c r="AM41" s="1085">
        <f>IFERROR([16]Base!AM41/[16]Base!AM$76*AM$4,0)</f>
        <v>0</v>
      </c>
      <c r="AN41" s="1085">
        <f>IFERROR([16]Base!AN41/[16]Base!AN$76*AN$4,0)</f>
        <v>0</v>
      </c>
      <c r="AO41" s="1085">
        <f>IFERROR('8_2.1.19 SIS'!AO41/'8_2.1.19 SIS'!AO$76*AO$4,0)</f>
        <v>0</v>
      </c>
      <c r="AP41" s="1085">
        <f>IFERROR('8_2.1.19 SIS'!AP41/'8_2.1.19 SIS'!AP$76*AP$4,0)</f>
        <v>0</v>
      </c>
      <c r="AQ41" s="1085">
        <f>IFERROR('8_2.1.19 SIS'!AQ41/'8_2.1.19 SIS'!AQ$76*AQ$4,0)</f>
        <v>0</v>
      </c>
      <c r="AR41" s="1085">
        <f>IFERROR('8_2.1.19 SIS'!AR41/'8_2.1.19 SIS'!AR$76*AR$4,0)</f>
        <v>0</v>
      </c>
      <c r="AS41" s="1085">
        <f>IFERROR('8_2.1.19 SIS'!AS41/'8_2.1.19 SIS'!AS$76*AS$4,0)</f>
        <v>0</v>
      </c>
      <c r="AT41" s="1085">
        <f>IFERROR([16]Base!AT41/[16]Base!AT$76*AT$4,0)</f>
        <v>1037.296875</v>
      </c>
      <c r="AU41" s="1085">
        <f>IFERROR([16]Base!AU41/[16]Base!AU$76*AU$4,0)</f>
        <v>884.49326230021938</v>
      </c>
      <c r="AV41" s="1086">
        <f t="shared" si="3"/>
        <v>833392.79013730027</v>
      </c>
      <c r="AW41" s="1085">
        <f>IFERROR([16]Base!AW41/[16]Base!AW$76*AW$4,0)</f>
        <v>0</v>
      </c>
      <c r="AX41" s="1085">
        <f>IFERROR([16]Base!AX41/[16]Base!AX$76*AX$4,0)</f>
        <v>0</v>
      </c>
      <c r="AY41" s="1085">
        <f>IFERROR([16]Base!AY41/[16]Base!AY$76*AY$4,0)</f>
        <v>0</v>
      </c>
      <c r="AZ41" s="1085">
        <f>IFERROR([16]Base!AZ41/[16]Base!AZ$76*AZ$4,0)</f>
        <v>0</v>
      </c>
      <c r="BA41" s="1085">
        <f>IFERROR([16]Base!BA41/[16]Base!BA$76*BA$4,0)</f>
        <v>0</v>
      </c>
      <c r="BB41" s="1085">
        <f>IFERROR([16]Base!BB41/[16]Base!BB$76*BB$4,0)</f>
        <v>0</v>
      </c>
      <c r="BC41" s="1085">
        <f>IFERROR([16]Base!BC41/[16]Base!BC$76*BC$4,0)</f>
        <v>0</v>
      </c>
      <c r="BD41" s="1085">
        <f>IFERROR([16]Base!BD41/[16]Base!BD$76*BD$4,0)</f>
        <v>0</v>
      </c>
      <c r="BE41" s="1085">
        <f>IFERROR([16]Base!BE41/[16]Base!BE$76*BE$4,0)</f>
        <v>0</v>
      </c>
      <c r="BF41" s="1085">
        <f>IFERROR([16]Base!BF41/[16]Base!BF$76*BF$4,0)</f>
        <v>4396.2765363128492</v>
      </c>
      <c r="BG41" s="1085">
        <f>IFERROR([16]Base!BG41/[16]Base!BG$76*BG$4,0)</f>
        <v>0</v>
      </c>
      <c r="BH41" s="1087">
        <f>IFERROR([16]Base!BH41/[16]Base!BH$76*BH$4,0)</f>
        <v>0</v>
      </c>
      <c r="BI41" s="1085">
        <f t="shared" si="2"/>
        <v>837789.06667361315</v>
      </c>
    </row>
    <row r="42" spans="1:61" s="270" customFormat="1" ht="16.149999999999999" customHeight="1" x14ac:dyDescent="0.2">
      <c r="A42" s="273" t="s">
        <v>107</v>
      </c>
      <c r="B42" s="264" t="s">
        <v>184</v>
      </c>
      <c r="C42" s="1079">
        <f>'3B_Pay Raise'!O42</f>
        <v>6430260</v>
      </c>
      <c r="D42" s="1079"/>
      <c r="E42" s="1079">
        <f>IFERROR([16]Base!E42/[16]Base!E$76*E$4,0)</f>
        <v>0</v>
      </c>
      <c r="F42" s="1079">
        <f>IFERROR([16]Base!F42/[16]Base!F$76*F$4,0)</f>
        <v>0</v>
      </c>
      <c r="G42" s="1079">
        <f>IFERROR([16]Base!G42/[16]Base!G$76*G$4,0)</f>
        <v>62682.407894736847</v>
      </c>
      <c r="H42" s="1079">
        <f>IFERROR([16]Base!H42/[16]Base!H$76*H$4,0)</f>
        <v>27842.36954206603</v>
      </c>
      <c r="I42" s="1079">
        <f>IFERROR([16]Base!I42/[16]Base!I$76*I$4,0)</f>
        <v>110104.49214659685</v>
      </c>
      <c r="J42" s="1079">
        <f>IFERROR([16]Base!J42/[16]Base!J$76*J$4,0)</f>
        <v>0</v>
      </c>
      <c r="K42" s="1079">
        <f>IFERROR([16]Base!K42/[16]Base!K$76*K$4,0)</f>
        <v>0</v>
      </c>
      <c r="L42" s="1079">
        <f>IFERROR([16]Base!L42/[16]Base!L$76*L$4,0)</f>
        <v>0</v>
      </c>
      <c r="M42" s="1079">
        <f>IFERROR([16]Base!M42/[16]Base!M$76*M$4,0)</f>
        <v>0</v>
      </c>
      <c r="N42" s="1079">
        <f>IFERROR([16]Base!N42/[16]Base!N$76*N$4,0)</f>
        <v>6663.4061135371185</v>
      </c>
      <c r="O42" s="1079">
        <f>IFERROR([16]Base!O42/[16]Base!O$76*O$4,0)</f>
        <v>0</v>
      </c>
      <c r="P42" s="1079">
        <f>IFERROR([16]Base!P42/[16]Base!P$76*P$4,0)</f>
        <v>0</v>
      </c>
      <c r="Q42" s="1079">
        <f>IFERROR([16]Base!Q42/[16]Base!Q$76*Q$4,0)</f>
        <v>0</v>
      </c>
      <c r="R42" s="1079"/>
      <c r="S42" s="1079">
        <f>IFERROR([16]Base!S42/[16]Base!S$76*S$4,0)</f>
        <v>0</v>
      </c>
      <c r="T42" s="1079">
        <f>IFERROR([16]Base!T42/[16]Base!T$76*T$4,0)</f>
        <v>95.385204081632651</v>
      </c>
      <c r="U42" s="1079">
        <f>IFERROR([16]Base!U42/[16]Base!U$76*U$4,0)</f>
        <v>0</v>
      </c>
      <c r="V42" s="1079">
        <f>IFERROR([16]Base!V42/[16]Base!V$76*V$4,0)</f>
        <v>0</v>
      </c>
      <c r="W42" s="1079">
        <f>IFERROR([16]Base!W42/[16]Base!W$76*W$4,0)</f>
        <v>0</v>
      </c>
      <c r="X42" s="1079">
        <f>IFERROR([16]Base!X42/[16]Base!X$76*X$4,0)</f>
        <v>0</v>
      </c>
      <c r="Y42" s="1079">
        <f>IFERROR([16]Base!Y42/[16]Base!Y$76*Y$4,0)</f>
        <v>0</v>
      </c>
      <c r="Z42" s="1079"/>
      <c r="AA42" s="1079">
        <f>IFERROR([16]Base!AA42/[16]Base!AA$76*AA$4,0)</f>
        <v>0</v>
      </c>
      <c r="AB42" s="1080">
        <f>IFERROR([16]Base!AB42/[16]Base!AB$76*AB$4,0)</f>
        <v>0</v>
      </c>
      <c r="AC42" s="1080"/>
      <c r="AD42" s="1080"/>
      <c r="AE42" s="1080"/>
      <c r="AF42" s="1080">
        <f>IFERROR([16]Base!AF42/[16]Base!AF$76*AF$4,0)</f>
        <v>0</v>
      </c>
      <c r="AG42" s="1080">
        <f>IFERROR([16]Base!AG42/[16]Base!AG$76*AG$4,0)</f>
        <v>9520.2330097087379</v>
      </c>
      <c r="AH42" s="1080">
        <f>IFERROR([16]Base!AH42/[16]Base!AH$76*AH$4,0)</f>
        <v>0</v>
      </c>
      <c r="AI42" s="1080">
        <f>IFERROR([16]Base!AI42/[16]Base!AI$76*AI$4,0)</f>
        <v>0</v>
      </c>
      <c r="AJ42" s="1080">
        <f>IFERROR([16]Base!AJ42/[16]Base!AJ$76*AJ$4,0)</f>
        <v>0</v>
      </c>
      <c r="AK42" s="1080">
        <f>IFERROR([16]Base!AK42/[16]Base!AK$76*AK$4,0)</f>
        <v>19763.725490196081</v>
      </c>
      <c r="AL42" s="1080">
        <f>IFERROR([16]Base!AL42/[16]Base!AL$76*AL$4,0)</f>
        <v>7898.3236074270562</v>
      </c>
      <c r="AM42" s="1080">
        <f>IFERROR([16]Base!AM42/[16]Base!AM$76*AM$4,0)</f>
        <v>0</v>
      </c>
      <c r="AN42" s="1080">
        <f>IFERROR([16]Base!AN42/[16]Base!AN$76*AN$4,0)</f>
        <v>0</v>
      </c>
      <c r="AO42" s="1080">
        <f>IFERROR('8_2.1.19 SIS'!AO42/'8_2.1.19 SIS'!AO$76*AO$4,0)</f>
        <v>0</v>
      </c>
      <c r="AP42" s="1080">
        <f>IFERROR('8_2.1.19 SIS'!AP42/'8_2.1.19 SIS'!AP$76*AP$4,0)</f>
        <v>0</v>
      </c>
      <c r="AQ42" s="1080">
        <f>IFERROR('8_2.1.19 SIS'!AQ42/'8_2.1.19 SIS'!AQ$76*AQ$4,0)</f>
        <v>0</v>
      </c>
      <c r="AR42" s="1080">
        <f>IFERROR('8_2.1.19 SIS'!AR42/'8_2.1.19 SIS'!AR$76*AR$4,0)</f>
        <v>0</v>
      </c>
      <c r="AS42" s="1080">
        <f>IFERROR('8_2.1.19 SIS'!AS42/'8_2.1.19 SIS'!AS$76*AS$4,0)</f>
        <v>0</v>
      </c>
      <c r="AT42" s="1079">
        <f>IFERROR([16]Base!AT42/[16]Base!AT$76*AT$4,0)</f>
        <v>5186.484375</v>
      </c>
      <c r="AU42" s="1079">
        <f>IFERROR([16]Base!AU42/[16]Base!AU$76*AU$4,0)</f>
        <v>6977.6690692572856</v>
      </c>
      <c r="AV42" s="1081">
        <f t="shared" si="3"/>
        <v>6686994.4964526081</v>
      </c>
      <c r="AW42" s="1079">
        <f>IFERROR([16]Base!AW42/[16]Base!AW$76*AW$4,0)</f>
        <v>0</v>
      </c>
      <c r="AX42" s="1079">
        <f>IFERROR([16]Base!AX42/[16]Base!AX$76*AX$4,0)</f>
        <v>0</v>
      </c>
      <c r="AY42" s="1079">
        <f>IFERROR([16]Base!AY42/[16]Base!AY$76*AY$4,0)</f>
        <v>115505.44825124911</v>
      </c>
      <c r="AZ42" s="1079">
        <f>IFERROR([16]Base!AZ42/[16]Base!AZ$76*AZ$4,0)</f>
        <v>0</v>
      </c>
      <c r="BA42" s="1079">
        <f>IFERROR([16]Base!BA42/[16]Base!BA$76*BA$4,0)</f>
        <v>0</v>
      </c>
      <c r="BB42" s="1079">
        <f>IFERROR([16]Base!BB42/[16]Base!BB$76*BB$4,0)</f>
        <v>39838.940789473687</v>
      </c>
      <c r="BC42" s="1079">
        <f>IFERROR([16]Base!BC42/[16]Base!BC$76*BC$4,0)</f>
        <v>0</v>
      </c>
      <c r="BD42" s="1079">
        <f>IFERROR([16]Base!BD42/[16]Base!BD$76*BD$4,0)</f>
        <v>0</v>
      </c>
      <c r="BE42" s="1079">
        <f>IFERROR([16]Base!BE42/[16]Base!BE$76*BE$4,0)</f>
        <v>0</v>
      </c>
      <c r="BF42" s="1079">
        <f>IFERROR([16]Base!BF42/[16]Base!BF$76*BF$4,0)</f>
        <v>573.42737430167597</v>
      </c>
      <c r="BG42" s="1079">
        <f>IFERROR([16]Base!BG42/[16]Base!BG$76*BG$4,0)</f>
        <v>46807.867521367523</v>
      </c>
      <c r="BH42" s="1082">
        <f>IFERROR([16]Base!BH42/[16]Base!BH$76*BH$4,0)</f>
        <v>0</v>
      </c>
      <c r="BI42" s="1079">
        <f t="shared" si="2"/>
        <v>6889720.1803890001</v>
      </c>
    </row>
    <row r="43" spans="1:61" s="270" customFormat="1" ht="16.149999999999999" customHeight="1" x14ac:dyDescent="0.2">
      <c r="A43" s="275" t="s">
        <v>108</v>
      </c>
      <c r="B43" s="260" t="s">
        <v>185</v>
      </c>
      <c r="C43" s="1083">
        <f>'3B_Pay Raise'!O43</f>
        <v>2850364</v>
      </c>
      <c r="D43" s="1083"/>
      <c r="E43" s="1083">
        <f>IFERROR([16]Base!E43/[16]Base!E$76*E$4,0)</f>
        <v>0</v>
      </c>
      <c r="F43" s="1083">
        <f>IFERROR([16]Base!F43/[16]Base!F$76*F$4,0)</f>
        <v>1606.596724667349</v>
      </c>
      <c r="G43" s="1083">
        <f>IFERROR([16]Base!G43/[16]Base!G$76*G$4,0)</f>
        <v>0</v>
      </c>
      <c r="H43" s="1083">
        <f>IFERROR([16]Base!H43/[16]Base!H$76*H$4,0)</f>
        <v>0</v>
      </c>
      <c r="I43" s="1083">
        <f>IFERROR([16]Base!I43/[16]Base!I$76*I$4,0)</f>
        <v>0</v>
      </c>
      <c r="J43" s="1083">
        <f>IFERROR([16]Base!J43/[16]Base!J$76*J$4,0)</f>
        <v>0</v>
      </c>
      <c r="K43" s="1083">
        <f>IFERROR([16]Base!K43/[16]Base!K$76*K$4,0)</f>
        <v>0</v>
      </c>
      <c r="L43" s="1083">
        <f>IFERROR([16]Base!L43/[16]Base!L$76*L$4,0)</f>
        <v>0</v>
      </c>
      <c r="M43" s="1083">
        <f>IFERROR([16]Base!M43/[16]Base!M$76*M$4,0)</f>
        <v>0</v>
      </c>
      <c r="N43" s="1083">
        <f>IFERROR([16]Base!N43/[16]Base!N$76*N$4,0)</f>
        <v>0</v>
      </c>
      <c r="O43" s="1083">
        <f>IFERROR([16]Base!O43/[16]Base!O$76*O$4,0)</f>
        <v>0</v>
      </c>
      <c r="P43" s="1083">
        <f>IFERROR([16]Base!P43/[16]Base!P$76*P$4,0)</f>
        <v>0</v>
      </c>
      <c r="Q43" s="1083">
        <f>IFERROR([16]Base!Q43/[16]Base!Q$76*Q$4,0)</f>
        <v>0</v>
      </c>
      <c r="R43" s="1083"/>
      <c r="S43" s="1083">
        <f>IFERROR([16]Base!S43/[16]Base!S$76*S$4,0)</f>
        <v>0</v>
      </c>
      <c r="T43" s="1083">
        <f>IFERROR([16]Base!T43/[16]Base!T$76*T$4,0)</f>
        <v>0</v>
      </c>
      <c r="U43" s="1083">
        <f>IFERROR([16]Base!U43/[16]Base!U$76*U$4,0)</f>
        <v>0</v>
      </c>
      <c r="V43" s="1083">
        <f>IFERROR([16]Base!V43/[16]Base!V$76*V$4,0)</f>
        <v>0</v>
      </c>
      <c r="W43" s="1083">
        <f>IFERROR([16]Base!W43/[16]Base!W$76*W$4,0)</f>
        <v>0</v>
      </c>
      <c r="X43" s="1083">
        <f>IFERROR([16]Base!X43/[16]Base!X$76*X$4,0)</f>
        <v>0</v>
      </c>
      <c r="Y43" s="1083">
        <f>IFERROR([16]Base!Y43/[16]Base!Y$76*Y$4,0)</f>
        <v>0</v>
      </c>
      <c r="Z43" s="1083"/>
      <c r="AA43" s="1083">
        <f>IFERROR([16]Base!AA43/[16]Base!AA$76*AA$4,0)</f>
        <v>0</v>
      </c>
      <c r="AB43" s="1083">
        <f>IFERROR([16]Base!AB43/[16]Base!AB$76*AB$4,0)</f>
        <v>1434.7547169811321</v>
      </c>
      <c r="AC43" s="1083"/>
      <c r="AD43" s="1083"/>
      <c r="AE43" s="1083"/>
      <c r="AF43" s="1083">
        <f>IFERROR([16]Base!AF43/[16]Base!AF$76*AF$4,0)</f>
        <v>0</v>
      </c>
      <c r="AG43" s="1083">
        <f>IFERROR([16]Base!AG43/[16]Base!AG$76*AG$4,0)</f>
        <v>0</v>
      </c>
      <c r="AH43" s="1083">
        <f>IFERROR([16]Base!AH43/[16]Base!AH$76*AH$4,0)</f>
        <v>0</v>
      </c>
      <c r="AI43" s="1083">
        <f>IFERROR([16]Base!AI43/[16]Base!AI$76*AI$4,0)</f>
        <v>0</v>
      </c>
      <c r="AJ43" s="1083">
        <f>IFERROR([16]Base!AJ43/[16]Base!AJ$76*AJ$4,0)</f>
        <v>0</v>
      </c>
      <c r="AK43" s="1083">
        <f>IFERROR([16]Base!AK43/[16]Base!AK$76*AK$4,0)</f>
        <v>0</v>
      </c>
      <c r="AL43" s="1083">
        <f>IFERROR([16]Base!AL43/[16]Base!AL$76*AL$4,0)</f>
        <v>0</v>
      </c>
      <c r="AM43" s="1083">
        <f>IFERROR([16]Base!AM43/[16]Base!AM$76*AM$4,0)</f>
        <v>0</v>
      </c>
      <c r="AN43" s="1083">
        <f>IFERROR([16]Base!AN43/[16]Base!AN$76*AN$4,0)</f>
        <v>0</v>
      </c>
      <c r="AO43" s="1083">
        <f>IFERROR('8_2.1.19 SIS'!AO43/'8_2.1.19 SIS'!AO$76*AO$4,0)</f>
        <v>0</v>
      </c>
      <c r="AP43" s="1083">
        <f>IFERROR('8_2.1.19 SIS'!AP43/'8_2.1.19 SIS'!AP$76*AP$4,0)</f>
        <v>0</v>
      </c>
      <c r="AQ43" s="1083">
        <f>IFERROR('8_2.1.19 SIS'!AQ43/'8_2.1.19 SIS'!AQ$76*AQ$4,0)</f>
        <v>0</v>
      </c>
      <c r="AR43" s="1083">
        <f>IFERROR('8_2.1.19 SIS'!AR43/'8_2.1.19 SIS'!AR$76*AR$4,0)</f>
        <v>0</v>
      </c>
      <c r="AS43" s="1083">
        <f>IFERROR('8_2.1.19 SIS'!AS43/'8_2.1.19 SIS'!AS$76*AS$4,0)</f>
        <v>0</v>
      </c>
      <c r="AT43" s="1083">
        <f>IFERROR([16]Base!AT43/[16]Base!AT$76*AT$4,0)</f>
        <v>3400.028645833333</v>
      </c>
      <c r="AU43" s="1083">
        <f>IFERROR([16]Base!AU43/[16]Base!AU$76*AU$4,0)</f>
        <v>5896.6217486681289</v>
      </c>
      <c r="AV43" s="1084">
        <f t="shared" si="3"/>
        <v>2862702.00183615</v>
      </c>
      <c r="AW43" s="1083">
        <f>IFERROR([16]Base!AW43/[16]Base!AW$76*AW$4,0)</f>
        <v>7814.7881040892189</v>
      </c>
      <c r="AX43" s="1083">
        <f>IFERROR([16]Base!AX43/[16]Base!AX$76*AX$4,0)</f>
        <v>0</v>
      </c>
      <c r="AY43" s="1083">
        <f>IFERROR([16]Base!AY43/[16]Base!AY$76*AY$4,0)</f>
        <v>0</v>
      </c>
      <c r="AZ43" s="1083">
        <f>IFERROR([16]Base!AZ43/[16]Base!AZ$76*AZ$4,0)</f>
        <v>0</v>
      </c>
      <c r="BA43" s="1083">
        <f>IFERROR([16]Base!BA43/[16]Base!BA$76*BA$4,0)</f>
        <v>0</v>
      </c>
      <c r="BB43" s="1083">
        <f>IFERROR([16]Base!BB43/[16]Base!BB$76*BB$4,0)</f>
        <v>0</v>
      </c>
      <c r="BC43" s="1083">
        <f>IFERROR([16]Base!BC43/[16]Base!BC$76*BC$4,0)</f>
        <v>0</v>
      </c>
      <c r="BD43" s="1083">
        <f>IFERROR([16]Base!BD43/[16]Base!BD$76*BD$4,0)</f>
        <v>0</v>
      </c>
      <c r="BE43" s="1083">
        <f>IFERROR([16]Base!BE43/[16]Base!BE$76*BE$4,0)</f>
        <v>0</v>
      </c>
      <c r="BF43" s="1083">
        <f>IFERROR([16]Base!BF43/[16]Base!BF$76*BF$4,0)</f>
        <v>955.71229050279328</v>
      </c>
      <c r="BG43" s="1083">
        <f>IFERROR([16]Base!BG43/[16]Base!BG$76*BG$4,0)</f>
        <v>0</v>
      </c>
      <c r="BH43" s="1083">
        <f>IFERROR([16]Base!BH43/[16]Base!BH$76*BH$4,0)</f>
        <v>0</v>
      </c>
      <c r="BI43" s="1083">
        <f t="shared" si="2"/>
        <v>2871472.502230742</v>
      </c>
    </row>
    <row r="44" spans="1:61" s="270" customFormat="1" ht="16.149999999999999" customHeight="1" x14ac:dyDescent="0.2">
      <c r="A44" s="275" t="s">
        <v>109</v>
      </c>
      <c r="B44" s="260" t="s">
        <v>186</v>
      </c>
      <c r="C44" s="1083">
        <f>'3B_Pay Raise'!O44</f>
        <v>605271</v>
      </c>
      <c r="D44" s="1083"/>
      <c r="E44" s="1083">
        <f>IFERROR([16]Base!E44/[16]Base!E$76*E$4,0)</f>
        <v>0</v>
      </c>
      <c r="F44" s="1083">
        <f>IFERROR([16]Base!F44/[16]Base!F$76*F$4,0)</f>
        <v>0</v>
      </c>
      <c r="G44" s="1083">
        <f>IFERROR([16]Base!G44/[16]Base!G$76*G$4,0)</f>
        <v>0</v>
      </c>
      <c r="H44" s="1083">
        <f>IFERROR([16]Base!H44/[16]Base!H$76*H$4,0)</f>
        <v>1421.7380191693289</v>
      </c>
      <c r="I44" s="1083">
        <f>IFERROR([16]Base!I44/[16]Base!I$76*I$4,0)</f>
        <v>1117.0020942408378</v>
      </c>
      <c r="J44" s="1083">
        <f>IFERROR([16]Base!J44/[16]Base!J$76*J$4,0)</f>
        <v>0</v>
      </c>
      <c r="K44" s="1083">
        <f>IFERROR([16]Base!K44/[16]Base!K$76*K$4,0)</f>
        <v>0</v>
      </c>
      <c r="L44" s="1083">
        <f>IFERROR([16]Base!L44/[16]Base!L$76*L$4,0)</f>
        <v>0</v>
      </c>
      <c r="M44" s="1083">
        <f>IFERROR([16]Base!M44/[16]Base!M$76*M$4,0)</f>
        <v>0</v>
      </c>
      <c r="N44" s="1083">
        <f>IFERROR([16]Base!N44/[16]Base!N$76*N$4,0)</f>
        <v>0</v>
      </c>
      <c r="O44" s="1083">
        <f>IFERROR([16]Base!O44/[16]Base!O$76*O$4,0)</f>
        <v>0</v>
      </c>
      <c r="P44" s="1083">
        <f>IFERROR([16]Base!P44/[16]Base!P$76*P$4,0)</f>
        <v>0</v>
      </c>
      <c r="Q44" s="1083">
        <f>IFERROR([16]Base!Q44/[16]Base!Q$76*Q$4,0)</f>
        <v>0</v>
      </c>
      <c r="R44" s="1083"/>
      <c r="S44" s="1083">
        <f>IFERROR([16]Base!S44/[16]Base!S$76*S$4,0)</f>
        <v>0</v>
      </c>
      <c r="T44" s="1083">
        <f>IFERROR([16]Base!T44/[16]Base!T$76*T$4,0)</f>
        <v>0</v>
      </c>
      <c r="U44" s="1083">
        <f>IFERROR([16]Base!U44/[16]Base!U$76*U$4,0)</f>
        <v>0</v>
      </c>
      <c r="V44" s="1083">
        <f>IFERROR([16]Base!V44/[16]Base!V$76*V$4,0)</f>
        <v>0</v>
      </c>
      <c r="W44" s="1083">
        <f>IFERROR([16]Base!W44/[16]Base!W$76*W$4,0)</f>
        <v>0</v>
      </c>
      <c r="X44" s="1083">
        <f>IFERROR([16]Base!X44/[16]Base!X$76*X$4,0)</f>
        <v>0</v>
      </c>
      <c r="Y44" s="1083">
        <f>IFERROR([16]Base!Y44/[16]Base!Y$76*Y$4,0)</f>
        <v>0</v>
      </c>
      <c r="Z44" s="1083"/>
      <c r="AA44" s="1083">
        <f>IFERROR([16]Base!AA44/[16]Base!AA$76*AA$4,0)</f>
        <v>0</v>
      </c>
      <c r="AB44" s="1083">
        <f>IFERROR([16]Base!AB44/[16]Base!AB$76*AB$4,0)</f>
        <v>0</v>
      </c>
      <c r="AC44" s="1083"/>
      <c r="AD44" s="1083"/>
      <c r="AE44" s="1083"/>
      <c r="AF44" s="1083">
        <f>IFERROR([16]Base!AF44/[16]Base!AF$76*AF$4,0)</f>
        <v>0</v>
      </c>
      <c r="AG44" s="1083">
        <f>IFERROR([16]Base!AG44/[16]Base!AG$76*AG$4,0)</f>
        <v>0</v>
      </c>
      <c r="AH44" s="1083">
        <f>IFERROR([16]Base!AH44/[16]Base!AH$76*AH$4,0)</f>
        <v>0</v>
      </c>
      <c r="AI44" s="1083">
        <f>IFERROR([16]Base!AI44/[16]Base!AI$76*AI$4,0)</f>
        <v>0</v>
      </c>
      <c r="AJ44" s="1083">
        <f>IFERROR([16]Base!AJ44/[16]Base!AJ$76*AJ$4,0)</f>
        <v>0</v>
      </c>
      <c r="AK44" s="1083">
        <f>IFERROR([16]Base!AK44/[16]Base!AK$76*AK$4,0)</f>
        <v>208.0392156862745</v>
      </c>
      <c r="AL44" s="1083">
        <f>IFERROR([16]Base!AL44/[16]Base!AL$76*AL$4,0)</f>
        <v>699.85145888594161</v>
      </c>
      <c r="AM44" s="1083">
        <f>IFERROR([16]Base!AM44/[16]Base!AM$76*AM$4,0)</f>
        <v>0</v>
      </c>
      <c r="AN44" s="1083">
        <f>IFERROR([16]Base!AN44/[16]Base!AN$76*AN$4,0)</f>
        <v>0</v>
      </c>
      <c r="AO44" s="1083">
        <f>IFERROR('8_2.1.19 SIS'!AO44/'8_2.1.19 SIS'!AO$76*AO$4,0)</f>
        <v>0</v>
      </c>
      <c r="AP44" s="1083">
        <f>IFERROR('8_2.1.19 SIS'!AP44/'8_2.1.19 SIS'!AP$76*AP$4,0)</f>
        <v>0</v>
      </c>
      <c r="AQ44" s="1083">
        <f>IFERROR('8_2.1.19 SIS'!AQ44/'8_2.1.19 SIS'!AQ$76*AQ$4,0)</f>
        <v>0</v>
      </c>
      <c r="AR44" s="1083">
        <f>IFERROR('8_2.1.19 SIS'!AR44/'8_2.1.19 SIS'!AR$76*AR$4,0)</f>
        <v>0</v>
      </c>
      <c r="AS44" s="1083">
        <f>IFERROR('8_2.1.19 SIS'!AS44/'8_2.1.19 SIS'!AS$76*AS$4,0)</f>
        <v>0</v>
      </c>
      <c r="AT44" s="1083">
        <f>IFERROR([16]Base!AT44/[16]Base!AT$76*AT$4,0)</f>
        <v>633.90364583333326</v>
      </c>
      <c r="AU44" s="1083">
        <f>IFERROR([16]Base!AU44/[16]Base!AU$76*AU$4,0)</f>
        <v>1277.6013788780947</v>
      </c>
      <c r="AV44" s="1084">
        <f t="shared" si="3"/>
        <v>610629.13581269386</v>
      </c>
      <c r="AW44" s="1083">
        <f>IFERROR([16]Base!AW44/[16]Base!AW$76*AW$4,0)</f>
        <v>0</v>
      </c>
      <c r="AX44" s="1083">
        <f>IFERROR([16]Base!AX44/[16]Base!AX$76*AX$4,0)</f>
        <v>0</v>
      </c>
      <c r="AY44" s="1083">
        <f>IFERROR([16]Base!AY44/[16]Base!AY$76*AY$4,0)</f>
        <v>1373.2483940042825</v>
      </c>
      <c r="AZ44" s="1083">
        <f>IFERROR([16]Base!AZ44/[16]Base!AZ$76*AZ$4,0)</f>
        <v>0</v>
      </c>
      <c r="BA44" s="1083">
        <f>IFERROR([16]Base!BA44/[16]Base!BA$76*BA$4,0)</f>
        <v>0</v>
      </c>
      <c r="BB44" s="1083">
        <f>IFERROR([16]Base!BB44/[16]Base!BB$76*BB$4,0)</f>
        <v>86037.149122807023</v>
      </c>
      <c r="BC44" s="1083">
        <f>IFERROR([16]Base!BC44/[16]Base!BC$76*BC$4,0)</f>
        <v>0</v>
      </c>
      <c r="BD44" s="1083">
        <f>IFERROR([16]Base!BD44/[16]Base!BD$76*BD$4,0)</f>
        <v>0</v>
      </c>
      <c r="BE44" s="1083">
        <f>IFERROR([16]Base!BE44/[16]Base!BE$76*BE$4,0)</f>
        <v>0</v>
      </c>
      <c r="BF44" s="1083">
        <f>IFERROR([16]Base!BF44/[16]Base!BF$76*BF$4,0)</f>
        <v>191.14245810055866</v>
      </c>
      <c r="BG44" s="1083">
        <f>IFERROR([16]Base!BG44/[16]Base!BG$76*BG$4,0)</f>
        <v>2321.0512820512818</v>
      </c>
      <c r="BH44" s="1083">
        <f>IFERROR([16]Base!BH44/[16]Base!BH$76*BH$4,0)</f>
        <v>0</v>
      </c>
      <c r="BI44" s="1083">
        <f t="shared" si="2"/>
        <v>700551.72706965706</v>
      </c>
    </row>
    <row r="45" spans="1:61" s="270" customFormat="1" ht="16.149999999999999" customHeight="1" x14ac:dyDescent="0.2">
      <c r="A45" s="275" t="s">
        <v>110</v>
      </c>
      <c r="B45" s="260" t="s">
        <v>187</v>
      </c>
      <c r="C45" s="1083">
        <f>'3B_Pay Raise'!O45</f>
        <v>317853</v>
      </c>
      <c r="D45" s="1083"/>
      <c r="E45" s="1083">
        <f>IFERROR([16]Base!E45/[16]Base!E$76*E$4,0)</f>
        <v>0</v>
      </c>
      <c r="F45" s="1083">
        <f>IFERROR([16]Base!F45/[16]Base!F$76*F$4,0)</f>
        <v>0</v>
      </c>
      <c r="G45" s="1083">
        <f>IFERROR([16]Base!G45/[16]Base!G$76*G$4,0)</f>
        <v>0</v>
      </c>
      <c r="H45" s="1083">
        <f>IFERROR([16]Base!H45/[16]Base!H$76*H$4,0)</f>
        <v>0</v>
      </c>
      <c r="I45" s="1083">
        <f>IFERROR([16]Base!I45/[16]Base!I$76*I$4,0)</f>
        <v>0</v>
      </c>
      <c r="J45" s="1083">
        <f>IFERROR([16]Base!J45/[16]Base!J$76*J$4,0)</f>
        <v>0</v>
      </c>
      <c r="K45" s="1083">
        <f>IFERROR([16]Base!K45/[16]Base!K$76*K$4,0)</f>
        <v>0</v>
      </c>
      <c r="L45" s="1083">
        <f>IFERROR([16]Base!L45/[16]Base!L$76*L$4,0)</f>
        <v>0</v>
      </c>
      <c r="M45" s="1083">
        <f>IFERROR([16]Base!M45/[16]Base!M$76*M$4,0)</f>
        <v>1340.1131578947368</v>
      </c>
      <c r="N45" s="1083">
        <f>IFERROR([16]Base!N45/[16]Base!N$76*N$4,0)</f>
        <v>0</v>
      </c>
      <c r="O45" s="1083">
        <f>IFERROR([16]Base!O45/[16]Base!O$76*O$4,0)</f>
        <v>0</v>
      </c>
      <c r="P45" s="1083">
        <f>IFERROR([16]Base!P45/[16]Base!P$76*P$4,0)</f>
        <v>0</v>
      </c>
      <c r="Q45" s="1083">
        <f>IFERROR([16]Base!Q45/[16]Base!Q$76*Q$4,0)</f>
        <v>0</v>
      </c>
      <c r="R45" s="1083"/>
      <c r="S45" s="1083">
        <f>IFERROR([16]Base!S45/[16]Base!S$76*S$4,0)</f>
        <v>688.9103869653768</v>
      </c>
      <c r="T45" s="1083">
        <f>IFERROR([16]Base!T45/[16]Base!T$76*T$4,0)</f>
        <v>0</v>
      </c>
      <c r="U45" s="1083">
        <f>IFERROR([16]Base!U45/[16]Base!U$76*U$4,0)</f>
        <v>0</v>
      </c>
      <c r="V45" s="1083">
        <f>IFERROR([16]Base!V45/[16]Base!V$76*V$4,0)</f>
        <v>0</v>
      </c>
      <c r="W45" s="1083">
        <f>IFERROR([16]Base!W45/[16]Base!W$76*W$4,0)</f>
        <v>0</v>
      </c>
      <c r="X45" s="1083">
        <f>IFERROR([16]Base!X45/[16]Base!X$76*X$4,0)</f>
        <v>0</v>
      </c>
      <c r="Y45" s="1083">
        <f>IFERROR([16]Base!Y45/[16]Base!Y$76*Y$4,0)</f>
        <v>0</v>
      </c>
      <c r="Z45" s="1083"/>
      <c r="AA45" s="1083">
        <f>IFERROR([16]Base!AA45/[16]Base!AA$76*AA$4,0)</f>
        <v>0</v>
      </c>
      <c r="AB45" s="1083">
        <f>IFERROR([16]Base!AB45/[16]Base!AB$76*AB$4,0)</f>
        <v>0</v>
      </c>
      <c r="AC45" s="1083"/>
      <c r="AD45" s="1083"/>
      <c r="AE45" s="1083"/>
      <c r="AF45" s="1083">
        <f>IFERROR([16]Base!AF45/[16]Base!AF$76*AF$4,0)</f>
        <v>0</v>
      </c>
      <c r="AG45" s="1083">
        <f>IFERROR([16]Base!AG45/[16]Base!AG$76*AG$4,0)</f>
        <v>0</v>
      </c>
      <c r="AH45" s="1083">
        <f>IFERROR([16]Base!AH45/[16]Base!AH$76*AH$4,0)</f>
        <v>0</v>
      </c>
      <c r="AI45" s="1083">
        <f>IFERROR([16]Base!AI45/[16]Base!AI$76*AI$4,0)</f>
        <v>0</v>
      </c>
      <c r="AJ45" s="1083">
        <f>IFERROR([16]Base!AJ45/[16]Base!AJ$76*AJ$4,0)</f>
        <v>0</v>
      </c>
      <c r="AK45" s="1083">
        <f>IFERROR([16]Base!AK45/[16]Base!AK$76*AK$4,0)</f>
        <v>0</v>
      </c>
      <c r="AL45" s="1083">
        <f>IFERROR([16]Base!AL45/[16]Base!AL$76*AL$4,0)</f>
        <v>0</v>
      </c>
      <c r="AM45" s="1083">
        <f>IFERROR([16]Base!AM45/[16]Base!AM$76*AM$4,0)</f>
        <v>0</v>
      </c>
      <c r="AN45" s="1083">
        <f>IFERROR([16]Base!AN45/[16]Base!AN$76*AN$4,0)</f>
        <v>0</v>
      </c>
      <c r="AO45" s="1083">
        <f>IFERROR('8_2.1.19 SIS'!AO45/'8_2.1.19 SIS'!AO$76*AO$4,0)</f>
        <v>0</v>
      </c>
      <c r="AP45" s="1083">
        <f>IFERROR('8_2.1.19 SIS'!AP45/'8_2.1.19 SIS'!AP$76*AP$4,0)</f>
        <v>0</v>
      </c>
      <c r="AQ45" s="1083">
        <f>IFERROR('8_2.1.19 SIS'!AQ45/'8_2.1.19 SIS'!AQ$76*AQ$4,0)</f>
        <v>0</v>
      </c>
      <c r="AR45" s="1083">
        <f>IFERROR('8_2.1.19 SIS'!AR45/'8_2.1.19 SIS'!AR$76*AR$4,0)</f>
        <v>0</v>
      </c>
      <c r="AS45" s="1083">
        <f>IFERROR('8_2.1.19 SIS'!AS45/'8_2.1.19 SIS'!AS$76*AS$4,0)</f>
        <v>0</v>
      </c>
      <c r="AT45" s="1083">
        <f>IFERROR([16]Base!AT45/[16]Base!AT$76*AT$4,0)</f>
        <v>691.53125</v>
      </c>
      <c r="AU45" s="1083">
        <f>IFERROR([16]Base!AU45/[16]Base!AU$76*AU$4,0)</f>
        <v>1375.8784080225635</v>
      </c>
      <c r="AV45" s="1084">
        <f t="shared" si="3"/>
        <v>321949.4332028827</v>
      </c>
      <c r="AW45" s="1083">
        <f>IFERROR([16]Base!AW45/[16]Base!AW$76*AW$4,0)</f>
        <v>0</v>
      </c>
      <c r="AX45" s="1083">
        <f>IFERROR([16]Base!AX45/[16]Base!AX$76*AX$4,0)</f>
        <v>0</v>
      </c>
      <c r="AY45" s="1083">
        <f>IFERROR([16]Base!AY45/[16]Base!AY$76*AY$4,0)</f>
        <v>0</v>
      </c>
      <c r="AZ45" s="1083">
        <f>IFERROR([16]Base!AZ45/[16]Base!AZ$76*AZ$4,0)</f>
        <v>0</v>
      </c>
      <c r="BA45" s="1083">
        <f>IFERROR([16]Base!BA45/[16]Base!BA$76*BA$4,0)</f>
        <v>0</v>
      </c>
      <c r="BB45" s="1083">
        <f>IFERROR([16]Base!BB45/[16]Base!BB$76*BB$4,0)</f>
        <v>0</v>
      </c>
      <c r="BC45" s="1083">
        <f>IFERROR([16]Base!BC45/[16]Base!BC$76*BC$4,0)</f>
        <v>0</v>
      </c>
      <c r="BD45" s="1083">
        <f>IFERROR([16]Base!BD45/[16]Base!BD$76*BD$4,0)</f>
        <v>0</v>
      </c>
      <c r="BE45" s="1083">
        <f>IFERROR([16]Base!BE45/[16]Base!BE$76*BE$4,0)</f>
        <v>0</v>
      </c>
      <c r="BF45" s="1083">
        <f>IFERROR([16]Base!BF45/[16]Base!BF$76*BF$4,0)</f>
        <v>1146.8547486033519</v>
      </c>
      <c r="BG45" s="1083">
        <f>IFERROR([16]Base!BG45/[16]Base!BG$76*BG$4,0)</f>
        <v>0</v>
      </c>
      <c r="BH45" s="1083">
        <f>IFERROR([16]Base!BH45/[16]Base!BH$76*BH$4,0)</f>
        <v>439.4450867052023</v>
      </c>
      <c r="BI45" s="1083">
        <f t="shared" si="2"/>
        <v>323535.73303819128</v>
      </c>
    </row>
    <row r="46" spans="1:61" s="270" customFormat="1" ht="16.149999999999999" customHeight="1" x14ac:dyDescent="0.2">
      <c r="A46" s="277" t="s">
        <v>111</v>
      </c>
      <c r="B46" s="262" t="s">
        <v>188</v>
      </c>
      <c r="C46" s="1085">
        <f>'3B_Pay Raise'!O46</f>
        <v>3171239</v>
      </c>
      <c r="D46" s="1085"/>
      <c r="E46" s="1085">
        <f>IFERROR([16]Base!E46/[16]Base!E$76*E$4,0)</f>
        <v>0</v>
      </c>
      <c r="F46" s="1085">
        <f>IFERROR([16]Base!F46/[16]Base!F$76*F$4,0)</f>
        <v>0</v>
      </c>
      <c r="G46" s="1085">
        <f>IFERROR([16]Base!G46/[16]Base!G$76*G$4,0)</f>
        <v>0</v>
      </c>
      <c r="H46" s="1085">
        <f>IFERROR([16]Base!H46/[16]Base!H$76*H$4,0)</f>
        <v>0</v>
      </c>
      <c r="I46" s="1085">
        <f>IFERROR([16]Base!I46/[16]Base!I$76*I$4,0)</f>
        <v>0</v>
      </c>
      <c r="J46" s="1085">
        <f>IFERROR([16]Base!J46/[16]Base!J$76*J$4,0)</f>
        <v>0</v>
      </c>
      <c r="K46" s="1085">
        <f>IFERROR([16]Base!K46/[16]Base!K$76*K$4,0)</f>
        <v>0</v>
      </c>
      <c r="L46" s="1085">
        <f>IFERROR([16]Base!L46/[16]Base!L$76*L$4,0)</f>
        <v>0</v>
      </c>
      <c r="M46" s="1085">
        <f>IFERROR([16]Base!M46/[16]Base!M$76*M$4,0)</f>
        <v>0</v>
      </c>
      <c r="N46" s="1085">
        <f>IFERROR([16]Base!N46/[16]Base!N$76*N$4,0)</f>
        <v>0</v>
      </c>
      <c r="O46" s="1085">
        <f>IFERROR([16]Base!O46/[16]Base!O$76*O$4,0)</f>
        <v>0</v>
      </c>
      <c r="P46" s="1085">
        <f>IFERROR([16]Base!P46/[16]Base!P$76*P$4,0)</f>
        <v>0</v>
      </c>
      <c r="Q46" s="1085">
        <f>IFERROR([16]Base!Q46/[16]Base!Q$76*Q$4,0)</f>
        <v>0</v>
      </c>
      <c r="R46" s="1085"/>
      <c r="S46" s="1085">
        <f>IFERROR([16]Base!S46/[16]Base!S$76*S$4,0)</f>
        <v>0</v>
      </c>
      <c r="T46" s="1085">
        <f>IFERROR([16]Base!T46/[16]Base!T$76*T$4,0)</f>
        <v>0</v>
      </c>
      <c r="U46" s="1085">
        <f>IFERROR([16]Base!U46/[16]Base!U$76*U$4,0)</f>
        <v>0</v>
      </c>
      <c r="V46" s="1085">
        <f>IFERROR([16]Base!V46/[16]Base!V$76*V$4,0)</f>
        <v>0</v>
      </c>
      <c r="W46" s="1085">
        <f>IFERROR([16]Base!W46/[16]Base!W$76*W$4,0)</f>
        <v>0</v>
      </c>
      <c r="X46" s="1085">
        <f>IFERROR([16]Base!X46/[16]Base!X$76*X$4,0)</f>
        <v>0</v>
      </c>
      <c r="Y46" s="1085">
        <f>IFERROR([16]Base!Y46/[16]Base!Y$76*Y$4,0)</f>
        <v>0</v>
      </c>
      <c r="Z46" s="1085"/>
      <c r="AA46" s="1085">
        <f>IFERROR([16]Base!AA46/[16]Base!AA$76*AA$4,0)</f>
        <v>0</v>
      </c>
      <c r="AB46" s="1085">
        <f>IFERROR([16]Base!AB46/[16]Base!AB$76*AB$4,0)</f>
        <v>0</v>
      </c>
      <c r="AC46" s="1085"/>
      <c r="AD46" s="1085"/>
      <c r="AE46" s="1085"/>
      <c r="AF46" s="1085">
        <f>IFERROR([16]Base!AF46/[16]Base!AF$76*AF$4,0)</f>
        <v>0</v>
      </c>
      <c r="AG46" s="1085">
        <f>IFERROR([16]Base!AG46/[16]Base!AG$76*AG$4,0)</f>
        <v>0</v>
      </c>
      <c r="AH46" s="1085">
        <f>IFERROR([16]Base!AH46/[16]Base!AH$76*AH$4,0)</f>
        <v>0</v>
      </c>
      <c r="AI46" s="1085">
        <f>IFERROR([16]Base!AI46/[16]Base!AI$76*AI$4,0)</f>
        <v>0</v>
      </c>
      <c r="AJ46" s="1085">
        <f>IFERROR([16]Base!AJ46/[16]Base!AJ$76*AJ$4,0)</f>
        <v>0</v>
      </c>
      <c r="AK46" s="1085">
        <f>IFERROR([16]Base!AK46/[16]Base!AK$76*AK$4,0)</f>
        <v>0</v>
      </c>
      <c r="AL46" s="1085">
        <f>IFERROR([16]Base!AL46/[16]Base!AL$76*AL$4,0)</f>
        <v>0</v>
      </c>
      <c r="AM46" s="1085">
        <f>IFERROR([16]Base!AM46/[16]Base!AM$76*AM$4,0)</f>
        <v>0</v>
      </c>
      <c r="AN46" s="1085">
        <f>IFERROR([16]Base!AN46/[16]Base!AN$76*AN$4,0)</f>
        <v>174.43877551020407</v>
      </c>
      <c r="AO46" s="1085">
        <f>IFERROR('8_2.1.19 SIS'!AO46/'8_2.1.19 SIS'!AO$76*AO$4,0)</f>
        <v>0</v>
      </c>
      <c r="AP46" s="1085">
        <f>IFERROR('8_2.1.19 SIS'!AP46/'8_2.1.19 SIS'!AP$76*AP$4,0)</f>
        <v>0</v>
      </c>
      <c r="AQ46" s="1085">
        <f>IFERROR('8_2.1.19 SIS'!AQ46/'8_2.1.19 SIS'!AQ$76*AQ$4,0)</f>
        <v>0</v>
      </c>
      <c r="AR46" s="1085">
        <f>IFERROR('8_2.1.19 SIS'!AR46/'8_2.1.19 SIS'!AR$76*AR$4,0)</f>
        <v>0</v>
      </c>
      <c r="AS46" s="1085">
        <f>IFERROR('8_2.1.19 SIS'!AS46/'8_2.1.19 SIS'!AS$76*AS$4,0)</f>
        <v>0</v>
      </c>
      <c r="AT46" s="1085">
        <f>IFERROR([16]Base!AT46/[16]Base!AT$76*AT$4,0)</f>
        <v>3515.2838541666665</v>
      </c>
      <c r="AU46" s="1085">
        <f>IFERROR([16]Base!AU46/[16]Base!AU$76*AU$4,0)</f>
        <v>7370.7771858351616</v>
      </c>
      <c r="AV46" s="1086">
        <f t="shared" si="3"/>
        <v>3182299.4998155115</v>
      </c>
      <c r="AW46" s="1085">
        <f>IFERROR([16]Base!AW46/[16]Base!AW$76*AW$4,0)</f>
        <v>0</v>
      </c>
      <c r="AX46" s="1085">
        <f>IFERROR([16]Base!AX46/[16]Base!AX$76*AX$4,0)</f>
        <v>0</v>
      </c>
      <c r="AY46" s="1085">
        <f>IFERROR([16]Base!AY46/[16]Base!AY$76*AY$4,0)</f>
        <v>0</v>
      </c>
      <c r="AZ46" s="1085">
        <f>IFERROR([16]Base!AZ46/[16]Base!AZ$76*AZ$4,0)</f>
        <v>464.8100407055631</v>
      </c>
      <c r="BA46" s="1085">
        <f>IFERROR([16]Base!BA46/[16]Base!BA$76*BA$4,0)</f>
        <v>0</v>
      </c>
      <c r="BB46" s="1085">
        <f>IFERROR([16]Base!BB46/[16]Base!BB$76*BB$4,0)</f>
        <v>0</v>
      </c>
      <c r="BC46" s="1085">
        <f>IFERROR([16]Base!BC46/[16]Base!BC$76*BC$4,0)</f>
        <v>0</v>
      </c>
      <c r="BD46" s="1085">
        <f>IFERROR([16]Base!BD46/[16]Base!BD$76*BD$4,0)</f>
        <v>0</v>
      </c>
      <c r="BE46" s="1085">
        <f>IFERROR([16]Base!BE46/[16]Base!BE$76*BE$4,0)</f>
        <v>0</v>
      </c>
      <c r="BF46" s="1085">
        <f>IFERROR([16]Base!BF46/[16]Base!BF$76*BF$4,0)</f>
        <v>2675.9944134078214</v>
      </c>
      <c r="BG46" s="1085">
        <f>IFERROR([16]Base!BG46/[16]Base!BG$76*BG$4,0)</f>
        <v>0</v>
      </c>
      <c r="BH46" s="1087">
        <f>IFERROR([16]Base!BH46/[16]Base!BH$76*BH$4,0)</f>
        <v>0</v>
      </c>
      <c r="BI46" s="1085">
        <f t="shared" si="2"/>
        <v>3185440.3042696249</v>
      </c>
    </row>
    <row r="47" spans="1:61" s="270" customFormat="1" ht="16.149999999999999" customHeight="1" x14ac:dyDescent="0.2">
      <c r="A47" s="273" t="s">
        <v>189</v>
      </c>
      <c r="B47" s="264" t="s">
        <v>190</v>
      </c>
      <c r="C47" s="1079">
        <f>'3B_Pay Raise'!O47</f>
        <v>232569</v>
      </c>
      <c r="D47" s="1079"/>
      <c r="E47" s="1079">
        <f>IFERROR([16]Base!E47/[16]Base!E$76*E$4,0)</f>
        <v>0</v>
      </c>
      <c r="F47" s="1079">
        <f>IFERROR([16]Base!F47/[16]Base!F$76*F$4,0)</f>
        <v>0</v>
      </c>
      <c r="G47" s="1079">
        <f>IFERROR([16]Base!G47/[16]Base!G$76*G$4,0)</f>
        <v>0</v>
      </c>
      <c r="H47" s="1079">
        <f>IFERROR([16]Base!H47/[16]Base!H$76*H$4,0)</f>
        <v>0</v>
      </c>
      <c r="I47" s="1079">
        <f>IFERROR([16]Base!I47/[16]Base!I$76*I$4,0)</f>
        <v>0</v>
      </c>
      <c r="J47" s="1079">
        <f>IFERROR([16]Base!J47/[16]Base!J$76*J$4,0)</f>
        <v>0</v>
      </c>
      <c r="K47" s="1079">
        <f>IFERROR([16]Base!K47/[16]Base!K$76*K$4,0)</f>
        <v>0</v>
      </c>
      <c r="L47" s="1079">
        <f>IFERROR([16]Base!L47/[16]Base!L$76*L$4,0)</f>
        <v>0</v>
      </c>
      <c r="M47" s="1079">
        <f>IFERROR([16]Base!M47/[16]Base!M$76*M$4,0)</f>
        <v>0</v>
      </c>
      <c r="N47" s="1079">
        <f>IFERROR([16]Base!N47/[16]Base!N$76*N$4,0)</f>
        <v>0</v>
      </c>
      <c r="O47" s="1079">
        <f>IFERROR([16]Base!O47/[16]Base!O$76*O$4,0)</f>
        <v>0</v>
      </c>
      <c r="P47" s="1079">
        <f>IFERROR([16]Base!P47/[16]Base!P$76*P$4,0)</f>
        <v>0</v>
      </c>
      <c r="Q47" s="1079">
        <f>IFERROR([16]Base!Q47/[16]Base!Q$76*Q$4,0)</f>
        <v>0</v>
      </c>
      <c r="R47" s="1079"/>
      <c r="S47" s="1079">
        <f>IFERROR([16]Base!S47/[16]Base!S$76*S$4,0)</f>
        <v>0</v>
      </c>
      <c r="T47" s="1079">
        <f>IFERROR([16]Base!T47/[16]Base!T$76*T$4,0)</f>
        <v>0</v>
      </c>
      <c r="U47" s="1079">
        <f>IFERROR([16]Base!U47/[16]Base!U$76*U$4,0)</f>
        <v>0</v>
      </c>
      <c r="V47" s="1079">
        <f>IFERROR([16]Base!V47/[16]Base!V$76*V$4,0)</f>
        <v>0</v>
      </c>
      <c r="W47" s="1079">
        <f>IFERROR([16]Base!W47/[16]Base!W$76*W$4,0)</f>
        <v>0</v>
      </c>
      <c r="X47" s="1079">
        <f>IFERROR([16]Base!X47/[16]Base!X$76*X$4,0)</f>
        <v>0</v>
      </c>
      <c r="Y47" s="1079">
        <f>IFERROR([16]Base!Y47/[16]Base!Y$76*Y$4,0)</f>
        <v>0</v>
      </c>
      <c r="Z47" s="1079"/>
      <c r="AA47" s="1079">
        <f>IFERROR([16]Base!AA47/[16]Base!AA$76*AA$4,0)</f>
        <v>0</v>
      </c>
      <c r="AB47" s="1080">
        <f>IFERROR([16]Base!AB47/[16]Base!AB$76*AB$4,0)</f>
        <v>0</v>
      </c>
      <c r="AC47" s="1080"/>
      <c r="AD47" s="1080"/>
      <c r="AE47" s="1080"/>
      <c r="AF47" s="1080">
        <f>IFERROR([16]Base!AF47/[16]Base!AF$76*AF$4,0)</f>
        <v>0</v>
      </c>
      <c r="AG47" s="1080">
        <f>IFERROR([16]Base!AG47/[16]Base!AG$76*AG$4,0)</f>
        <v>0</v>
      </c>
      <c r="AH47" s="1080">
        <f>IFERROR([16]Base!AH47/[16]Base!AH$76*AH$4,0)</f>
        <v>0</v>
      </c>
      <c r="AI47" s="1080">
        <f>IFERROR([16]Base!AI47/[16]Base!AI$76*AI$4,0)</f>
        <v>0</v>
      </c>
      <c r="AJ47" s="1080">
        <f>IFERROR([16]Base!AJ47/[16]Base!AJ$76*AJ$4,0)</f>
        <v>0</v>
      </c>
      <c r="AK47" s="1080">
        <f>IFERROR([16]Base!AK47/[16]Base!AK$76*AK$4,0)</f>
        <v>0</v>
      </c>
      <c r="AL47" s="1080">
        <f>IFERROR([16]Base!AL47/[16]Base!AL$76*AL$4,0)</f>
        <v>0</v>
      </c>
      <c r="AM47" s="1080">
        <f>IFERROR([16]Base!AM47/[16]Base!AM$76*AM$4,0)</f>
        <v>0</v>
      </c>
      <c r="AN47" s="1080">
        <f>IFERROR([16]Base!AN47/[16]Base!AN$76*AN$4,0)</f>
        <v>0</v>
      </c>
      <c r="AO47" s="1080">
        <f>IFERROR('8_2.1.19 SIS'!AO47/'8_2.1.19 SIS'!AO$76*AO$4,0)</f>
        <v>0</v>
      </c>
      <c r="AP47" s="1080">
        <f>IFERROR('8_2.1.19 SIS'!AP47/'8_2.1.19 SIS'!AP$76*AP$4,0)</f>
        <v>0</v>
      </c>
      <c r="AQ47" s="1080">
        <f>IFERROR('8_2.1.19 SIS'!AQ47/'8_2.1.19 SIS'!AQ$76*AQ$4,0)</f>
        <v>0</v>
      </c>
      <c r="AR47" s="1080">
        <f>IFERROR('8_2.1.19 SIS'!AR47/'8_2.1.19 SIS'!AR$76*AR$4,0)</f>
        <v>0</v>
      </c>
      <c r="AS47" s="1080">
        <f>IFERROR('8_2.1.19 SIS'!AS47/'8_2.1.19 SIS'!AS$76*AS$4,0)</f>
        <v>0</v>
      </c>
      <c r="AT47" s="1079">
        <f>IFERROR([16]Base!AT47/[16]Base!AT$76*AT$4,0)</f>
        <v>57.627604166666664</v>
      </c>
      <c r="AU47" s="1079">
        <f>IFERROR([16]Base!AU47/[16]Base!AU$76*AU$4,0)</f>
        <v>294.83108743340642</v>
      </c>
      <c r="AV47" s="1081">
        <f t="shared" si="3"/>
        <v>232921.45869160007</v>
      </c>
      <c r="AW47" s="1079">
        <f>IFERROR([16]Base!AW47/[16]Base!AW$76*AW$4,0)</f>
        <v>0</v>
      </c>
      <c r="AX47" s="1079">
        <f>IFERROR([16]Base!AX47/[16]Base!AX$76*AX$4,0)</f>
        <v>0</v>
      </c>
      <c r="AY47" s="1079">
        <f>IFERROR([16]Base!AY47/[16]Base!AY$76*AY$4,0)</f>
        <v>0</v>
      </c>
      <c r="AZ47" s="1079">
        <f>IFERROR([16]Base!AZ47/[16]Base!AZ$76*AZ$4,0)</f>
        <v>0</v>
      </c>
      <c r="BA47" s="1079">
        <f>IFERROR([16]Base!BA47/[16]Base!BA$76*BA$4,0)</f>
        <v>0</v>
      </c>
      <c r="BB47" s="1079">
        <f>IFERROR([16]Base!BB47/[16]Base!BB$76*BB$4,0)</f>
        <v>0</v>
      </c>
      <c r="BC47" s="1079">
        <f>IFERROR([16]Base!BC47/[16]Base!BC$76*BC$4,0)</f>
        <v>0</v>
      </c>
      <c r="BD47" s="1079">
        <f>IFERROR([16]Base!BD47/[16]Base!BD$76*BD$4,0)</f>
        <v>0</v>
      </c>
      <c r="BE47" s="1079">
        <f>IFERROR([16]Base!BE47/[16]Base!BE$76*BE$4,0)</f>
        <v>0</v>
      </c>
      <c r="BF47" s="1079">
        <f>IFERROR([16]Base!BF47/[16]Base!BF$76*BF$4,0)</f>
        <v>0</v>
      </c>
      <c r="BG47" s="1079">
        <f>IFERROR([16]Base!BG47/[16]Base!BG$76*BG$4,0)</f>
        <v>0</v>
      </c>
      <c r="BH47" s="1082">
        <f>IFERROR([16]Base!BH47/[16]Base!BH$76*BH$4,0)</f>
        <v>0</v>
      </c>
      <c r="BI47" s="1079">
        <f t="shared" si="2"/>
        <v>232921.45869160007</v>
      </c>
    </row>
    <row r="48" spans="1:61" s="270" customFormat="1" ht="16.149999999999999" customHeight="1" x14ac:dyDescent="0.2">
      <c r="A48" s="275" t="s">
        <v>112</v>
      </c>
      <c r="B48" s="260" t="s">
        <v>191</v>
      </c>
      <c r="C48" s="1083">
        <f>'3B_Pay Raise'!O48</f>
        <v>395822</v>
      </c>
      <c r="D48" s="1083"/>
      <c r="E48" s="1083">
        <f>IFERROR([16]Base!E48/[16]Base!E$76*E$4,0)</f>
        <v>0</v>
      </c>
      <c r="F48" s="1083">
        <f>IFERROR([16]Base!F48/[16]Base!F$76*F$4,0)</f>
        <v>0</v>
      </c>
      <c r="G48" s="1083">
        <f>IFERROR([16]Base!G48/[16]Base!G$76*G$4,0)</f>
        <v>0</v>
      </c>
      <c r="H48" s="1083">
        <f>IFERROR([16]Base!H48/[16]Base!H$76*H$4,0)</f>
        <v>0</v>
      </c>
      <c r="I48" s="1083">
        <f>IFERROR([16]Base!I48/[16]Base!I$76*I$4,0)</f>
        <v>0</v>
      </c>
      <c r="J48" s="1083">
        <f>IFERROR([16]Base!J48/[16]Base!J$76*J$4,0)</f>
        <v>0</v>
      </c>
      <c r="K48" s="1083">
        <f>IFERROR([16]Base!K48/[16]Base!K$76*K$4,0)</f>
        <v>0</v>
      </c>
      <c r="L48" s="1083">
        <f>IFERROR([16]Base!L48/[16]Base!L$76*L$4,0)</f>
        <v>0</v>
      </c>
      <c r="M48" s="1083">
        <f>IFERROR([16]Base!M48/[16]Base!M$76*M$4,0)</f>
        <v>0</v>
      </c>
      <c r="N48" s="1083">
        <f>IFERROR([16]Base!N48/[16]Base!N$76*N$4,0)</f>
        <v>0</v>
      </c>
      <c r="O48" s="1083">
        <f>IFERROR([16]Base!O48/[16]Base!O$76*O$4,0)</f>
        <v>0</v>
      </c>
      <c r="P48" s="1083">
        <f>IFERROR([16]Base!P48/[16]Base!P$76*P$4,0)</f>
        <v>0</v>
      </c>
      <c r="Q48" s="1083">
        <f>IFERROR([16]Base!Q48/[16]Base!Q$76*Q$4,0)</f>
        <v>0</v>
      </c>
      <c r="R48" s="1083"/>
      <c r="S48" s="1083">
        <f>IFERROR([16]Base!S48/[16]Base!S$76*S$4,0)</f>
        <v>0</v>
      </c>
      <c r="T48" s="1083">
        <f>IFERROR([16]Base!T48/[16]Base!T$76*T$4,0)</f>
        <v>0</v>
      </c>
      <c r="U48" s="1083">
        <f>IFERROR([16]Base!U48/[16]Base!U$76*U$4,0)</f>
        <v>0</v>
      </c>
      <c r="V48" s="1083">
        <f>IFERROR([16]Base!V48/[16]Base!V$76*V$4,0)</f>
        <v>0</v>
      </c>
      <c r="W48" s="1083">
        <f>IFERROR([16]Base!W48/[16]Base!W$76*W$4,0)</f>
        <v>0</v>
      </c>
      <c r="X48" s="1083">
        <f>IFERROR([16]Base!X48/[16]Base!X$76*X$4,0)</f>
        <v>0</v>
      </c>
      <c r="Y48" s="1083">
        <f>IFERROR([16]Base!Y48/[16]Base!Y$76*Y$4,0)</f>
        <v>0</v>
      </c>
      <c r="Z48" s="1083"/>
      <c r="AA48" s="1083">
        <f>IFERROR([16]Base!AA48/[16]Base!AA$76*AA$4,0)</f>
        <v>0</v>
      </c>
      <c r="AB48" s="1083">
        <f>IFERROR([16]Base!AB48/[16]Base!AB$76*AB$4,0)</f>
        <v>0</v>
      </c>
      <c r="AC48" s="1083"/>
      <c r="AD48" s="1083"/>
      <c r="AE48" s="1083"/>
      <c r="AF48" s="1083">
        <f>IFERROR([16]Base!AF48/[16]Base!AF$76*AF$4,0)</f>
        <v>0</v>
      </c>
      <c r="AG48" s="1083">
        <f>IFERROR([16]Base!AG48/[16]Base!AG$76*AG$4,0)</f>
        <v>0</v>
      </c>
      <c r="AH48" s="1083">
        <f>IFERROR([16]Base!AH48/[16]Base!AH$76*AH$4,0)</f>
        <v>0</v>
      </c>
      <c r="AI48" s="1083">
        <f>IFERROR([16]Base!AI48/[16]Base!AI$76*AI$4,0)</f>
        <v>0</v>
      </c>
      <c r="AJ48" s="1083">
        <f>IFERROR([16]Base!AJ48/[16]Base!AJ$76*AJ$4,0)</f>
        <v>0</v>
      </c>
      <c r="AK48" s="1083">
        <f>IFERROR([16]Base!AK48/[16]Base!AK$76*AK$4,0)</f>
        <v>0</v>
      </c>
      <c r="AL48" s="1083">
        <f>IFERROR([16]Base!AL48/[16]Base!AL$76*AL$4,0)</f>
        <v>0</v>
      </c>
      <c r="AM48" s="1083">
        <f>IFERROR([16]Base!AM48/[16]Base!AM$76*AM$4,0)</f>
        <v>0</v>
      </c>
      <c r="AN48" s="1083">
        <f>IFERROR([16]Base!AN48/[16]Base!AN$76*AN$4,0)</f>
        <v>0</v>
      </c>
      <c r="AO48" s="1083">
        <f>IFERROR('8_2.1.19 SIS'!AO48/'8_2.1.19 SIS'!AO$76*AO$4,0)</f>
        <v>0</v>
      </c>
      <c r="AP48" s="1083">
        <f>IFERROR('8_2.1.19 SIS'!AP48/'8_2.1.19 SIS'!AP$76*AP$4,0)</f>
        <v>0</v>
      </c>
      <c r="AQ48" s="1083">
        <f>IFERROR('8_2.1.19 SIS'!AQ48/'8_2.1.19 SIS'!AQ$76*AQ$4,0)</f>
        <v>0</v>
      </c>
      <c r="AR48" s="1083">
        <f>IFERROR('8_2.1.19 SIS'!AR48/'8_2.1.19 SIS'!AR$76*AR$4,0)</f>
        <v>0</v>
      </c>
      <c r="AS48" s="1083">
        <f>IFERROR('8_2.1.19 SIS'!AS48/'8_2.1.19 SIS'!AS$76*AS$4,0)</f>
        <v>0</v>
      </c>
      <c r="AT48" s="1083">
        <f>IFERROR([16]Base!AT48/[16]Base!AT$76*AT$4,0)</f>
        <v>172.8828125</v>
      </c>
      <c r="AU48" s="1083">
        <f>IFERROR([16]Base!AU48/[16]Base!AU$76*AU$4,0)</f>
        <v>1768.9865246004388</v>
      </c>
      <c r="AV48" s="1084">
        <f t="shared" si="3"/>
        <v>397763.86933710042</v>
      </c>
      <c r="AW48" s="1083">
        <f>IFERROR([16]Base!AW48/[16]Base!AW$76*AW$4,0)</f>
        <v>0</v>
      </c>
      <c r="AX48" s="1083">
        <f>IFERROR([16]Base!AX48/[16]Base!AX$76*AX$4,0)</f>
        <v>0</v>
      </c>
      <c r="AY48" s="1083">
        <f>IFERROR([16]Base!AY48/[16]Base!AY$76*AY$4,0)</f>
        <v>0</v>
      </c>
      <c r="AZ48" s="1083">
        <f>IFERROR([16]Base!AZ48/[16]Base!AZ$76*AZ$4,0)</f>
        <v>0</v>
      </c>
      <c r="BA48" s="1083">
        <f>IFERROR([16]Base!BA48/[16]Base!BA$76*BA$4,0)</f>
        <v>48424.475177304965</v>
      </c>
      <c r="BB48" s="1083">
        <f>IFERROR([16]Base!BB48/[16]Base!BB$76*BB$4,0)</f>
        <v>0</v>
      </c>
      <c r="BC48" s="1083">
        <f>IFERROR([16]Base!BC48/[16]Base!BC$76*BC$4,0)</f>
        <v>0</v>
      </c>
      <c r="BD48" s="1083">
        <f>IFERROR([16]Base!BD48/[16]Base!BD$76*BD$4,0)</f>
        <v>0</v>
      </c>
      <c r="BE48" s="1083">
        <f>IFERROR([16]Base!BE48/[16]Base!BE$76*BE$4,0)</f>
        <v>0</v>
      </c>
      <c r="BF48" s="1083">
        <f>IFERROR([16]Base!BF48/[16]Base!BF$76*BF$4,0)</f>
        <v>573.42737430167597</v>
      </c>
      <c r="BG48" s="1083">
        <f>IFERROR([16]Base!BG48/[16]Base!BG$76*BG$4,0)</f>
        <v>0</v>
      </c>
      <c r="BH48" s="1083">
        <f>IFERROR([16]Base!BH48/[16]Base!BH$76*BH$4,0)</f>
        <v>0</v>
      </c>
      <c r="BI48" s="1083">
        <f t="shared" si="2"/>
        <v>446761.77188870701</v>
      </c>
    </row>
    <row r="49" spans="1:61" s="270" customFormat="1" ht="16.149999999999999" customHeight="1" x14ac:dyDescent="0.2">
      <c r="A49" s="275" t="s">
        <v>192</v>
      </c>
      <c r="B49" s="260" t="s">
        <v>193</v>
      </c>
      <c r="C49" s="1083">
        <f>'3B_Pay Raise'!O49</f>
        <v>635223</v>
      </c>
      <c r="D49" s="1083"/>
      <c r="E49" s="1083">
        <f>IFERROR([16]Base!E49/[16]Base!E$76*E$4,0)</f>
        <v>0</v>
      </c>
      <c r="F49" s="1083">
        <f>IFERROR([16]Base!F49/[16]Base!F$76*F$4,0)</f>
        <v>0</v>
      </c>
      <c r="G49" s="1083">
        <f>IFERROR([16]Base!G49/[16]Base!G$76*G$4,0)</f>
        <v>0</v>
      </c>
      <c r="H49" s="1083">
        <f>IFERROR([16]Base!H49/[16]Base!H$76*H$4,0)</f>
        <v>0</v>
      </c>
      <c r="I49" s="1083">
        <f>IFERROR([16]Base!I49/[16]Base!I$76*I$4,0)</f>
        <v>0</v>
      </c>
      <c r="J49" s="1083">
        <f>IFERROR([16]Base!J49/[16]Base!J$76*J$4,0)</f>
        <v>0</v>
      </c>
      <c r="K49" s="1083">
        <f>IFERROR([16]Base!K49/[16]Base!K$76*K$4,0)</f>
        <v>0</v>
      </c>
      <c r="L49" s="1083">
        <f>IFERROR([16]Base!L49/[16]Base!L$76*L$4,0)</f>
        <v>0</v>
      </c>
      <c r="M49" s="1083">
        <f>IFERROR([16]Base!M49/[16]Base!M$76*M$4,0)</f>
        <v>0</v>
      </c>
      <c r="N49" s="1083">
        <f>IFERROR([16]Base!N49/[16]Base!N$76*N$4,0)</f>
        <v>0</v>
      </c>
      <c r="O49" s="1083">
        <f>IFERROR([16]Base!O49/[16]Base!O$76*O$4,0)</f>
        <v>0</v>
      </c>
      <c r="P49" s="1083">
        <f>IFERROR([16]Base!P49/[16]Base!P$76*P$4,0)</f>
        <v>0</v>
      </c>
      <c r="Q49" s="1083">
        <f>IFERROR([16]Base!Q49/[16]Base!Q$76*Q$4,0)</f>
        <v>0</v>
      </c>
      <c r="R49" s="1083"/>
      <c r="S49" s="1083">
        <f>IFERROR([16]Base!S49/[16]Base!S$76*S$4,0)</f>
        <v>0</v>
      </c>
      <c r="T49" s="1083">
        <f>IFERROR([16]Base!T49/[16]Base!T$76*T$4,0)</f>
        <v>0</v>
      </c>
      <c r="U49" s="1083">
        <f>IFERROR([16]Base!U49/[16]Base!U$76*U$4,0)</f>
        <v>0</v>
      </c>
      <c r="V49" s="1083">
        <f>IFERROR([16]Base!V49/[16]Base!V$76*V$4,0)</f>
        <v>0</v>
      </c>
      <c r="W49" s="1083">
        <f>IFERROR([16]Base!W49/[16]Base!W$76*W$4,0)</f>
        <v>0</v>
      </c>
      <c r="X49" s="1083">
        <f>IFERROR([16]Base!X49/[16]Base!X$76*X$4,0)</f>
        <v>0</v>
      </c>
      <c r="Y49" s="1083">
        <f>IFERROR([16]Base!Y49/[16]Base!Y$76*Y$4,0)</f>
        <v>0</v>
      </c>
      <c r="Z49" s="1083"/>
      <c r="AA49" s="1083">
        <f>IFERROR([16]Base!AA49/[16]Base!AA$76*AA$4,0)</f>
        <v>0</v>
      </c>
      <c r="AB49" s="1083">
        <f>IFERROR([16]Base!AB49/[16]Base!AB$76*AB$4,0)</f>
        <v>0</v>
      </c>
      <c r="AC49" s="1083"/>
      <c r="AD49" s="1083"/>
      <c r="AE49" s="1083"/>
      <c r="AF49" s="1083">
        <f>IFERROR([16]Base!AF49/[16]Base!AF$76*AF$4,0)</f>
        <v>0</v>
      </c>
      <c r="AG49" s="1083">
        <f>IFERROR([16]Base!AG49/[16]Base!AG$76*AG$4,0)</f>
        <v>0</v>
      </c>
      <c r="AH49" s="1083">
        <f>IFERROR([16]Base!AH49/[16]Base!AH$76*AH$4,0)</f>
        <v>0</v>
      </c>
      <c r="AI49" s="1083">
        <f>IFERROR([16]Base!AI49/[16]Base!AI$76*AI$4,0)</f>
        <v>0</v>
      </c>
      <c r="AJ49" s="1083">
        <f>IFERROR([16]Base!AJ49/[16]Base!AJ$76*AJ$4,0)</f>
        <v>0</v>
      </c>
      <c r="AK49" s="1083">
        <f>IFERROR([16]Base!AK49/[16]Base!AK$76*AK$4,0)</f>
        <v>0</v>
      </c>
      <c r="AL49" s="1083">
        <f>IFERROR([16]Base!AL49/[16]Base!AL$76*AL$4,0)</f>
        <v>0</v>
      </c>
      <c r="AM49" s="1083">
        <f>IFERROR([16]Base!AM49/[16]Base!AM$76*AM$4,0)</f>
        <v>0</v>
      </c>
      <c r="AN49" s="1083">
        <f>IFERROR([16]Base!AN49/[16]Base!AN$76*AN$4,0)</f>
        <v>0</v>
      </c>
      <c r="AO49" s="1083">
        <f>IFERROR('8_2.1.19 SIS'!AO49/'8_2.1.19 SIS'!AO$76*AO$4,0)</f>
        <v>0</v>
      </c>
      <c r="AP49" s="1083">
        <f>IFERROR('8_2.1.19 SIS'!AP49/'8_2.1.19 SIS'!AP$76*AP$4,0)</f>
        <v>0</v>
      </c>
      <c r="AQ49" s="1083">
        <f>IFERROR('8_2.1.19 SIS'!AQ49/'8_2.1.19 SIS'!AQ$76*AQ$4,0)</f>
        <v>0</v>
      </c>
      <c r="AR49" s="1083">
        <f>IFERROR('8_2.1.19 SIS'!AR49/'8_2.1.19 SIS'!AR$76*AR$4,0)</f>
        <v>0</v>
      </c>
      <c r="AS49" s="1083">
        <f>IFERROR('8_2.1.19 SIS'!AS49/'8_2.1.19 SIS'!AS$76*AS$4,0)</f>
        <v>0</v>
      </c>
      <c r="AT49" s="1083">
        <f>IFERROR([16]Base!AT49/[16]Base!AT$76*AT$4,0)</f>
        <v>403.39322916666669</v>
      </c>
      <c r="AU49" s="1083">
        <f>IFERROR([16]Base!AU49/[16]Base!AU$76*AU$4,0)</f>
        <v>589.66217486681285</v>
      </c>
      <c r="AV49" s="1084">
        <f t="shared" si="3"/>
        <v>636216.0554040334</v>
      </c>
      <c r="AW49" s="1083">
        <f>IFERROR([16]Base!AW49/[16]Base!AW$76*AW$4,0)</f>
        <v>0</v>
      </c>
      <c r="AX49" s="1083">
        <f>IFERROR([16]Base!AX49/[16]Base!AX$76*AX$4,0)</f>
        <v>0</v>
      </c>
      <c r="AY49" s="1083">
        <f>IFERROR([16]Base!AY49/[16]Base!AY$76*AY$4,0)</f>
        <v>0</v>
      </c>
      <c r="AZ49" s="1083">
        <f>IFERROR([16]Base!AZ49/[16]Base!AZ$76*AZ$4,0)</f>
        <v>0</v>
      </c>
      <c r="BA49" s="1083">
        <f>IFERROR([16]Base!BA49/[16]Base!BA$76*BA$4,0)</f>
        <v>0</v>
      </c>
      <c r="BB49" s="1083">
        <f>IFERROR([16]Base!BB49/[16]Base!BB$76*BB$4,0)</f>
        <v>0</v>
      </c>
      <c r="BC49" s="1083">
        <f>IFERROR([16]Base!BC49/[16]Base!BC$76*BC$4,0)</f>
        <v>0</v>
      </c>
      <c r="BD49" s="1083">
        <f>IFERROR([16]Base!BD49/[16]Base!BD$76*BD$4,0)</f>
        <v>0</v>
      </c>
      <c r="BE49" s="1083">
        <f>IFERROR([16]Base!BE49/[16]Base!BE$76*BE$4,0)</f>
        <v>0</v>
      </c>
      <c r="BF49" s="1083">
        <f>IFERROR([16]Base!BF49/[16]Base!BF$76*BF$4,0)</f>
        <v>2484.8519553072629</v>
      </c>
      <c r="BG49" s="1083">
        <f>IFERROR([16]Base!BG49/[16]Base!BG$76*BG$4,0)</f>
        <v>0</v>
      </c>
      <c r="BH49" s="1083">
        <f>IFERROR([16]Base!BH49/[16]Base!BH$76*BH$4,0)</f>
        <v>0</v>
      </c>
      <c r="BI49" s="1083">
        <f t="shared" si="2"/>
        <v>638700.90735934069</v>
      </c>
    </row>
    <row r="50" spans="1:61" s="270" customFormat="1" ht="16.149999999999999" customHeight="1" x14ac:dyDescent="0.2">
      <c r="A50" s="275" t="s">
        <v>113</v>
      </c>
      <c r="B50" s="260" t="s">
        <v>194</v>
      </c>
      <c r="C50" s="1083">
        <f>'3B_Pay Raise'!O50</f>
        <v>938362</v>
      </c>
      <c r="D50" s="1083"/>
      <c r="E50" s="1083">
        <f>IFERROR([16]Base!E50/[16]Base!E$76*E$4,0)</f>
        <v>0</v>
      </c>
      <c r="F50" s="1083">
        <f>IFERROR([16]Base!F50/[16]Base!F$76*F$4,0)</f>
        <v>0</v>
      </c>
      <c r="G50" s="1083">
        <f>IFERROR([16]Base!G50/[16]Base!G$76*G$4,0)</f>
        <v>933.23684210526312</v>
      </c>
      <c r="H50" s="1083">
        <f>IFERROR([16]Base!H50/[16]Base!H$76*H$4,0)</f>
        <v>355.43450479233223</v>
      </c>
      <c r="I50" s="1083">
        <f>IFERROR([16]Base!I50/[16]Base!I$76*I$4,0)</f>
        <v>478.71518324607331</v>
      </c>
      <c r="J50" s="1083">
        <f>IFERROR([16]Base!J50/[16]Base!J$76*J$4,0)</f>
        <v>0</v>
      </c>
      <c r="K50" s="1083">
        <f>IFERROR([16]Base!K50/[16]Base!K$76*K$4,0)</f>
        <v>0</v>
      </c>
      <c r="L50" s="1083">
        <f>IFERROR([16]Base!L50/[16]Base!L$76*L$4,0)</f>
        <v>0</v>
      </c>
      <c r="M50" s="1083">
        <f>IFERROR([16]Base!M50/[16]Base!M$76*M$4,0)</f>
        <v>0</v>
      </c>
      <c r="N50" s="1083">
        <f>IFERROR([16]Base!N50/[16]Base!N$76*N$4,0)</f>
        <v>0</v>
      </c>
      <c r="O50" s="1083">
        <f>IFERROR([16]Base!O50/[16]Base!O$76*O$4,0)</f>
        <v>0</v>
      </c>
      <c r="P50" s="1083">
        <f>IFERROR([16]Base!P50/[16]Base!P$76*P$4,0)</f>
        <v>0</v>
      </c>
      <c r="Q50" s="1083">
        <f>IFERROR([16]Base!Q50/[16]Base!Q$76*Q$4,0)</f>
        <v>0</v>
      </c>
      <c r="R50" s="1083"/>
      <c r="S50" s="1083">
        <f>IFERROR([16]Base!S50/[16]Base!S$76*S$4,0)</f>
        <v>0</v>
      </c>
      <c r="T50" s="1083">
        <f>IFERROR([16]Base!T50/[16]Base!T$76*T$4,0)</f>
        <v>0</v>
      </c>
      <c r="U50" s="1083">
        <f>IFERROR([16]Base!U50/[16]Base!U$76*U$4,0)</f>
        <v>0</v>
      </c>
      <c r="V50" s="1083">
        <f>IFERROR([16]Base!V50/[16]Base!V$76*V$4,0)</f>
        <v>0</v>
      </c>
      <c r="W50" s="1083">
        <f>IFERROR([16]Base!W50/[16]Base!W$76*W$4,0)</f>
        <v>0</v>
      </c>
      <c r="X50" s="1083">
        <f>IFERROR([16]Base!X50/[16]Base!X$76*X$4,0)</f>
        <v>0</v>
      </c>
      <c r="Y50" s="1083">
        <f>IFERROR([16]Base!Y50/[16]Base!Y$76*Y$4,0)</f>
        <v>0</v>
      </c>
      <c r="Z50" s="1083"/>
      <c r="AA50" s="1083">
        <f>IFERROR([16]Base!AA50/[16]Base!AA$76*AA$4,0)</f>
        <v>0</v>
      </c>
      <c r="AB50" s="1083">
        <f>IFERROR([16]Base!AB50/[16]Base!AB$76*AB$4,0)</f>
        <v>0</v>
      </c>
      <c r="AC50" s="1083"/>
      <c r="AD50" s="1083"/>
      <c r="AE50" s="1083"/>
      <c r="AF50" s="1083">
        <f>IFERROR([16]Base!AF50/[16]Base!AF$76*AF$4,0)</f>
        <v>0</v>
      </c>
      <c r="AG50" s="1083">
        <f>IFERROR([16]Base!AG50/[16]Base!AG$76*AG$4,0)</f>
        <v>324.55339805825241</v>
      </c>
      <c r="AH50" s="1083">
        <f>IFERROR([16]Base!AH50/[16]Base!AH$76*AH$4,0)</f>
        <v>0</v>
      </c>
      <c r="AI50" s="1083">
        <f>IFERROR([16]Base!AI50/[16]Base!AI$76*AI$4,0)</f>
        <v>0</v>
      </c>
      <c r="AJ50" s="1083">
        <f>IFERROR([16]Base!AJ50/[16]Base!AJ$76*AJ$4,0)</f>
        <v>0</v>
      </c>
      <c r="AK50" s="1083">
        <f>IFERROR([16]Base!AK50/[16]Base!AK$76*AK$4,0)</f>
        <v>0</v>
      </c>
      <c r="AL50" s="1083">
        <f>IFERROR([16]Base!AL50/[16]Base!AL$76*AL$4,0)</f>
        <v>499.89389920424406</v>
      </c>
      <c r="AM50" s="1083">
        <f>IFERROR([16]Base!AM50/[16]Base!AM$76*AM$4,0)</f>
        <v>0</v>
      </c>
      <c r="AN50" s="1083">
        <f>IFERROR([16]Base!AN50/[16]Base!AN$76*AN$4,0)</f>
        <v>0</v>
      </c>
      <c r="AO50" s="1083">
        <f>IFERROR('8_2.1.19 SIS'!AO50/'8_2.1.19 SIS'!AO$76*AO$4,0)</f>
        <v>0</v>
      </c>
      <c r="AP50" s="1083">
        <f>IFERROR('8_2.1.19 SIS'!AP50/'8_2.1.19 SIS'!AP$76*AP$4,0)</f>
        <v>0</v>
      </c>
      <c r="AQ50" s="1083">
        <f>IFERROR('8_2.1.19 SIS'!AQ50/'8_2.1.19 SIS'!AQ$76*AQ$4,0)</f>
        <v>0</v>
      </c>
      <c r="AR50" s="1083">
        <f>IFERROR('8_2.1.19 SIS'!AR50/'8_2.1.19 SIS'!AR$76*AR$4,0)</f>
        <v>0</v>
      </c>
      <c r="AS50" s="1083">
        <f>IFERROR('8_2.1.19 SIS'!AS50/'8_2.1.19 SIS'!AS$76*AS$4,0)</f>
        <v>0</v>
      </c>
      <c r="AT50" s="1083">
        <f>IFERROR([16]Base!AT50/[16]Base!AT$76*AT$4,0)</f>
        <v>1671.2005208333333</v>
      </c>
      <c r="AU50" s="1083">
        <f>IFERROR([16]Base!AU50/[16]Base!AU$76*AU$4,0)</f>
        <v>1768.9865246004388</v>
      </c>
      <c r="AV50" s="1084">
        <f t="shared" si="3"/>
        <v>944394.02087283996</v>
      </c>
      <c r="AW50" s="1083">
        <f>IFERROR([16]Base!AW50/[16]Base!AW$76*AW$4,0)</f>
        <v>0</v>
      </c>
      <c r="AX50" s="1083">
        <f>IFERROR([16]Base!AX50/[16]Base!AX$76*AX$4,0)</f>
        <v>0</v>
      </c>
      <c r="AY50" s="1083">
        <f>IFERROR([16]Base!AY50/[16]Base!AY$76*AY$4,0)</f>
        <v>2746.4967880085651</v>
      </c>
      <c r="AZ50" s="1083">
        <f>IFERROR([16]Base!AZ50/[16]Base!AZ$76*AZ$4,0)</f>
        <v>0</v>
      </c>
      <c r="BA50" s="1083">
        <f>IFERROR([16]Base!BA50/[16]Base!BA$76*BA$4,0)</f>
        <v>0</v>
      </c>
      <c r="BB50" s="1083">
        <f>IFERROR([16]Base!BB50/[16]Base!BB$76*BB$4,0)</f>
        <v>187.03728070175438</v>
      </c>
      <c r="BC50" s="1083">
        <f>IFERROR([16]Base!BC50/[16]Base!BC$76*BC$4,0)</f>
        <v>0</v>
      </c>
      <c r="BD50" s="1083">
        <f>IFERROR([16]Base!BD50/[16]Base!BD$76*BD$4,0)</f>
        <v>0</v>
      </c>
      <c r="BE50" s="1083">
        <f>IFERROR([16]Base!BE50/[16]Base!BE$76*BE$4,0)</f>
        <v>0</v>
      </c>
      <c r="BF50" s="1083">
        <f>IFERROR([16]Base!BF50/[16]Base!BF$76*BF$4,0)</f>
        <v>764.56983240223462</v>
      </c>
      <c r="BG50" s="1083">
        <f>IFERROR([16]Base!BG50/[16]Base!BG$76*BG$4,0)</f>
        <v>3094.735042735043</v>
      </c>
      <c r="BH50" s="1083">
        <f>IFERROR([16]Base!BH50/[16]Base!BH$76*BH$4,0)</f>
        <v>0</v>
      </c>
      <c r="BI50" s="1083">
        <f t="shared" si="2"/>
        <v>951186.85981668765</v>
      </c>
    </row>
    <row r="51" spans="1:61" s="270" customFormat="1" ht="16.149999999999999" customHeight="1" x14ac:dyDescent="0.2">
      <c r="A51" s="277" t="s">
        <v>114</v>
      </c>
      <c r="B51" s="262" t="s">
        <v>195</v>
      </c>
      <c r="C51" s="1085">
        <f>'3B_Pay Raise'!O51</f>
        <v>1664816</v>
      </c>
      <c r="D51" s="1085"/>
      <c r="E51" s="1085">
        <f>IFERROR([16]Base!E51/[16]Base!E$76*E$4,0)</f>
        <v>0</v>
      </c>
      <c r="F51" s="1085">
        <f>IFERROR([16]Base!F51/[16]Base!F$76*F$4,0)</f>
        <v>0</v>
      </c>
      <c r="G51" s="1085">
        <f>IFERROR([16]Base!G51/[16]Base!G$76*G$4,0)</f>
        <v>0</v>
      </c>
      <c r="H51" s="1085">
        <f>IFERROR([16]Base!H51/[16]Base!H$76*H$4,0)</f>
        <v>236.95633652822153</v>
      </c>
      <c r="I51" s="1085">
        <f>IFERROR([16]Base!I51/[16]Base!I$76*I$4,0)</f>
        <v>638.28691099476441</v>
      </c>
      <c r="J51" s="1085">
        <f>IFERROR([16]Base!J51/[16]Base!J$76*J$4,0)</f>
        <v>0</v>
      </c>
      <c r="K51" s="1085">
        <f>IFERROR([16]Base!K51/[16]Base!K$76*K$4,0)</f>
        <v>0</v>
      </c>
      <c r="L51" s="1085">
        <f>IFERROR([16]Base!L51/[16]Base!L$76*L$4,0)</f>
        <v>0</v>
      </c>
      <c r="M51" s="1085">
        <f>IFERROR([16]Base!M51/[16]Base!M$76*M$4,0)</f>
        <v>0</v>
      </c>
      <c r="N51" s="1085">
        <f>IFERROR([16]Base!N51/[16]Base!N$76*N$4,0)</f>
        <v>151.44104803493448</v>
      </c>
      <c r="O51" s="1085">
        <f>IFERROR([16]Base!O51/[16]Base!O$76*O$4,0)</f>
        <v>0</v>
      </c>
      <c r="P51" s="1085">
        <f>IFERROR([16]Base!P51/[16]Base!P$76*P$4,0)</f>
        <v>0</v>
      </c>
      <c r="Q51" s="1085">
        <f>IFERROR([16]Base!Q51/[16]Base!Q$76*Q$4,0)</f>
        <v>0</v>
      </c>
      <c r="R51" s="1085"/>
      <c r="S51" s="1085">
        <f>IFERROR([16]Base!S51/[16]Base!S$76*S$4,0)</f>
        <v>0</v>
      </c>
      <c r="T51" s="1085">
        <f>IFERROR([16]Base!T51/[16]Base!T$76*T$4,0)</f>
        <v>0</v>
      </c>
      <c r="U51" s="1085">
        <f>IFERROR([16]Base!U51/[16]Base!U$76*U$4,0)</f>
        <v>0</v>
      </c>
      <c r="V51" s="1085">
        <f>IFERROR([16]Base!V51/[16]Base!V$76*V$4,0)</f>
        <v>0</v>
      </c>
      <c r="W51" s="1085">
        <f>IFERROR([16]Base!W51/[16]Base!W$76*W$4,0)</f>
        <v>0</v>
      </c>
      <c r="X51" s="1085">
        <f>IFERROR([16]Base!X51/[16]Base!X$76*X$4,0)</f>
        <v>0</v>
      </c>
      <c r="Y51" s="1085">
        <f>IFERROR([16]Base!Y51/[16]Base!Y$76*Y$4,0)</f>
        <v>0</v>
      </c>
      <c r="Z51" s="1085"/>
      <c r="AA51" s="1085">
        <f>IFERROR([16]Base!AA51/[16]Base!AA$76*AA$4,0)</f>
        <v>0</v>
      </c>
      <c r="AB51" s="1085">
        <f>IFERROR([16]Base!AB51/[16]Base!AB$76*AB$4,0)</f>
        <v>0</v>
      </c>
      <c r="AC51" s="1085"/>
      <c r="AD51" s="1085"/>
      <c r="AE51" s="1085"/>
      <c r="AF51" s="1085">
        <f>IFERROR([16]Base!AF51/[16]Base!AF$76*AF$4,0)</f>
        <v>0</v>
      </c>
      <c r="AG51" s="1085">
        <f>IFERROR([16]Base!AG51/[16]Base!AG$76*AG$4,0)</f>
        <v>0</v>
      </c>
      <c r="AH51" s="1085">
        <f>IFERROR([16]Base!AH51/[16]Base!AH$76*AH$4,0)</f>
        <v>0</v>
      </c>
      <c r="AI51" s="1085">
        <f>IFERROR([16]Base!AI51/[16]Base!AI$76*AI$4,0)</f>
        <v>0</v>
      </c>
      <c r="AJ51" s="1085">
        <f>IFERROR([16]Base!AJ51/[16]Base!AJ$76*AJ$4,0)</f>
        <v>0</v>
      </c>
      <c r="AK51" s="1085">
        <f>IFERROR([16]Base!AK51/[16]Base!AK$76*AK$4,0)</f>
        <v>0</v>
      </c>
      <c r="AL51" s="1085">
        <f>IFERROR([16]Base!AL51/[16]Base!AL$76*AL$4,0)</f>
        <v>99.978779840848802</v>
      </c>
      <c r="AM51" s="1085">
        <f>IFERROR([16]Base!AM51/[16]Base!AM$76*AM$4,0)</f>
        <v>0</v>
      </c>
      <c r="AN51" s="1085">
        <f>IFERROR([16]Base!AN51/[16]Base!AN$76*AN$4,0)</f>
        <v>0</v>
      </c>
      <c r="AO51" s="1085">
        <f>IFERROR('8_2.1.19 SIS'!AO51/'8_2.1.19 SIS'!AO$76*AO$4,0)</f>
        <v>0</v>
      </c>
      <c r="AP51" s="1085">
        <f>IFERROR('8_2.1.19 SIS'!AP51/'8_2.1.19 SIS'!AP$76*AP$4,0)</f>
        <v>0</v>
      </c>
      <c r="AQ51" s="1085">
        <f>IFERROR('8_2.1.19 SIS'!AQ51/'8_2.1.19 SIS'!AQ$76*AQ$4,0)</f>
        <v>0</v>
      </c>
      <c r="AR51" s="1085">
        <f>IFERROR('8_2.1.19 SIS'!AR51/'8_2.1.19 SIS'!AR$76*AR$4,0)</f>
        <v>0</v>
      </c>
      <c r="AS51" s="1085">
        <f>IFERROR('8_2.1.19 SIS'!AS51/'8_2.1.19 SIS'!AS$76*AS$4,0)</f>
        <v>0</v>
      </c>
      <c r="AT51" s="1085">
        <f>IFERROR([16]Base!AT51/[16]Base!AT$76*AT$4,0)</f>
        <v>1152.5520833333333</v>
      </c>
      <c r="AU51" s="1085">
        <f>IFERROR([16]Base!AU51/[16]Base!AU$76*AU$4,0)</f>
        <v>786.2162331557505</v>
      </c>
      <c r="AV51" s="1086">
        <f t="shared" si="3"/>
        <v>1667881.4313918876</v>
      </c>
      <c r="AW51" s="1085">
        <f>IFERROR([16]Base!AW51/[16]Base!AW$76*AW$4,0)</f>
        <v>0</v>
      </c>
      <c r="AX51" s="1085">
        <f>IFERROR([16]Base!AX51/[16]Base!AX$76*AX$4,0)</f>
        <v>0</v>
      </c>
      <c r="AY51" s="1085">
        <f>IFERROR([16]Base!AY51/[16]Base!AY$76*AY$4,0)</f>
        <v>1220.665239114918</v>
      </c>
      <c r="AZ51" s="1085">
        <f>IFERROR([16]Base!AZ51/[16]Base!AZ$76*AZ$4,0)</f>
        <v>0</v>
      </c>
      <c r="BA51" s="1085">
        <f>IFERROR([16]Base!BA51/[16]Base!BA$76*BA$4,0)</f>
        <v>0</v>
      </c>
      <c r="BB51" s="1085">
        <f>IFERROR([16]Base!BB51/[16]Base!BB$76*BB$4,0)</f>
        <v>374.07456140350877</v>
      </c>
      <c r="BC51" s="1085">
        <f>IFERROR([16]Base!BC51/[16]Base!BC$76*BC$4,0)</f>
        <v>194.43333333333334</v>
      </c>
      <c r="BD51" s="1085">
        <f>IFERROR([16]Base!BD51/[16]Base!BD$76*BD$4,0)</f>
        <v>0</v>
      </c>
      <c r="BE51" s="1085">
        <f>IFERROR([16]Base!BE51/[16]Base!BE$76*BE$4,0)</f>
        <v>0</v>
      </c>
      <c r="BF51" s="1085">
        <f>IFERROR([16]Base!BF51/[16]Base!BF$76*BF$4,0)</f>
        <v>1146.8547486033519</v>
      </c>
      <c r="BG51" s="1085">
        <f>IFERROR([16]Base!BG51/[16]Base!BG$76*BG$4,0)</f>
        <v>1934.2094017094018</v>
      </c>
      <c r="BH51" s="1087">
        <f>IFERROR([16]Base!BH51/[16]Base!BH$76*BH$4,0)</f>
        <v>0</v>
      </c>
      <c r="BI51" s="1085">
        <f t="shared" si="2"/>
        <v>1672751.6686760525</v>
      </c>
    </row>
    <row r="52" spans="1:61" s="270" customFormat="1" ht="16.149999999999999" customHeight="1" x14ac:dyDescent="0.2">
      <c r="A52" s="273" t="s">
        <v>115</v>
      </c>
      <c r="B52" s="264" t="s">
        <v>196</v>
      </c>
      <c r="C52" s="1079">
        <f>'3B_Pay Raise'!O52</f>
        <v>154299</v>
      </c>
      <c r="D52" s="1079"/>
      <c r="E52" s="1079">
        <f>IFERROR([16]Base!E52/[16]Base!E$76*E$4,0)</f>
        <v>0</v>
      </c>
      <c r="F52" s="1079">
        <f>IFERROR([16]Base!F52/[16]Base!F$76*F$4,0)</f>
        <v>0</v>
      </c>
      <c r="G52" s="1079">
        <f>IFERROR([16]Base!G52/[16]Base!G$76*G$4,0)</f>
        <v>0</v>
      </c>
      <c r="H52" s="1079">
        <f>IFERROR([16]Base!H52/[16]Base!H$76*H$4,0)</f>
        <v>0</v>
      </c>
      <c r="I52" s="1079">
        <f>IFERROR([16]Base!I52/[16]Base!I$76*I$4,0)</f>
        <v>0</v>
      </c>
      <c r="J52" s="1079">
        <f>IFERROR([16]Base!J52/[16]Base!J$76*J$4,0)</f>
        <v>0</v>
      </c>
      <c r="K52" s="1079">
        <f>IFERROR([16]Base!K52/[16]Base!K$76*K$4,0)</f>
        <v>0</v>
      </c>
      <c r="L52" s="1079">
        <f>IFERROR([16]Base!L52/[16]Base!L$76*L$4,0)</f>
        <v>0</v>
      </c>
      <c r="M52" s="1079">
        <f>IFERROR([16]Base!M52/[16]Base!M$76*M$4,0)</f>
        <v>0</v>
      </c>
      <c r="N52" s="1079">
        <f>IFERROR([16]Base!N52/[16]Base!N$76*N$4,0)</f>
        <v>0</v>
      </c>
      <c r="O52" s="1079">
        <f>IFERROR([16]Base!O52/[16]Base!O$76*O$4,0)</f>
        <v>0</v>
      </c>
      <c r="P52" s="1079">
        <f>IFERROR([16]Base!P52/[16]Base!P$76*P$4,0)</f>
        <v>0</v>
      </c>
      <c r="Q52" s="1079">
        <f>IFERROR([16]Base!Q52/[16]Base!Q$76*Q$4,0)</f>
        <v>0</v>
      </c>
      <c r="R52" s="1079"/>
      <c r="S52" s="1079">
        <f>IFERROR([16]Base!S52/[16]Base!S$76*S$4,0)</f>
        <v>0</v>
      </c>
      <c r="T52" s="1079">
        <f>IFERROR([16]Base!T52/[16]Base!T$76*T$4,0)</f>
        <v>0</v>
      </c>
      <c r="U52" s="1079">
        <f>IFERROR([16]Base!U52/[16]Base!U$76*U$4,0)</f>
        <v>0</v>
      </c>
      <c r="V52" s="1079">
        <f>IFERROR([16]Base!V52/[16]Base!V$76*V$4,0)</f>
        <v>0</v>
      </c>
      <c r="W52" s="1079">
        <f>IFERROR([16]Base!W52/[16]Base!W$76*W$4,0)</f>
        <v>0</v>
      </c>
      <c r="X52" s="1079">
        <f>IFERROR([16]Base!X52/[16]Base!X$76*X$4,0)</f>
        <v>0</v>
      </c>
      <c r="Y52" s="1079">
        <f>IFERROR([16]Base!Y52/[16]Base!Y$76*Y$4,0)</f>
        <v>0</v>
      </c>
      <c r="Z52" s="1079"/>
      <c r="AA52" s="1079">
        <f>IFERROR([16]Base!AA52/[16]Base!AA$76*AA$4,0)</f>
        <v>0</v>
      </c>
      <c r="AB52" s="1080">
        <f>IFERROR([16]Base!AB52/[16]Base!AB$76*AB$4,0)</f>
        <v>0</v>
      </c>
      <c r="AC52" s="1080"/>
      <c r="AD52" s="1080"/>
      <c r="AE52" s="1080"/>
      <c r="AF52" s="1080">
        <f>IFERROR([16]Base!AF52/[16]Base!AF$76*AF$4,0)</f>
        <v>0</v>
      </c>
      <c r="AG52" s="1080">
        <f>IFERROR([16]Base!AG52/[16]Base!AG$76*AG$4,0)</f>
        <v>0</v>
      </c>
      <c r="AH52" s="1080">
        <f>IFERROR([16]Base!AH52/[16]Base!AH$76*AH$4,0)</f>
        <v>0</v>
      </c>
      <c r="AI52" s="1080">
        <f>IFERROR([16]Base!AI52/[16]Base!AI$76*AI$4,0)</f>
        <v>0</v>
      </c>
      <c r="AJ52" s="1080">
        <f>IFERROR([16]Base!AJ52/[16]Base!AJ$76*AJ$4,0)</f>
        <v>0</v>
      </c>
      <c r="AK52" s="1080">
        <f>IFERROR([16]Base!AK52/[16]Base!AK$76*AK$4,0)</f>
        <v>0</v>
      </c>
      <c r="AL52" s="1080">
        <f>IFERROR([16]Base!AL52/[16]Base!AL$76*AL$4,0)</f>
        <v>0</v>
      </c>
      <c r="AM52" s="1080">
        <f>IFERROR([16]Base!AM52/[16]Base!AM$76*AM$4,0)</f>
        <v>0</v>
      </c>
      <c r="AN52" s="1080">
        <f>IFERROR([16]Base!AN52/[16]Base!AN$76*AN$4,0)</f>
        <v>0</v>
      </c>
      <c r="AO52" s="1080">
        <f>IFERROR('8_2.1.19 SIS'!AO52/'8_2.1.19 SIS'!AO$76*AO$4,0)</f>
        <v>0</v>
      </c>
      <c r="AP52" s="1080">
        <f>IFERROR('8_2.1.19 SIS'!AP52/'8_2.1.19 SIS'!AP$76*AP$4,0)</f>
        <v>0</v>
      </c>
      <c r="AQ52" s="1080">
        <f>IFERROR('8_2.1.19 SIS'!AQ52/'8_2.1.19 SIS'!AQ$76*AQ$4,0)</f>
        <v>0</v>
      </c>
      <c r="AR52" s="1080">
        <f>IFERROR('8_2.1.19 SIS'!AR52/'8_2.1.19 SIS'!AR$76*AR$4,0)</f>
        <v>0</v>
      </c>
      <c r="AS52" s="1080">
        <f>IFERROR('8_2.1.19 SIS'!AS52/'8_2.1.19 SIS'!AS$76*AS$4,0)</f>
        <v>0</v>
      </c>
      <c r="AT52" s="1079">
        <f>IFERROR([16]Base!AT52/[16]Base!AT$76*AT$4,0)</f>
        <v>691.53125</v>
      </c>
      <c r="AU52" s="1079">
        <f>IFERROR([16]Base!AU52/[16]Base!AU$76*AU$4,0)</f>
        <v>1572.432466311501</v>
      </c>
      <c r="AV52" s="1081">
        <f t="shared" si="3"/>
        <v>156562.9637163115</v>
      </c>
      <c r="AW52" s="1079">
        <f>IFERROR([16]Base!AW52/[16]Base!AW$76*AW$4,0)</f>
        <v>0</v>
      </c>
      <c r="AX52" s="1079">
        <f>IFERROR([16]Base!AX52/[16]Base!AX$76*AX$4,0)</f>
        <v>0</v>
      </c>
      <c r="AY52" s="1079">
        <f>IFERROR([16]Base!AY52/[16]Base!AY$76*AY$4,0)</f>
        <v>0</v>
      </c>
      <c r="AZ52" s="1079">
        <f>IFERROR([16]Base!AZ52/[16]Base!AZ$76*AZ$4,0)</f>
        <v>0</v>
      </c>
      <c r="BA52" s="1079">
        <f>IFERROR([16]Base!BA52/[16]Base!BA$76*BA$4,0)</f>
        <v>0</v>
      </c>
      <c r="BB52" s="1079">
        <f>IFERROR([16]Base!BB52/[16]Base!BB$76*BB$4,0)</f>
        <v>0</v>
      </c>
      <c r="BC52" s="1079">
        <f>IFERROR([16]Base!BC52/[16]Base!BC$76*BC$4,0)</f>
        <v>0</v>
      </c>
      <c r="BD52" s="1079">
        <f>IFERROR([16]Base!BD52/[16]Base!BD$76*BD$4,0)</f>
        <v>0</v>
      </c>
      <c r="BE52" s="1079">
        <f>IFERROR([16]Base!BE52/[16]Base!BE$76*BE$4,0)</f>
        <v>0</v>
      </c>
      <c r="BF52" s="1079">
        <f>IFERROR([16]Base!BF52/[16]Base!BF$76*BF$4,0)</f>
        <v>0</v>
      </c>
      <c r="BG52" s="1079">
        <f>IFERROR([16]Base!BG52/[16]Base!BG$76*BG$4,0)</f>
        <v>0</v>
      </c>
      <c r="BH52" s="1082">
        <f>IFERROR([16]Base!BH52/[16]Base!BH$76*BH$4,0)</f>
        <v>219.72254335260115</v>
      </c>
      <c r="BI52" s="1079">
        <f t="shared" si="2"/>
        <v>156782.6862596641</v>
      </c>
    </row>
    <row r="53" spans="1:61" s="270" customFormat="1" ht="16.149999999999999" customHeight="1" x14ac:dyDescent="0.2">
      <c r="A53" s="275" t="s">
        <v>116</v>
      </c>
      <c r="B53" s="260" t="s">
        <v>197</v>
      </c>
      <c r="C53" s="1083">
        <f>'3B_Pay Raise'!O53</f>
        <v>576531</v>
      </c>
      <c r="D53" s="1083"/>
      <c r="E53" s="1083">
        <f>IFERROR([16]Base!E53/[16]Base!E$76*E$4,0)</f>
        <v>0</v>
      </c>
      <c r="F53" s="1083">
        <f>IFERROR([16]Base!F53/[16]Base!F$76*F$4,0)</f>
        <v>0</v>
      </c>
      <c r="G53" s="1083">
        <f>IFERROR([16]Base!G53/[16]Base!G$76*G$4,0)</f>
        <v>0</v>
      </c>
      <c r="H53" s="1083">
        <f>IFERROR([16]Base!H53/[16]Base!H$76*H$4,0)</f>
        <v>0</v>
      </c>
      <c r="I53" s="1083">
        <f>IFERROR([16]Base!I53/[16]Base!I$76*I$4,0)</f>
        <v>0</v>
      </c>
      <c r="J53" s="1083">
        <f>IFERROR([16]Base!J53/[16]Base!J$76*J$4,0)</f>
        <v>0</v>
      </c>
      <c r="K53" s="1083">
        <f>IFERROR([16]Base!K53/[16]Base!K$76*K$4,0)</f>
        <v>0</v>
      </c>
      <c r="L53" s="1083">
        <f>IFERROR([16]Base!L53/[16]Base!L$76*L$4,0)</f>
        <v>0</v>
      </c>
      <c r="M53" s="1083">
        <f>IFERROR([16]Base!M53/[16]Base!M$76*M$4,0)</f>
        <v>0</v>
      </c>
      <c r="N53" s="1083">
        <f>IFERROR([16]Base!N53/[16]Base!N$76*N$4,0)</f>
        <v>0</v>
      </c>
      <c r="O53" s="1083">
        <f>IFERROR([16]Base!O53/[16]Base!O$76*O$4,0)</f>
        <v>0</v>
      </c>
      <c r="P53" s="1083">
        <f>IFERROR([16]Base!P53/[16]Base!P$76*P$4,0)</f>
        <v>0</v>
      </c>
      <c r="Q53" s="1083">
        <f>IFERROR([16]Base!Q53/[16]Base!Q$76*Q$4,0)</f>
        <v>0</v>
      </c>
      <c r="R53" s="1083"/>
      <c r="S53" s="1083">
        <f>IFERROR([16]Base!S53/[16]Base!S$76*S$4,0)</f>
        <v>0</v>
      </c>
      <c r="T53" s="1083">
        <f>IFERROR([16]Base!T53/[16]Base!T$76*T$4,0)</f>
        <v>95.385204081632651</v>
      </c>
      <c r="U53" s="1083">
        <f>IFERROR([16]Base!U53/[16]Base!U$76*U$4,0)</f>
        <v>0</v>
      </c>
      <c r="V53" s="1083">
        <f>IFERROR([16]Base!V53/[16]Base!V$76*V$4,0)</f>
        <v>0</v>
      </c>
      <c r="W53" s="1083">
        <f>IFERROR([16]Base!W53/[16]Base!W$76*W$4,0)</f>
        <v>0</v>
      </c>
      <c r="X53" s="1083">
        <f>IFERROR([16]Base!X53/[16]Base!X$76*X$4,0)</f>
        <v>0</v>
      </c>
      <c r="Y53" s="1083">
        <f>IFERROR([16]Base!Y53/[16]Base!Y$76*Y$4,0)</f>
        <v>0</v>
      </c>
      <c r="Z53" s="1083"/>
      <c r="AA53" s="1083">
        <f>IFERROR([16]Base!AA53/[16]Base!AA$76*AA$4,0)</f>
        <v>0</v>
      </c>
      <c r="AB53" s="1083">
        <f>IFERROR([16]Base!AB53/[16]Base!AB$76*AB$4,0)</f>
        <v>0</v>
      </c>
      <c r="AC53" s="1083"/>
      <c r="AD53" s="1083"/>
      <c r="AE53" s="1083"/>
      <c r="AF53" s="1083">
        <f>IFERROR([16]Base!AF53/[16]Base!AF$76*AF$4,0)</f>
        <v>10014.473684210527</v>
      </c>
      <c r="AG53" s="1083">
        <f>IFERROR([16]Base!AG53/[16]Base!AG$76*AG$4,0)</f>
        <v>0</v>
      </c>
      <c r="AH53" s="1083">
        <f>IFERROR([16]Base!AH53/[16]Base!AH$76*AH$4,0)</f>
        <v>0</v>
      </c>
      <c r="AI53" s="1083">
        <f>IFERROR([16]Base!AI53/[16]Base!AI$76*AI$4,0)</f>
        <v>0</v>
      </c>
      <c r="AJ53" s="1083">
        <f>IFERROR([16]Base!AJ53/[16]Base!AJ$76*AJ$4,0)</f>
        <v>0</v>
      </c>
      <c r="AK53" s="1083">
        <f>IFERROR([16]Base!AK53/[16]Base!AK$76*AK$4,0)</f>
        <v>0</v>
      </c>
      <c r="AL53" s="1083">
        <f>IFERROR([16]Base!AL53/[16]Base!AL$76*AL$4,0)</f>
        <v>0</v>
      </c>
      <c r="AM53" s="1083">
        <f>IFERROR([16]Base!AM53/[16]Base!AM$76*AM$4,0)</f>
        <v>0</v>
      </c>
      <c r="AN53" s="1083">
        <f>IFERROR([16]Base!AN53/[16]Base!AN$76*AN$4,0)</f>
        <v>0</v>
      </c>
      <c r="AO53" s="1083">
        <f>IFERROR('8_2.1.19 SIS'!AO53/'8_2.1.19 SIS'!AO$76*AO$4,0)</f>
        <v>0</v>
      </c>
      <c r="AP53" s="1083">
        <f>IFERROR('8_2.1.19 SIS'!AP53/'8_2.1.19 SIS'!AP$76*AP$4,0)</f>
        <v>0</v>
      </c>
      <c r="AQ53" s="1083">
        <f>IFERROR('8_2.1.19 SIS'!AQ53/'8_2.1.19 SIS'!AQ$76*AQ$4,0)</f>
        <v>0</v>
      </c>
      <c r="AR53" s="1083">
        <f>IFERROR('8_2.1.19 SIS'!AR53/'8_2.1.19 SIS'!AR$76*AR$4,0)</f>
        <v>0</v>
      </c>
      <c r="AS53" s="1083">
        <f>IFERROR('8_2.1.19 SIS'!AS53/'8_2.1.19 SIS'!AS$76*AS$4,0)</f>
        <v>0</v>
      </c>
      <c r="AT53" s="1083">
        <f>IFERROR([16]Base!AT53/[16]Base!AT$76*AT$4,0)</f>
        <v>230.51041666666666</v>
      </c>
      <c r="AU53" s="1083">
        <f>IFERROR([16]Base!AU53/[16]Base!AU$76*AU$4,0)</f>
        <v>393.10811657787525</v>
      </c>
      <c r="AV53" s="1084">
        <f t="shared" si="3"/>
        <v>587264.47742153669</v>
      </c>
      <c r="AW53" s="1083">
        <f>IFERROR([16]Base!AW53/[16]Base!AW$76*AW$4,0)</f>
        <v>0</v>
      </c>
      <c r="AX53" s="1083">
        <f>IFERROR([16]Base!AX53/[16]Base!AX$76*AX$4,0)</f>
        <v>0</v>
      </c>
      <c r="AY53" s="1083">
        <f>IFERROR([16]Base!AY53/[16]Base!AY$76*AY$4,0)</f>
        <v>0</v>
      </c>
      <c r="AZ53" s="1083">
        <f>IFERROR([16]Base!AZ53/[16]Base!AZ$76*AZ$4,0)</f>
        <v>0</v>
      </c>
      <c r="BA53" s="1083">
        <f>IFERROR([16]Base!BA53/[16]Base!BA$76*BA$4,0)</f>
        <v>0</v>
      </c>
      <c r="BB53" s="1083">
        <f>IFERROR([16]Base!BB53/[16]Base!BB$76*BB$4,0)</f>
        <v>0</v>
      </c>
      <c r="BC53" s="1083">
        <f>IFERROR([16]Base!BC53/[16]Base!BC$76*BC$4,0)</f>
        <v>194.43333333333334</v>
      </c>
      <c r="BD53" s="1083">
        <f>IFERROR([16]Base!BD53/[16]Base!BD$76*BD$4,0)</f>
        <v>0</v>
      </c>
      <c r="BE53" s="1083">
        <f>IFERROR([16]Base!BE53/[16]Base!BE$76*BE$4,0)</f>
        <v>0</v>
      </c>
      <c r="BF53" s="1083">
        <f>IFERROR([16]Base!BF53/[16]Base!BF$76*BF$4,0)</f>
        <v>191.14245810055866</v>
      </c>
      <c r="BG53" s="1083">
        <f>IFERROR([16]Base!BG53/[16]Base!BG$76*BG$4,0)</f>
        <v>773.68376068376074</v>
      </c>
      <c r="BH53" s="1083">
        <f>IFERROR([16]Base!BH53/[16]Base!BH$76*BH$4,0)</f>
        <v>0</v>
      </c>
      <c r="BI53" s="1083">
        <f t="shared" si="2"/>
        <v>588423.73697365436</v>
      </c>
    </row>
    <row r="54" spans="1:61" s="270" customFormat="1" ht="16.149999999999999" customHeight="1" x14ac:dyDescent="0.2">
      <c r="A54" s="275" t="s">
        <v>117</v>
      </c>
      <c r="B54" s="260" t="s">
        <v>198</v>
      </c>
      <c r="C54" s="1083">
        <f>'3B_Pay Raise'!O54</f>
        <v>946512</v>
      </c>
      <c r="D54" s="1083"/>
      <c r="E54" s="1083">
        <f>IFERROR([16]Base!E54/[16]Base!E$76*E$4,0)</f>
        <v>0</v>
      </c>
      <c r="F54" s="1083">
        <f>IFERROR([16]Base!F54/[16]Base!F$76*F$4,0)</f>
        <v>0</v>
      </c>
      <c r="G54" s="1083">
        <f>IFERROR([16]Base!G54/[16]Base!G$76*G$4,0)</f>
        <v>0</v>
      </c>
      <c r="H54" s="1083">
        <f>IFERROR([16]Base!H54/[16]Base!H$76*H$4,0)</f>
        <v>0</v>
      </c>
      <c r="I54" s="1083">
        <f>IFERROR([16]Base!I54/[16]Base!I$76*I$4,0)</f>
        <v>319.14345549738221</v>
      </c>
      <c r="J54" s="1083">
        <f>IFERROR([16]Base!J54/[16]Base!J$76*J$4,0)</f>
        <v>0</v>
      </c>
      <c r="K54" s="1083">
        <f>IFERROR([16]Base!K54/[16]Base!K$76*K$4,0)</f>
        <v>0</v>
      </c>
      <c r="L54" s="1083">
        <f>IFERROR([16]Base!L54/[16]Base!L$76*L$4,0)</f>
        <v>0</v>
      </c>
      <c r="M54" s="1083">
        <f>IFERROR([16]Base!M54/[16]Base!M$76*M$4,0)</f>
        <v>0</v>
      </c>
      <c r="N54" s="1083">
        <f>IFERROR([16]Base!N54/[16]Base!N$76*N$4,0)</f>
        <v>0</v>
      </c>
      <c r="O54" s="1083">
        <f>IFERROR([16]Base!O54/[16]Base!O$76*O$4,0)</f>
        <v>0</v>
      </c>
      <c r="P54" s="1083">
        <f>IFERROR([16]Base!P54/[16]Base!P$76*P$4,0)</f>
        <v>0</v>
      </c>
      <c r="Q54" s="1083">
        <f>IFERROR([16]Base!Q54/[16]Base!Q$76*Q$4,0)</f>
        <v>0</v>
      </c>
      <c r="R54" s="1083"/>
      <c r="S54" s="1083">
        <f>IFERROR([16]Base!S54/[16]Base!S$76*S$4,0)</f>
        <v>826.69246435845207</v>
      </c>
      <c r="T54" s="1083">
        <f>IFERROR([16]Base!T54/[16]Base!T$76*T$4,0)</f>
        <v>95.385204081632651</v>
      </c>
      <c r="U54" s="1083">
        <f>IFERROR([16]Base!U54/[16]Base!U$76*U$4,0)</f>
        <v>0</v>
      </c>
      <c r="V54" s="1083">
        <f>IFERROR([16]Base!V54/[16]Base!V$76*V$4,0)</f>
        <v>0</v>
      </c>
      <c r="W54" s="1083">
        <f>IFERROR([16]Base!W54/[16]Base!W$76*W$4,0)</f>
        <v>0</v>
      </c>
      <c r="X54" s="1083">
        <f>IFERROR([16]Base!X54/[16]Base!X$76*X$4,0)</f>
        <v>0</v>
      </c>
      <c r="Y54" s="1083">
        <f>IFERROR([16]Base!Y54/[16]Base!Y$76*Y$4,0)</f>
        <v>0</v>
      </c>
      <c r="Z54" s="1083"/>
      <c r="AA54" s="1083">
        <f>IFERROR([16]Base!AA54/[16]Base!AA$76*AA$4,0)</f>
        <v>0</v>
      </c>
      <c r="AB54" s="1083">
        <f>IFERROR([16]Base!AB54/[16]Base!AB$76*AB$4,0)</f>
        <v>0</v>
      </c>
      <c r="AC54" s="1083"/>
      <c r="AD54" s="1083"/>
      <c r="AE54" s="1083"/>
      <c r="AF54" s="1083">
        <f>IFERROR([16]Base!AF54/[16]Base!AF$76*AF$4,0)</f>
        <v>4406.3684210526317</v>
      </c>
      <c r="AG54" s="1083">
        <f>IFERROR([16]Base!AG54/[16]Base!AG$76*AG$4,0)</f>
        <v>0</v>
      </c>
      <c r="AH54" s="1083">
        <f>IFERROR([16]Base!AH54/[16]Base!AH$76*AH$4,0)</f>
        <v>0</v>
      </c>
      <c r="AI54" s="1083">
        <f>IFERROR([16]Base!AI54/[16]Base!AI$76*AI$4,0)</f>
        <v>0</v>
      </c>
      <c r="AJ54" s="1083">
        <f>IFERROR([16]Base!AJ54/[16]Base!AJ$76*AJ$4,0)</f>
        <v>0</v>
      </c>
      <c r="AK54" s="1083">
        <f>IFERROR([16]Base!AK54/[16]Base!AK$76*AK$4,0)</f>
        <v>0</v>
      </c>
      <c r="AL54" s="1083">
        <f>IFERROR([16]Base!AL54/[16]Base!AL$76*AL$4,0)</f>
        <v>0</v>
      </c>
      <c r="AM54" s="1083">
        <f>IFERROR([16]Base!AM54/[16]Base!AM$76*AM$4,0)</f>
        <v>0</v>
      </c>
      <c r="AN54" s="1083">
        <f>IFERROR([16]Base!AN54/[16]Base!AN$76*AN$4,0)</f>
        <v>0</v>
      </c>
      <c r="AO54" s="1083">
        <f>IFERROR('8_2.1.19 SIS'!AO54/'8_2.1.19 SIS'!AO$76*AO$4,0)</f>
        <v>0</v>
      </c>
      <c r="AP54" s="1083">
        <f>IFERROR('8_2.1.19 SIS'!AP54/'8_2.1.19 SIS'!AP$76*AP$4,0)</f>
        <v>0</v>
      </c>
      <c r="AQ54" s="1083">
        <f>IFERROR('8_2.1.19 SIS'!AQ54/'8_2.1.19 SIS'!AQ$76*AQ$4,0)</f>
        <v>0</v>
      </c>
      <c r="AR54" s="1083">
        <f>IFERROR('8_2.1.19 SIS'!AR54/'8_2.1.19 SIS'!AR$76*AR$4,0)</f>
        <v>0</v>
      </c>
      <c r="AS54" s="1083">
        <f>IFERROR('8_2.1.19 SIS'!AS54/'8_2.1.19 SIS'!AS$76*AS$4,0)</f>
        <v>0</v>
      </c>
      <c r="AT54" s="1083">
        <f>IFERROR([16]Base!AT54/[16]Base!AT$76*AT$4,0)</f>
        <v>1094.9244791666665</v>
      </c>
      <c r="AU54" s="1083">
        <f>IFERROR([16]Base!AU54/[16]Base!AU$76*AU$4,0)</f>
        <v>3734.5271074898151</v>
      </c>
      <c r="AV54" s="1084">
        <f t="shared" si="3"/>
        <v>956989.04113164637</v>
      </c>
      <c r="AW54" s="1083">
        <f>IFERROR([16]Base!AW54/[16]Base!AW$76*AW$4,0)</f>
        <v>0</v>
      </c>
      <c r="AX54" s="1083">
        <f>IFERROR([16]Base!AX54/[16]Base!AX$76*AX$4,0)</f>
        <v>0</v>
      </c>
      <c r="AY54" s="1083">
        <f>IFERROR([16]Base!AY54/[16]Base!AY$76*AY$4,0)</f>
        <v>1220.665239114918</v>
      </c>
      <c r="AZ54" s="1083">
        <f>IFERROR([16]Base!AZ54/[16]Base!AZ$76*AZ$4,0)</f>
        <v>0</v>
      </c>
      <c r="BA54" s="1083">
        <f>IFERROR([16]Base!BA54/[16]Base!BA$76*BA$4,0)</f>
        <v>0</v>
      </c>
      <c r="BB54" s="1083">
        <f>IFERROR([16]Base!BB54/[16]Base!BB$76*BB$4,0)</f>
        <v>374.07456140350877</v>
      </c>
      <c r="BC54" s="1083">
        <f>IFERROR([16]Base!BC54/[16]Base!BC$76*BC$4,0)</f>
        <v>583.30000000000007</v>
      </c>
      <c r="BD54" s="1083">
        <f>IFERROR([16]Base!BD54/[16]Base!BD$76*BD$4,0)</f>
        <v>0</v>
      </c>
      <c r="BE54" s="1083">
        <f>IFERROR([16]Base!BE54/[16]Base!BE$76*BE$4,0)</f>
        <v>0</v>
      </c>
      <c r="BF54" s="1083">
        <f>IFERROR([16]Base!BF54/[16]Base!BF$76*BF$4,0)</f>
        <v>573.42737430167597</v>
      </c>
      <c r="BG54" s="1083">
        <f>IFERROR([16]Base!BG54/[16]Base!BG$76*BG$4,0)</f>
        <v>1547.3675213675215</v>
      </c>
      <c r="BH54" s="1083">
        <f>IFERROR([16]Base!BH54/[16]Base!BH$76*BH$4,0)</f>
        <v>659.16763005780342</v>
      </c>
      <c r="BI54" s="1083">
        <f t="shared" si="2"/>
        <v>961947.04345789179</v>
      </c>
    </row>
    <row r="55" spans="1:61" s="270" customFormat="1" ht="16.149999999999999" customHeight="1" x14ac:dyDescent="0.2">
      <c r="A55" s="275" t="s">
        <v>118</v>
      </c>
      <c r="B55" s="260" t="s">
        <v>199</v>
      </c>
      <c r="C55" s="1083">
        <f>'3B_Pay Raise'!O55</f>
        <v>1867419</v>
      </c>
      <c r="D55" s="1083"/>
      <c r="E55" s="1083">
        <f>IFERROR([16]Base!E55/[16]Base!E$76*E$4,0)</f>
        <v>0</v>
      </c>
      <c r="F55" s="1083">
        <f>IFERROR([16]Base!F55/[16]Base!F$76*F$4,0)</f>
        <v>0</v>
      </c>
      <c r="G55" s="1083">
        <f>IFERROR([16]Base!G55/[16]Base!G$76*G$4,0)</f>
        <v>0</v>
      </c>
      <c r="H55" s="1083">
        <f>IFERROR([16]Base!H55/[16]Base!H$76*H$4,0)</f>
        <v>0</v>
      </c>
      <c r="I55" s="1083">
        <f>IFERROR([16]Base!I55/[16]Base!I$76*I$4,0)</f>
        <v>0</v>
      </c>
      <c r="J55" s="1083">
        <f>IFERROR([16]Base!J55/[16]Base!J$76*J$4,0)</f>
        <v>0</v>
      </c>
      <c r="K55" s="1083">
        <f>IFERROR([16]Base!K55/[16]Base!K$76*K$4,0)</f>
        <v>32578.69879518072</v>
      </c>
      <c r="L55" s="1083">
        <f>IFERROR([16]Base!L55/[16]Base!L$76*L$4,0)</f>
        <v>0</v>
      </c>
      <c r="M55" s="1083">
        <f>IFERROR([16]Base!M55/[16]Base!M$76*M$4,0)</f>
        <v>191.44473684210527</v>
      </c>
      <c r="N55" s="1083">
        <f>IFERROR([16]Base!N55/[16]Base!N$76*N$4,0)</f>
        <v>0</v>
      </c>
      <c r="O55" s="1083">
        <f>IFERROR([16]Base!O55/[16]Base!O$76*O$4,0)</f>
        <v>0</v>
      </c>
      <c r="P55" s="1083">
        <f>IFERROR([16]Base!P55/[16]Base!P$76*P$4,0)</f>
        <v>0</v>
      </c>
      <c r="Q55" s="1083">
        <f>IFERROR([16]Base!Q55/[16]Base!Q$76*Q$4,0)</f>
        <v>0</v>
      </c>
      <c r="R55" s="1083"/>
      <c r="S55" s="1083">
        <f>IFERROR([16]Base!S55/[16]Base!S$76*S$4,0)</f>
        <v>0</v>
      </c>
      <c r="T55" s="1083">
        <f>IFERROR([16]Base!T55/[16]Base!T$76*T$4,0)</f>
        <v>0</v>
      </c>
      <c r="U55" s="1083">
        <f>IFERROR([16]Base!U55/[16]Base!U$76*U$4,0)</f>
        <v>0</v>
      </c>
      <c r="V55" s="1083">
        <f>IFERROR([16]Base!V55/[16]Base!V$76*V$4,0)</f>
        <v>0</v>
      </c>
      <c r="W55" s="1083">
        <f>IFERROR([16]Base!W55/[16]Base!W$76*W$4,0)</f>
        <v>302.08928571428572</v>
      </c>
      <c r="X55" s="1083">
        <f>IFERROR([16]Base!X55/[16]Base!X$76*X$4,0)</f>
        <v>9347.3503575076611</v>
      </c>
      <c r="Y55" s="1083">
        <f>IFERROR([16]Base!Y55/[16]Base!Y$76*Y$4,0)</f>
        <v>3575.0588235294117</v>
      </c>
      <c r="Z55" s="1083"/>
      <c r="AA55" s="1083">
        <f>IFERROR([16]Base!AA55/[16]Base!AA$76*AA$4,0)</f>
        <v>0</v>
      </c>
      <c r="AB55" s="1083">
        <f>IFERROR([16]Base!AB55/[16]Base!AB$76*AB$4,0)</f>
        <v>0</v>
      </c>
      <c r="AC55" s="1083"/>
      <c r="AD55" s="1083"/>
      <c r="AE55" s="1083"/>
      <c r="AF55" s="1083">
        <f>IFERROR([16]Base!AF55/[16]Base!AF$76*AF$4,0)</f>
        <v>0</v>
      </c>
      <c r="AG55" s="1083">
        <f>IFERROR([16]Base!AG55/[16]Base!AG$76*AG$4,0)</f>
        <v>0</v>
      </c>
      <c r="AH55" s="1083">
        <f>IFERROR([16]Base!AH55/[16]Base!AH$76*AH$4,0)</f>
        <v>371.76470588235293</v>
      </c>
      <c r="AI55" s="1083">
        <f>IFERROR([16]Base!AI55/[16]Base!AI$76*AI$4,0)</f>
        <v>0</v>
      </c>
      <c r="AJ55" s="1083">
        <f>IFERROR([16]Base!AJ55/[16]Base!AJ$76*AJ$4,0)</f>
        <v>0</v>
      </c>
      <c r="AK55" s="1083">
        <f>IFERROR([16]Base!AK55/[16]Base!AK$76*AK$4,0)</f>
        <v>0</v>
      </c>
      <c r="AL55" s="1083">
        <f>IFERROR([16]Base!AL55/[16]Base!AL$76*AL$4,0)</f>
        <v>0</v>
      </c>
      <c r="AM55" s="1083">
        <f>IFERROR([16]Base!AM55/[16]Base!AM$76*AM$4,0)</f>
        <v>0</v>
      </c>
      <c r="AN55" s="1083">
        <f>IFERROR([16]Base!AN55/[16]Base!AN$76*AN$4,0)</f>
        <v>87.219387755102034</v>
      </c>
      <c r="AO55" s="1083">
        <f>IFERROR('8_2.1.19 SIS'!AO55/'8_2.1.19 SIS'!AO$76*AO$4,0)</f>
        <v>0</v>
      </c>
      <c r="AP55" s="1083">
        <f>IFERROR('8_2.1.19 SIS'!AP55/'8_2.1.19 SIS'!AP$76*AP$4,0)</f>
        <v>0</v>
      </c>
      <c r="AQ55" s="1083">
        <f>IFERROR('8_2.1.19 SIS'!AQ55/'8_2.1.19 SIS'!AQ$76*AQ$4,0)</f>
        <v>0</v>
      </c>
      <c r="AR55" s="1083">
        <f>IFERROR('8_2.1.19 SIS'!AR55/'8_2.1.19 SIS'!AR$76*AR$4,0)</f>
        <v>0</v>
      </c>
      <c r="AS55" s="1083">
        <f>IFERROR('8_2.1.19 SIS'!AS55/'8_2.1.19 SIS'!AS$76*AS$4,0)</f>
        <v>0</v>
      </c>
      <c r="AT55" s="1083">
        <f>IFERROR([16]Base!AT55/[16]Base!AT$76*AT$4,0)</f>
        <v>3745.794270833333</v>
      </c>
      <c r="AU55" s="1083">
        <f>IFERROR([16]Base!AU55/[16]Base!AU$76*AU$4,0)</f>
        <v>6191.4528361015355</v>
      </c>
      <c r="AV55" s="1084">
        <f t="shared" si="3"/>
        <v>1923809.8731993465</v>
      </c>
      <c r="AW55" s="1083">
        <f>IFERROR([16]Base!AW55/[16]Base!AW$76*AW$4,0)</f>
        <v>0</v>
      </c>
      <c r="AX55" s="1083">
        <f>IFERROR([16]Base!AX55/[16]Base!AX$76*AX$4,0)</f>
        <v>0</v>
      </c>
      <c r="AY55" s="1083">
        <f>IFERROR([16]Base!AY55/[16]Base!AY$76*AY$4,0)</f>
        <v>0</v>
      </c>
      <c r="AZ55" s="1083">
        <f>IFERROR([16]Base!AZ55/[16]Base!AZ$76*AZ$4,0)</f>
        <v>371.84803256445042</v>
      </c>
      <c r="BA55" s="1083">
        <f>IFERROR([16]Base!BA55/[16]Base!BA$76*BA$4,0)</f>
        <v>0</v>
      </c>
      <c r="BB55" s="1083">
        <f>IFERROR([16]Base!BB55/[16]Base!BB$76*BB$4,0)</f>
        <v>0</v>
      </c>
      <c r="BC55" s="1083">
        <f>IFERROR([16]Base!BC55/[16]Base!BC$76*BC$4,0)</f>
        <v>0</v>
      </c>
      <c r="BD55" s="1083">
        <f>IFERROR([16]Base!BD55/[16]Base!BD$76*BD$4,0)</f>
        <v>0</v>
      </c>
      <c r="BE55" s="1083">
        <f>IFERROR([16]Base!BE55/[16]Base!BE$76*BE$4,0)</f>
        <v>0</v>
      </c>
      <c r="BF55" s="1083">
        <f>IFERROR([16]Base!BF55/[16]Base!BF$76*BF$4,0)</f>
        <v>2293.7094972067039</v>
      </c>
      <c r="BG55" s="1083">
        <f>IFERROR([16]Base!BG55/[16]Base!BG$76*BG$4,0)</f>
        <v>0</v>
      </c>
      <c r="BH55" s="1083">
        <f>IFERROR([16]Base!BH55/[16]Base!BH$76*BH$4,0)</f>
        <v>0</v>
      </c>
      <c r="BI55" s="1083">
        <f t="shared" si="2"/>
        <v>1926475.4307291175</v>
      </c>
    </row>
    <row r="56" spans="1:61" s="270" customFormat="1" ht="16.149999999999999" customHeight="1" x14ac:dyDescent="0.2">
      <c r="A56" s="277" t="s">
        <v>119</v>
      </c>
      <c r="B56" s="262" t="s">
        <v>200</v>
      </c>
      <c r="C56" s="1085">
        <f>'3B_Pay Raise'!O56</f>
        <v>982696</v>
      </c>
      <c r="D56" s="1085"/>
      <c r="E56" s="1085">
        <f>IFERROR([16]Base!E56/[16]Base!E$76*E$4,0)</f>
        <v>0</v>
      </c>
      <c r="F56" s="1085">
        <f>IFERROR([16]Base!F56/[16]Base!F$76*F$4,0)</f>
        <v>0</v>
      </c>
      <c r="G56" s="1085">
        <f>IFERROR([16]Base!G56/[16]Base!G$76*G$4,0)</f>
        <v>0</v>
      </c>
      <c r="H56" s="1085">
        <f>IFERROR([16]Base!H56/[16]Base!H$76*H$4,0)</f>
        <v>0</v>
      </c>
      <c r="I56" s="1085">
        <f>IFERROR([16]Base!I56/[16]Base!I$76*I$4,0)</f>
        <v>0</v>
      </c>
      <c r="J56" s="1085">
        <f>IFERROR([16]Base!J56/[16]Base!J$76*J$4,0)</f>
        <v>0</v>
      </c>
      <c r="K56" s="1085">
        <f>IFERROR([16]Base!K56/[16]Base!K$76*K$4,0)</f>
        <v>0</v>
      </c>
      <c r="L56" s="1085">
        <f>IFERROR([16]Base!L56/[16]Base!L$76*L$4,0)</f>
        <v>0</v>
      </c>
      <c r="M56" s="1085">
        <f>IFERROR([16]Base!M56/[16]Base!M$76*M$4,0)</f>
        <v>0</v>
      </c>
      <c r="N56" s="1085">
        <f>IFERROR([16]Base!N56/[16]Base!N$76*N$4,0)</f>
        <v>0</v>
      </c>
      <c r="O56" s="1085">
        <f>IFERROR([16]Base!O56/[16]Base!O$76*O$4,0)</f>
        <v>0</v>
      </c>
      <c r="P56" s="1085">
        <f>IFERROR([16]Base!P56/[16]Base!P$76*P$4,0)</f>
        <v>0</v>
      </c>
      <c r="Q56" s="1085">
        <f>IFERROR([16]Base!Q56/[16]Base!Q$76*Q$4,0)</f>
        <v>0</v>
      </c>
      <c r="R56" s="1085"/>
      <c r="S56" s="1085">
        <f>IFERROR([16]Base!S56/[16]Base!S$76*S$4,0)</f>
        <v>0</v>
      </c>
      <c r="T56" s="1085">
        <f>IFERROR([16]Base!T56/[16]Base!T$76*T$4,0)</f>
        <v>0</v>
      </c>
      <c r="U56" s="1085">
        <f>IFERROR([16]Base!U56/[16]Base!U$76*U$4,0)</f>
        <v>0</v>
      </c>
      <c r="V56" s="1085">
        <f>IFERROR([16]Base!V56/[16]Base!V$76*V$4,0)</f>
        <v>0</v>
      </c>
      <c r="W56" s="1085">
        <f>IFERROR([16]Base!W56/[16]Base!W$76*W$4,0)</f>
        <v>5336.9107142857138</v>
      </c>
      <c r="X56" s="1085">
        <f>IFERROR([16]Base!X56/[16]Base!X$76*X$4,0)</f>
        <v>4267.2686414708887</v>
      </c>
      <c r="Y56" s="1085">
        <f>IFERROR([16]Base!Y56/[16]Base!Y$76*Y$4,0)</f>
        <v>2681.294117647059</v>
      </c>
      <c r="Z56" s="1085"/>
      <c r="AA56" s="1085">
        <f>IFERROR([16]Base!AA56/[16]Base!AA$76*AA$4,0)</f>
        <v>0</v>
      </c>
      <c r="AB56" s="1085">
        <f>IFERROR([16]Base!AB56/[16]Base!AB$76*AB$4,0)</f>
        <v>0</v>
      </c>
      <c r="AC56" s="1085"/>
      <c r="AD56" s="1085"/>
      <c r="AE56" s="1085"/>
      <c r="AF56" s="1085">
        <f>IFERROR([16]Base!AF56/[16]Base!AF$76*AF$4,0)</f>
        <v>0</v>
      </c>
      <c r="AG56" s="1085">
        <f>IFERROR([16]Base!AG56/[16]Base!AG$76*AG$4,0)</f>
        <v>0</v>
      </c>
      <c r="AH56" s="1085">
        <f>IFERROR([16]Base!AH56/[16]Base!AH$76*AH$4,0)</f>
        <v>557.64705882352939</v>
      </c>
      <c r="AI56" s="1085">
        <f>IFERROR([16]Base!AI56/[16]Base!AI$76*AI$4,0)</f>
        <v>0</v>
      </c>
      <c r="AJ56" s="1085">
        <f>IFERROR([16]Base!AJ56/[16]Base!AJ$76*AJ$4,0)</f>
        <v>0</v>
      </c>
      <c r="AK56" s="1085">
        <f>IFERROR([16]Base!AK56/[16]Base!AK$76*AK$4,0)</f>
        <v>0</v>
      </c>
      <c r="AL56" s="1085">
        <f>IFERROR([16]Base!AL56/[16]Base!AL$76*AL$4,0)</f>
        <v>0</v>
      </c>
      <c r="AM56" s="1085">
        <f>IFERROR([16]Base!AM56/[16]Base!AM$76*AM$4,0)</f>
        <v>0</v>
      </c>
      <c r="AN56" s="1085">
        <f>IFERROR([16]Base!AN56/[16]Base!AN$76*AN$4,0)</f>
        <v>0</v>
      </c>
      <c r="AO56" s="1085">
        <f>IFERROR('8_2.1.19 SIS'!AO56/'8_2.1.19 SIS'!AO$76*AO$4,0)</f>
        <v>0</v>
      </c>
      <c r="AP56" s="1085">
        <f>IFERROR('8_2.1.19 SIS'!AP56/'8_2.1.19 SIS'!AP$76*AP$4,0)</f>
        <v>0</v>
      </c>
      <c r="AQ56" s="1085">
        <f>IFERROR('8_2.1.19 SIS'!AQ56/'8_2.1.19 SIS'!AQ$76*AQ$4,0)</f>
        <v>0</v>
      </c>
      <c r="AR56" s="1085">
        <f>IFERROR('8_2.1.19 SIS'!AR56/'8_2.1.19 SIS'!AR$76*AR$4,0)</f>
        <v>0</v>
      </c>
      <c r="AS56" s="1085">
        <f>IFERROR('8_2.1.19 SIS'!AS56/'8_2.1.19 SIS'!AS$76*AS$4,0)</f>
        <v>0</v>
      </c>
      <c r="AT56" s="1085">
        <f>IFERROR([16]Base!AT56/[16]Base!AT$76*AT$4,0)</f>
        <v>1440.6901041666667</v>
      </c>
      <c r="AU56" s="1085">
        <f>IFERROR([16]Base!AU56/[16]Base!AU$76*AU$4,0)</f>
        <v>1081.0473205891569</v>
      </c>
      <c r="AV56" s="1086">
        <f t="shared" si="3"/>
        <v>998060.85795698303</v>
      </c>
      <c r="AW56" s="1085">
        <f>IFERROR([16]Base!AW56/[16]Base!AW$76*AW$4,0)</f>
        <v>0</v>
      </c>
      <c r="AX56" s="1085">
        <f>IFERROR([16]Base!AX56/[16]Base!AX$76*AX$4,0)</f>
        <v>0</v>
      </c>
      <c r="AY56" s="1085">
        <f>IFERROR([16]Base!AY56/[16]Base!AY$76*AY$4,0)</f>
        <v>0</v>
      </c>
      <c r="AZ56" s="1085">
        <f>IFERROR([16]Base!AZ56/[16]Base!AZ$76*AZ$4,0)</f>
        <v>0</v>
      </c>
      <c r="BA56" s="1085">
        <f>IFERROR([16]Base!BA56/[16]Base!BA$76*BA$4,0)</f>
        <v>0</v>
      </c>
      <c r="BB56" s="1085">
        <f>IFERROR([16]Base!BB56/[16]Base!BB$76*BB$4,0)</f>
        <v>0</v>
      </c>
      <c r="BC56" s="1085">
        <f>IFERROR([16]Base!BC56/[16]Base!BC$76*BC$4,0)</f>
        <v>0</v>
      </c>
      <c r="BD56" s="1085">
        <f>IFERROR([16]Base!BD56/[16]Base!BD$76*BD$4,0)</f>
        <v>0</v>
      </c>
      <c r="BE56" s="1085">
        <f>IFERROR([16]Base!BE56/[16]Base!BE$76*BE$4,0)</f>
        <v>0</v>
      </c>
      <c r="BF56" s="1085">
        <f>IFERROR([16]Base!BF56/[16]Base!BF$76*BF$4,0)</f>
        <v>955.71229050279328</v>
      </c>
      <c r="BG56" s="1085">
        <f>IFERROR([16]Base!BG56/[16]Base!BG$76*BG$4,0)</f>
        <v>0</v>
      </c>
      <c r="BH56" s="1087">
        <f>IFERROR([16]Base!BH56/[16]Base!BH$76*BH$4,0)</f>
        <v>0</v>
      </c>
      <c r="BI56" s="1085">
        <f t="shared" si="2"/>
        <v>999016.57024748577</v>
      </c>
    </row>
    <row r="57" spans="1:61" s="270" customFormat="1" ht="16.149999999999999" customHeight="1" x14ac:dyDescent="0.2">
      <c r="A57" s="273" t="s">
        <v>120</v>
      </c>
      <c r="B57" s="264" t="s">
        <v>201</v>
      </c>
      <c r="C57" s="1079">
        <f>'3B_Pay Raise'!O57</f>
        <v>1245503</v>
      </c>
      <c r="D57" s="1079"/>
      <c r="E57" s="1079">
        <f>IFERROR([16]Base!E57/[16]Base!E$76*E$4,0)</f>
        <v>0</v>
      </c>
      <c r="F57" s="1079">
        <f>IFERROR([16]Base!F57/[16]Base!F$76*F$4,0)</f>
        <v>0</v>
      </c>
      <c r="G57" s="1079">
        <f>IFERROR([16]Base!G57/[16]Base!G$76*G$4,0)</f>
        <v>0</v>
      </c>
      <c r="H57" s="1079">
        <f>IFERROR([16]Base!H57/[16]Base!H$76*H$4,0)</f>
        <v>0</v>
      </c>
      <c r="I57" s="1079">
        <f>IFERROR([16]Base!I57/[16]Base!I$76*I$4,0)</f>
        <v>0</v>
      </c>
      <c r="J57" s="1079">
        <f>IFERROR([16]Base!J57/[16]Base!J$76*J$4,0)</f>
        <v>0</v>
      </c>
      <c r="K57" s="1079">
        <f>IFERROR([16]Base!K57/[16]Base!K$76*K$4,0)</f>
        <v>0</v>
      </c>
      <c r="L57" s="1079">
        <f>IFERROR([16]Base!L57/[16]Base!L$76*L$4,0)</f>
        <v>0</v>
      </c>
      <c r="M57" s="1079">
        <f>IFERROR([16]Base!M57/[16]Base!M$76*M$4,0)</f>
        <v>0</v>
      </c>
      <c r="N57" s="1079">
        <f>IFERROR([16]Base!N57/[16]Base!N$76*N$4,0)</f>
        <v>0</v>
      </c>
      <c r="O57" s="1079">
        <f>IFERROR([16]Base!O57/[16]Base!O$76*O$4,0)</f>
        <v>0</v>
      </c>
      <c r="P57" s="1079">
        <f>IFERROR([16]Base!P57/[16]Base!P$76*P$4,0)</f>
        <v>0</v>
      </c>
      <c r="Q57" s="1079">
        <f>IFERROR([16]Base!Q57/[16]Base!Q$76*Q$4,0)</f>
        <v>0</v>
      </c>
      <c r="R57" s="1079"/>
      <c r="S57" s="1079">
        <f>IFERROR([16]Base!S57/[16]Base!S$76*S$4,0)</f>
        <v>0</v>
      </c>
      <c r="T57" s="1079">
        <f>IFERROR([16]Base!T57/[16]Base!T$76*T$4,0)</f>
        <v>0</v>
      </c>
      <c r="U57" s="1079">
        <f>IFERROR([16]Base!U57/[16]Base!U$76*U$4,0)</f>
        <v>0</v>
      </c>
      <c r="V57" s="1079">
        <f>IFERROR([16]Base!V57/[16]Base!V$76*V$4,0)</f>
        <v>0</v>
      </c>
      <c r="W57" s="1079">
        <f>IFERROR([16]Base!W57/[16]Base!W$76*W$4,0)</f>
        <v>0</v>
      </c>
      <c r="X57" s="1079">
        <f>IFERROR([16]Base!X57/[16]Base!X$76*X$4,0)</f>
        <v>0</v>
      </c>
      <c r="Y57" s="1079">
        <f>IFERROR([16]Base!Y57/[16]Base!Y$76*Y$4,0)</f>
        <v>0</v>
      </c>
      <c r="Z57" s="1079"/>
      <c r="AA57" s="1079">
        <f>IFERROR([16]Base!AA57/[16]Base!AA$76*AA$4,0)</f>
        <v>0</v>
      </c>
      <c r="AB57" s="1080">
        <f>IFERROR([16]Base!AB57/[16]Base!AB$76*AB$4,0)</f>
        <v>0</v>
      </c>
      <c r="AC57" s="1080"/>
      <c r="AD57" s="1080"/>
      <c r="AE57" s="1080"/>
      <c r="AF57" s="1080">
        <f>IFERROR([16]Base!AF57/[16]Base!AF$76*AF$4,0)</f>
        <v>0</v>
      </c>
      <c r="AG57" s="1080">
        <f>IFERROR([16]Base!AG57/[16]Base!AG$76*AG$4,0)</f>
        <v>0</v>
      </c>
      <c r="AH57" s="1080">
        <f>IFERROR([16]Base!AH57/[16]Base!AH$76*AH$4,0)</f>
        <v>0</v>
      </c>
      <c r="AI57" s="1080">
        <f>IFERROR([16]Base!AI57/[16]Base!AI$76*AI$4,0)</f>
        <v>0</v>
      </c>
      <c r="AJ57" s="1080">
        <f>IFERROR([16]Base!AJ57/[16]Base!AJ$76*AJ$4,0)</f>
        <v>0</v>
      </c>
      <c r="AK57" s="1080">
        <f>IFERROR([16]Base!AK57/[16]Base!AK$76*AK$4,0)</f>
        <v>0</v>
      </c>
      <c r="AL57" s="1080">
        <f>IFERROR([16]Base!AL57/[16]Base!AL$76*AL$4,0)</f>
        <v>0</v>
      </c>
      <c r="AM57" s="1080">
        <f>IFERROR([16]Base!AM57/[16]Base!AM$76*AM$4,0)</f>
        <v>0</v>
      </c>
      <c r="AN57" s="1080">
        <f>IFERROR([16]Base!AN57/[16]Base!AN$76*AN$4,0)</f>
        <v>0</v>
      </c>
      <c r="AO57" s="1080">
        <f>IFERROR('8_2.1.19 SIS'!AO57/'8_2.1.19 SIS'!AO$76*AO$4,0)</f>
        <v>0</v>
      </c>
      <c r="AP57" s="1080">
        <f>IFERROR('8_2.1.19 SIS'!AP57/'8_2.1.19 SIS'!AP$76*AP$4,0)</f>
        <v>0</v>
      </c>
      <c r="AQ57" s="1080">
        <f>IFERROR('8_2.1.19 SIS'!AQ57/'8_2.1.19 SIS'!AQ$76*AQ$4,0)</f>
        <v>0</v>
      </c>
      <c r="AR57" s="1080">
        <f>IFERROR('8_2.1.19 SIS'!AR57/'8_2.1.19 SIS'!AR$76*AR$4,0)</f>
        <v>0</v>
      </c>
      <c r="AS57" s="1080">
        <f>IFERROR('8_2.1.19 SIS'!AS57/'8_2.1.19 SIS'!AS$76*AS$4,0)</f>
        <v>0</v>
      </c>
      <c r="AT57" s="1079">
        <f>IFERROR([16]Base!AT57/[16]Base!AT$76*AT$4,0)</f>
        <v>518.6484375</v>
      </c>
      <c r="AU57" s="1079">
        <f>IFERROR([16]Base!AU57/[16]Base!AU$76*AU$4,0)</f>
        <v>1965.5405828893763</v>
      </c>
      <c r="AV57" s="1081">
        <f t="shared" si="3"/>
        <v>1247987.1890203895</v>
      </c>
      <c r="AW57" s="1079">
        <f>IFERROR([16]Base!AW57/[16]Base!AW$76*AW$4,0)</f>
        <v>0</v>
      </c>
      <c r="AX57" s="1079">
        <f>IFERROR([16]Base!AX57/[16]Base!AX$76*AX$4,0)</f>
        <v>36870.143678160923</v>
      </c>
      <c r="AY57" s="1079">
        <f>IFERROR([16]Base!AY57/[16]Base!AY$76*AY$4,0)</f>
        <v>0</v>
      </c>
      <c r="AZ57" s="1079">
        <f>IFERROR([16]Base!AZ57/[16]Base!AZ$76*AZ$4,0)</f>
        <v>0</v>
      </c>
      <c r="BA57" s="1079">
        <f>IFERROR([16]Base!BA57/[16]Base!BA$76*BA$4,0)</f>
        <v>0</v>
      </c>
      <c r="BB57" s="1079">
        <f>IFERROR([16]Base!BB57/[16]Base!BB$76*BB$4,0)</f>
        <v>0</v>
      </c>
      <c r="BC57" s="1079">
        <f>IFERROR([16]Base!BC57/[16]Base!BC$76*BC$4,0)</f>
        <v>583.30000000000007</v>
      </c>
      <c r="BD57" s="1079">
        <f>IFERROR([16]Base!BD57/[16]Base!BD$76*BD$4,0)</f>
        <v>0</v>
      </c>
      <c r="BE57" s="1079">
        <f>IFERROR([16]Base!BE57/[16]Base!BE$76*BE$4,0)</f>
        <v>0</v>
      </c>
      <c r="BF57" s="1079">
        <f>IFERROR([16]Base!BF57/[16]Base!BF$76*BF$4,0)</f>
        <v>382.28491620111731</v>
      </c>
      <c r="BG57" s="1079">
        <f>IFERROR([16]Base!BG57/[16]Base!BG$76*BG$4,0)</f>
        <v>0</v>
      </c>
      <c r="BH57" s="1082">
        <f>IFERROR([16]Base!BH57/[16]Base!BH$76*BH$4,0)</f>
        <v>0</v>
      </c>
      <c r="BI57" s="1079">
        <f t="shared" si="2"/>
        <v>1285822.9176147515</v>
      </c>
    </row>
    <row r="58" spans="1:61" s="270" customFormat="1" ht="16.149999999999999" customHeight="1" x14ac:dyDescent="0.2">
      <c r="A58" s="275" t="s">
        <v>121</v>
      </c>
      <c r="B58" s="260" t="s">
        <v>202</v>
      </c>
      <c r="C58" s="1083">
        <f>'3B_Pay Raise'!O58</f>
        <v>5749588</v>
      </c>
      <c r="D58" s="1083"/>
      <c r="E58" s="1083">
        <f>IFERROR([16]Base!E58/[16]Base!E$76*E$4,0)</f>
        <v>0</v>
      </c>
      <c r="F58" s="1083">
        <f>IFERROR([16]Base!F58/[16]Base!F$76*F$4,0)</f>
        <v>0</v>
      </c>
      <c r="G58" s="1083">
        <f>IFERROR([16]Base!G58/[16]Base!G$76*G$4,0)</f>
        <v>311.07894736842104</v>
      </c>
      <c r="H58" s="1083">
        <f>IFERROR([16]Base!H58/[16]Base!H$76*H$4,0)</f>
        <v>355.43450479233223</v>
      </c>
      <c r="I58" s="1083">
        <f>IFERROR([16]Base!I58/[16]Base!I$76*I$4,0)</f>
        <v>1276.5738219895288</v>
      </c>
      <c r="J58" s="1083">
        <f>IFERROR([16]Base!J58/[16]Base!J$76*J$4,0)</f>
        <v>0</v>
      </c>
      <c r="K58" s="1083">
        <f>IFERROR([16]Base!K58/[16]Base!K$76*K$4,0)</f>
        <v>0</v>
      </c>
      <c r="L58" s="1083">
        <f>IFERROR([16]Base!L58/[16]Base!L$76*L$4,0)</f>
        <v>0</v>
      </c>
      <c r="M58" s="1083">
        <f>IFERROR([16]Base!M58/[16]Base!M$76*M$4,0)</f>
        <v>191.44473684210527</v>
      </c>
      <c r="N58" s="1083">
        <f>IFERROR([16]Base!N58/[16]Base!N$76*N$4,0)</f>
        <v>302.88209606986896</v>
      </c>
      <c r="O58" s="1083">
        <f>IFERROR([16]Base!O58/[16]Base!O$76*O$4,0)</f>
        <v>0</v>
      </c>
      <c r="P58" s="1083">
        <f>IFERROR([16]Base!P58/[16]Base!P$76*P$4,0)</f>
        <v>0</v>
      </c>
      <c r="Q58" s="1083">
        <f>IFERROR([16]Base!Q58/[16]Base!Q$76*Q$4,0)</f>
        <v>0</v>
      </c>
      <c r="R58" s="1083"/>
      <c r="S58" s="1083">
        <f>IFERROR([16]Base!S58/[16]Base!S$76*S$4,0)</f>
        <v>0</v>
      </c>
      <c r="T58" s="1083">
        <f>IFERROR([16]Base!T58/[16]Base!T$76*T$4,0)</f>
        <v>0</v>
      </c>
      <c r="U58" s="1083">
        <f>IFERROR([16]Base!U58/[16]Base!U$76*U$4,0)</f>
        <v>0</v>
      </c>
      <c r="V58" s="1083">
        <f>IFERROR([16]Base!V58/[16]Base!V$76*V$4,0)</f>
        <v>0</v>
      </c>
      <c r="W58" s="1083">
        <f>IFERROR([16]Base!W58/[16]Base!W$76*W$4,0)</f>
        <v>0</v>
      </c>
      <c r="X58" s="1083">
        <f>IFERROR([16]Base!X58/[16]Base!X$76*X$4,0)</f>
        <v>0</v>
      </c>
      <c r="Y58" s="1083">
        <f>IFERROR([16]Base!Y58/[16]Base!Y$76*Y$4,0)</f>
        <v>0</v>
      </c>
      <c r="Z58" s="1083"/>
      <c r="AA58" s="1083">
        <f>IFERROR([16]Base!AA58/[16]Base!AA$76*AA$4,0)</f>
        <v>0</v>
      </c>
      <c r="AB58" s="1083">
        <f>IFERROR([16]Base!AB58/[16]Base!AB$76*AB$4,0)</f>
        <v>0</v>
      </c>
      <c r="AC58" s="1083"/>
      <c r="AD58" s="1083"/>
      <c r="AE58" s="1083"/>
      <c r="AF58" s="1083">
        <f>IFERROR([16]Base!AF58/[16]Base!AF$76*AF$4,0)</f>
        <v>0</v>
      </c>
      <c r="AG58" s="1083">
        <f>IFERROR([16]Base!AG58/[16]Base!AG$76*AG$4,0)</f>
        <v>0</v>
      </c>
      <c r="AH58" s="1083">
        <f>IFERROR([16]Base!AH58/[16]Base!AH$76*AH$4,0)</f>
        <v>0</v>
      </c>
      <c r="AI58" s="1083">
        <f>IFERROR([16]Base!AI58/[16]Base!AI$76*AI$4,0)</f>
        <v>0</v>
      </c>
      <c r="AJ58" s="1083">
        <f>IFERROR([16]Base!AJ58/[16]Base!AJ$76*AJ$4,0)</f>
        <v>0</v>
      </c>
      <c r="AK58" s="1083">
        <f>IFERROR([16]Base!AK58/[16]Base!AK$76*AK$4,0)</f>
        <v>0</v>
      </c>
      <c r="AL58" s="1083">
        <f>IFERROR([16]Base!AL58/[16]Base!AL$76*AL$4,0)</f>
        <v>0</v>
      </c>
      <c r="AM58" s="1083">
        <f>IFERROR([16]Base!AM58/[16]Base!AM$76*AM$4,0)</f>
        <v>0</v>
      </c>
      <c r="AN58" s="1083">
        <f>IFERROR([16]Base!AN58/[16]Base!AN$76*AN$4,0)</f>
        <v>0</v>
      </c>
      <c r="AO58" s="1083">
        <f>IFERROR('8_2.1.19 SIS'!AO58/'8_2.1.19 SIS'!AO$76*AO$4,0)</f>
        <v>0</v>
      </c>
      <c r="AP58" s="1083">
        <f>IFERROR('8_2.1.19 SIS'!AP58/'8_2.1.19 SIS'!AP$76*AP$4,0)</f>
        <v>0</v>
      </c>
      <c r="AQ58" s="1083">
        <f>IFERROR('8_2.1.19 SIS'!AQ58/'8_2.1.19 SIS'!AQ$76*AQ$4,0)</f>
        <v>0</v>
      </c>
      <c r="AR58" s="1083">
        <f>IFERROR('8_2.1.19 SIS'!AR58/'8_2.1.19 SIS'!AR$76*AR$4,0)</f>
        <v>0</v>
      </c>
      <c r="AS58" s="1083">
        <f>IFERROR('8_2.1.19 SIS'!AS58/'8_2.1.19 SIS'!AS$76*AS$4,0)</f>
        <v>0</v>
      </c>
      <c r="AT58" s="1083">
        <f>IFERROR([16]Base!AT58/[16]Base!AT$76*AT$4,0)</f>
        <v>6050.8984375</v>
      </c>
      <c r="AU58" s="1083">
        <f>IFERROR([16]Base!AU58/[16]Base!AU$76*AU$4,0)</f>
        <v>29286.554685051706</v>
      </c>
      <c r="AV58" s="1084">
        <f t="shared" si="3"/>
        <v>5787362.8672296135</v>
      </c>
      <c r="AW58" s="1083">
        <f>IFERROR([16]Base!AW58/[16]Base!AW$76*AW$4,0)</f>
        <v>0</v>
      </c>
      <c r="AX58" s="1083">
        <f>IFERROR([16]Base!AX58/[16]Base!AX$76*AX$4,0)</f>
        <v>0</v>
      </c>
      <c r="AY58" s="1083">
        <f>IFERROR([16]Base!AY58/[16]Base!AY$76*AY$4,0)</f>
        <v>915.49892933618844</v>
      </c>
      <c r="AZ58" s="1083">
        <f>IFERROR([16]Base!AZ58/[16]Base!AZ$76*AZ$4,0)</f>
        <v>0</v>
      </c>
      <c r="BA58" s="1083">
        <f>IFERROR([16]Base!BA58/[16]Base!BA$76*BA$4,0)</f>
        <v>0</v>
      </c>
      <c r="BB58" s="1083">
        <f>IFERROR([16]Base!BB58/[16]Base!BB$76*BB$4,0)</f>
        <v>748.14912280701753</v>
      </c>
      <c r="BC58" s="1083">
        <f>IFERROR([16]Base!BC58/[16]Base!BC$76*BC$4,0)</f>
        <v>0</v>
      </c>
      <c r="BD58" s="1083">
        <f>IFERROR([16]Base!BD58/[16]Base!BD$76*BD$4,0)</f>
        <v>0</v>
      </c>
      <c r="BE58" s="1083">
        <f>IFERROR([16]Base!BE58/[16]Base!BE$76*BE$4,0)</f>
        <v>0</v>
      </c>
      <c r="BF58" s="1083">
        <f>IFERROR([16]Base!BF58/[16]Base!BF$76*BF$4,0)</f>
        <v>5734.273743016759</v>
      </c>
      <c r="BG58" s="1083">
        <f>IFERROR([16]Base!BG58/[16]Base!BG$76*BG$4,0)</f>
        <v>15473.675213675215</v>
      </c>
      <c r="BH58" s="1083">
        <f>IFERROR([16]Base!BH58/[16]Base!BH$76*BH$4,0)</f>
        <v>219.72254335260115</v>
      </c>
      <c r="BI58" s="1083">
        <f t="shared" si="2"/>
        <v>5810454.1867818004</v>
      </c>
    </row>
    <row r="59" spans="1:61" s="270" customFormat="1" ht="16.149999999999999" customHeight="1" x14ac:dyDescent="0.2">
      <c r="A59" s="275" t="s">
        <v>122</v>
      </c>
      <c r="B59" s="260" t="s">
        <v>203</v>
      </c>
      <c r="C59" s="1083">
        <f>'3B_Pay Raise'!O59</f>
        <v>2672960</v>
      </c>
      <c r="D59" s="1083"/>
      <c r="E59" s="1083">
        <f>IFERROR([16]Base!E59/[16]Base!E$76*E$4,0)</f>
        <v>101.25263157894737</v>
      </c>
      <c r="F59" s="1083">
        <f>IFERROR([16]Base!F59/[16]Base!F$76*F$4,0)</f>
        <v>0</v>
      </c>
      <c r="G59" s="1083">
        <f>IFERROR([16]Base!G59/[16]Base!G$76*G$4,0)</f>
        <v>0</v>
      </c>
      <c r="H59" s="1083">
        <f>IFERROR([16]Base!H59/[16]Base!H$76*H$4,0)</f>
        <v>0</v>
      </c>
      <c r="I59" s="1083">
        <f>IFERROR([16]Base!I59/[16]Base!I$76*I$4,0)</f>
        <v>0</v>
      </c>
      <c r="J59" s="1083">
        <f>IFERROR([16]Base!J59/[16]Base!J$76*J$4,0)</f>
        <v>0</v>
      </c>
      <c r="K59" s="1083">
        <f>IFERROR([16]Base!K59/[16]Base!K$76*K$4,0)</f>
        <v>0</v>
      </c>
      <c r="L59" s="1083">
        <f>IFERROR([16]Base!L59/[16]Base!L$76*L$4,0)</f>
        <v>0</v>
      </c>
      <c r="M59" s="1083">
        <f>IFERROR([16]Base!M59/[16]Base!M$76*M$4,0)</f>
        <v>0</v>
      </c>
      <c r="N59" s="1083">
        <f>IFERROR([16]Base!N59/[16]Base!N$76*N$4,0)</f>
        <v>0</v>
      </c>
      <c r="O59" s="1083">
        <f>IFERROR([16]Base!O59/[16]Base!O$76*O$4,0)</f>
        <v>0</v>
      </c>
      <c r="P59" s="1083">
        <f>IFERROR([16]Base!P59/[16]Base!P$76*P$4,0)</f>
        <v>0</v>
      </c>
      <c r="Q59" s="1083">
        <f>IFERROR([16]Base!Q59/[16]Base!Q$76*Q$4,0)</f>
        <v>0</v>
      </c>
      <c r="R59" s="1083"/>
      <c r="S59" s="1083">
        <f>IFERROR([16]Base!S59/[16]Base!S$76*S$4,0)</f>
        <v>0</v>
      </c>
      <c r="T59" s="1083">
        <f>IFERROR([16]Base!T59/[16]Base!T$76*T$4,0)</f>
        <v>0</v>
      </c>
      <c r="U59" s="1083">
        <f>IFERROR([16]Base!U59/[16]Base!U$76*U$4,0)</f>
        <v>0</v>
      </c>
      <c r="V59" s="1083">
        <f>IFERROR([16]Base!V59/[16]Base!V$76*V$4,0)</f>
        <v>0</v>
      </c>
      <c r="W59" s="1083">
        <f>IFERROR([16]Base!W59/[16]Base!W$76*W$4,0)</f>
        <v>0</v>
      </c>
      <c r="X59" s="1083">
        <f>IFERROR([16]Base!X59/[16]Base!X$76*X$4,0)</f>
        <v>0</v>
      </c>
      <c r="Y59" s="1083">
        <f>IFERROR([16]Base!Y59/[16]Base!Y$76*Y$4,0)</f>
        <v>0</v>
      </c>
      <c r="Z59" s="1083"/>
      <c r="AA59" s="1083">
        <f>IFERROR([16]Base!AA59/[16]Base!AA$76*AA$4,0)</f>
        <v>0</v>
      </c>
      <c r="AB59" s="1083">
        <f>IFERROR([16]Base!AB59/[16]Base!AB$76*AB$4,0)</f>
        <v>0</v>
      </c>
      <c r="AC59" s="1083"/>
      <c r="AD59" s="1083"/>
      <c r="AE59" s="1083"/>
      <c r="AF59" s="1083">
        <f>IFERROR([16]Base!AF59/[16]Base!AF$76*AF$4,0)</f>
        <v>0</v>
      </c>
      <c r="AG59" s="1083">
        <f>IFERROR([16]Base!AG59/[16]Base!AG$76*AG$4,0)</f>
        <v>0</v>
      </c>
      <c r="AH59" s="1083">
        <f>IFERROR([16]Base!AH59/[16]Base!AH$76*AH$4,0)</f>
        <v>0</v>
      </c>
      <c r="AI59" s="1083">
        <f>IFERROR([16]Base!AI59/[16]Base!AI$76*AI$4,0)</f>
        <v>0</v>
      </c>
      <c r="AJ59" s="1083">
        <f>IFERROR([16]Base!AJ59/[16]Base!AJ$76*AJ$4,0)</f>
        <v>0</v>
      </c>
      <c r="AK59" s="1083">
        <f>IFERROR([16]Base!AK59/[16]Base!AK$76*AK$4,0)</f>
        <v>0</v>
      </c>
      <c r="AL59" s="1083">
        <f>IFERROR([16]Base!AL59/[16]Base!AL$76*AL$4,0)</f>
        <v>0</v>
      </c>
      <c r="AM59" s="1083">
        <f>IFERROR([16]Base!AM59/[16]Base!AM$76*AM$4,0)</f>
        <v>0</v>
      </c>
      <c r="AN59" s="1083">
        <f>IFERROR([16]Base!AN59/[16]Base!AN$76*AN$4,0)</f>
        <v>0</v>
      </c>
      <c r="AO59" s="1083">
        <f>IFERROR('8_2.1.19 SIS'!AO59/'8_2.1.19 SIS'!AO$76*AO$4,0)</f>
        <v>0</v>
      </c>
      <c r="AP59" s="1083">
        <f>IFERROR('8_2.1.19 SIS'!AP59/'8_2.1.19 SIS'!AP$76*AP$4,0)</f>
        <v>0</v>
      </c>
      <c r="AQ59" s="1083">
        <f>IFERROR('8_2.1.19 SIS'!AQ59/'8_2.1.19 SIS'!AQ$76*AQ$4,0)</f>
        <v>0</v>
      </c>
      <c r="AR59" s="1083">
        <f>IFERROR('8_2.1.19 SIS'!AR59/'8_2.1.19 SIS'!AR$76*AR$4,0)</f>
        <v>0</v>
      </c>
      <c r="AS59" s="1083">
        <f>IFERROR('8_2.1.19 SIS'!AS59/'8_2.1.19 SIS'!AS$76*AS$4,0)</f>
        <v>0</v>
      </c>
      <c r="AT59" s="1083">
        <f>IFERROR([16]Base!AT59/[16]Base!AT$76*AT$4,0)</f>
        <v>4494.953125</v>
      </c>
      <c r="AU59" s="1083">
        <f>IFERROR([16]Base!AU59/[16]Base!AU$76*AU$4,0)</f>
        <v>19262.297712315889</v>
      </c>
      <c r="AV59" s="1084">
        <f t="shared" si="3"/>
        <v>2696818.5034688949</v>
      </c>
      <c r="AW59" s="1083">
        <f>IFERROR([16]Base!AW59/[16]Base!AW$76*AW$4,0)</f>
        <v>0</v>
      </c>
      <c r="AX59" s="1083">
        <f>IFERROR([16]Base!AX59/[16]Base!AX$76*AX$4,0)</f>
        <v>0</v>
      </c>
      <c r="AY59" s="1083">
        <f>IFERROR([16]Base!AY59/[16]Base!AY$76*AY$4,0)</f>
        <v>0</v>
      </c>
      <c r="AZ59" s="1083">
        <f>IFERROR([16]Base!AZ59/[16]Base!AZ$76*AZ$4,0)</f>
        <v>0</v>
      </c>
      <c r="BA59" s="1083">
        <f>IFERROR([16]Base!BA59/[16]Base!BA$76*BA$4,0)</f>
        <v>0</v>
      </c>
      <c r="BB59" s="1083">
        <f>IFERROR([16]Base!BB59/[16]Base!BB$76*BB$4,0)</f>
        <v>187.03728070175438</v>
      </c>
      <c r="BC59" s="1083">
        <f>IFERROR([16]Base!BC59/[16]Base!BC$76*BC$4,0)</f>
        <v>0</v>
      </c>
      <c r="BD59" s="1083">
        <f>IFERROR([16]Base!BD59/[16]Base!BD$76*BD$4,0)</f>
        <v>0</v>
      </c>
      <c r="BE59" s="1083">
        <f>IFERROR([16]Base!BE59/[16]Base!BE$76*BE$4,0)</f>
        <v>0</v>
      </c>
      <c r="BF59" s="1083">
        <f>IFERROR([16]Base!BF59/[16]Base!BF$76*BF$4,0)</f>
        <v>2675.9944134078214</v>
      </c>
      <c r="BG59" s="1083">
        <f>IFERROR([16]Base!BG59/[16]Base!BG$76*BG$4,0)</f>
        <v>3094.735042735043</v>
      </c>
      <c r="BH59" s="1083">
        <f>IFERROR([16]Base!BH59/[16]Base!BH$76*BH$4,0)</f>
        <v>439.4450867052023</v>
      </c>
      <c r="BI59" s="1083">
        <f t="shared" si="2"/>
        <v>2703215.7152924445</v>
      </c>
    </row>
    <row r="60" spans="1:61" s="270" customFormat="1" ht="16.149999999999999" customHeight="1" x14ac:dyDescent="0.2">
      <c r="A60" s="275" t="s">
        <v>204</v>
      </c>
      <c r="B60" s="260" t="s">
        <v>205</v>
      </c>
      <c r="C60" s="1083">
        <f>'3B_Pay Raise'!O60</f>
        <v>83421</v>
      </c>
      <c r="D60" s="1083"/>
      <c r="E60" s="1083">
        <f>IFERROR([16]Base!E60/[16]Base!E$76*E$4,0)</f>
        <v>0</v>
      </c>
      <c r="F60" s="1083">
        <f>IFERROR([16]Base!F60/[16]Base!F$76*F$4,0)</f>
        <v>0</v>
      </c>
      <c r="G60" s="1083">
        <f>IFERROR([16]Base!G60/[16]Base!G$76*G$4,0)</f>
        <v>0</v>
      </c>
      <c r="H60" s="1083">
        <f>IFERROR([16]Base!H60/[16]Base!H$76*H$4,0)</f>
        <v>0</v>
      </c>
      <c r="I60" s="1083">
        <f>IFERROR([16]Base!I60/[16]Base!I$76*I$4,0)</f>
        <v>0</v>
      </c>
      <c r="J60" s="1083">
        <f>IFERROR([16]Base!J60/[16]Base!J$76*J$4,0)</f>
        <v>0</v>
      </c>
      <c r="K60" s="1083">
        <f>IFERROR([16]Base!K60/[16]Base!K$76*K$4,0)</f>
        <v>0</v>
      </c>
      <c r="L60" s="1083">
        <f>IFERROR([16]Base!L60/[16]Base!L$76*L$4,0)</f>
        <v>0</v>
      </c>
      <c r="M60" s="1083">
        <f>IFERROR([16]Base!M60/[16]Base!M$76*M$4,0)</f>
        <v>0</v>
      </c>
      <c r="N60" s="1083">
        <f>IFERROR([16]Base!N60/[16]Base!N$76*N$4,0)</f>
        <v>0</v>
      </c>
      <c r="O60" s="1083">
        <f>IFERROR([16]Base!O60/[16]Base!O$76*O$4,0)</f>
        <v>0</v>
      </c>
      <c r="P60" s="1083">
        <f>IFERROR([16]Base!P60/[16]Base!P$76*P$4,0)</f>
        <v>5644.0822784810134</v>
      </c>
      <c r="Q60" s="1083">
        <f>IFERROR([16]Base!Q60/[16]Base!Q$76*Q$4,0)</f>
        <v>0</v>
      </c>
      <c r="R60" s="1083"/>
      <c r="S60" s="1083">
        <f>IFERROR([16]Base!S60/[16]Base!S$76*S$4,0)</f>
        <v>0</v>
      </c>
      <c r="T60" s="1083">
        <f>IFERROR([16]Base!T60/[16]Base!T$76*T$4,0)</f>
        <v>0</v>
      </c>
      <c r="U60" s="1083">
        <f>IFERROR([16]Base!U60/[16]Base!U$76*U$4,0)</f>
        <v>0</v>
      </c>
      <c r="V60" s="1083">
        <f>IFERROR([16]Base!V60/[16]Base!V$76*V$4,0)</f>
        <v>0</v>
      </c>
      <c r="W60" s="1083">
        <f>IFERROR([16]Base!W60/[16]Base!W$76*W$4,0)</f>
        <v>0</v>
      </c>
      <c r="X60" s="1083">
        <f>IFERROR([16]Base!X60/[16]Base!X$76*X$4,0)</f>
        <v>0</v>
      </c>
      <c r="Y60" s="1083">
        <f>IFERROR([16]Base!Y60/[16]Base!Y$76*Y$4,0)</f>
        <v>0</v>
      </c>
      <c r="Z60" s="1083"/>
      <c r="AA60" s="1083">
        <f>IFERROR([16]Base!AA60/[16]Base!AA$76*AA$4,0)</f>
        <v>0</v>
      </c>
      <c r="AB60" s="1083">
        <f>IFERROR([16]Base!AB60/[16]Base!AB$76*AB$4,0)</f>
        <v>0</v>
      </c>
      <c r="AC60" s="1083"/>
      <c r="AD60" s="1083"/>
      <c r="AE60" s="1083"/>
      <c r="AF60" s="1083">
        <f>IFERROR([16]Base!AF60/[16]Base!AF$76*AF$4,0)</f>
        <v>0</v>
      </c>
      <c r="AG60" s="1083">
        <f>IFERROR([16]Base!AG60/[16]Base!AG$76*AG$4,0)</f>
        <v>0</v>
      </c>
      <c r="AH60" s="1083">
        <f>IFERROR([16]Base!AH60/[16]Base!AH$76*AH$4,0)</f>
        <v>0</v>
      </c>
      <c r="AI60" s="1083">
        <f>IFERROR([16]Base!AI60/[16]Base!AI$76*AI$4,0)</f>
        <v>0</v>
      </c>
      <c r="AJ60" s="1083">
        <f>IFERROR([16]Base!AJ60/[16]Base!AJ$76*AJ$4,0)</f>
        <v>0</v>
      </c>
      <c r="AK60" s="1083">
        <f>IFERROR([16]Base!AK60/[16]Base!AK$76*AK$4,0)</f>
        <v>0</v>
      </c>
      <c r="AL60" s="1083">
        <f>IFERROR([16]Base!AL60/[16]Base!AL$76*AL$4,0)</f>
        <v>0</v>
      </c>
      <c r="AM60" s="1083">
        <f>IFERROR([16]Base!AM60/[16]Base!AM$76*AM$4,0)</f>
        <v>0</v>
      </c>
      <c r="AN60" s="1083">
        <f>IFERROR([16]Base!AN60/[16]Base!AN$76*AN$4,0)</f>
        <v>0</v>
      </c>
      <c r="AO60" s="1083">
        <f>IFERROR('8_2.1.19 SIS'!AO60/'8_2.1.19 SIS'!AO$76*AO$4,0)</f>
        <v>0</v>
      </c>
      <c r="AP60" s="1083">
        <f>IFERROR('8_2.1.19 SIS'!AP60/'8_2.1.19 SIS'!AP$76*AP$4,0)</f>
        <v>0</v>
      </c>
      <c r="AQ60" s="1083">
        <f>IFERROR('8_2.1.19 SIS'!AQ60/'8_2.1.19 SIS'!AQ$76*AQ$4,0)</f>
        <v>0</v>
      </c>
      <c r="AR60" s="1083">
        <f>IFERROR('8_2.1.19 SIS'!AR60/'8_2.1.19 SIS'!AR$76*AR$4,0)</f>
        <v>0</v>
      </c>
      <c r="AS60" s="1083">
        <f>IFERROR('8_2.1.19 SIS'!AS60/'8_2.1.19 SIS'!AS$76*AS$4,0)</f>
        <v>0</v>
      </c>
      <c r="AT60" s="1083">
        <f>IFERROR([16]Base!AT60/[16]Base!AT$76*AT$4,0)</f>
        <v>288.13802083333331</v>
      </c>
      <c r="AU60" s="1083">
        <f>IFERROR([16]Base!AU60/[16]Base!AU$76*AU$4,0)</f>
        <v>786.2162331557505</v>
      </c>
      <c r="AV60" s="1084">
        <f t="shared" si="3"/>
        <v>90139.436532470092</v>
      </c>
      <c r="AW60" s="1083">
        <f>IFERROR([16]Base!AW60/[16]Base!AW$76*AW$4,0)</f>
        <v>0</v>
      </c>
      <c r="AX60" s="1083">
        <f>IFERROR([16]Base!AX60/[16]Base!AX$76*AX$4,0)</f>
        <v>0</v>
      </c>
      <c r="AY60" s="1083">
        <f>IFERROR([16]Base!AY60/[16]Base!AY$76*AY$4,0)</f>
        <v>0</v>
      </c>
      <c r="AZ60" s="1083">
        <f>IFERROR([16]Base!AZ60/[16]Base!AZ$76*AZ$4,0)</f>
        <v>0</v>
      </c>
      <c r="BA60" s="1083">
        <f>IFERROR([16]Base!BA60/[16]Base!BA$76*BA$4,0)</f>
        <v>1848.2624113475179</v>
      </c>
      <c r="BB60" s="1083">
        <f>IFERROR([16]Base!BB60/[16]Base!BB$76*BB$4,0)</f>
        <v>0</v>
      </c>
      <c r="BC60" s="1083">
        <f>IFERROR([16]Base!BC60/[16]Base!BC$76*BC$4,0)</f>
        <v>0</v>
      </c>
      <c r="BD60" s="1083">
        <f>IFERROR([16]Base!BD60/[16]Base!BD$76*BD$4,0)</f>
        <v>0</v>
      </c>
      <c r="BE60" s="1083">
        <f>IFERROR([16]Base!BE60/[16]Base!BE$76*BE$4,0)</f>
        <v>0</v>
      </c>
      <c r="BF60" s="1083">
        <f>IFERROR([16]Base!BF60/[16]Base!BF$76*BF$4,0)</f>
        <v>0</v>
      </c>
      <c r="BG60" s="1083">
        <f>IFERROR([16]Base!BG60/[16]Base!BG$76*BG$4,0)</f>
        <v>0</v>
      </c>
      <c r="BH60" s="1083">
        <f>IFERROR([16]Base!BH60/[16]Base!BH$76*BH$4,0)</f>
        <v>0</v>
      </c>
      <c r="BI60" s="1083">
        <f t="shared" si="2"/>
        <v>91987.69894381761</v>
      </c>
    </row>
    <row r="61" spans="1:61" s="270" customFormat="1" ht="16.149999999999999" customHeight="1" x14ac:dyDescent="0.2">
      <c r="A61" s="277" t="s">
        <v>123</v>
      </c>
      <c r="B61" s="262" t="s">
        <v>206</v>
      </c>
      <c r="C61" s="1085">
        <f>'3B_Pay Raise'!O61</f>
        <v>2195995</v>
      </c>
      <c r="D61" s="1085"/>
      <c r="E61" s="1085">
        <f>IFERROR([16]Base!E61/[16]Base!E$76*E$4,0)</f>
        <v>0</v>
      </c>
      <c r="F61" s="1085">
        <f>IFERROR([16]Base!F61/[16]Base!F$76*F$4,0)</f>
        <v>0</v>
      </c>
      <c r="G61" s="1085">
        <f>IFERROR([16]Base!G61/[16]Base!G$76*G$4,0)</f>
        <v>0</v>
      </c>
      <c r="H61" s="1085">
        <f>IFERROR([16]Base!H61/[16]Base!H$76*H$4,0)</f>
        <v>0</v>
      </c>
      <c r="I61" s="1085">
        <f>IFERROR([16]Base!I61/[16]Base!I$76*I$4,0)</f>
        <v>0</v>
      </c>
      <c r="J61" s="1085">
        <f>IFERROR([16]Base!J61/[16]Base!J$76*J$4,0)</f>
        <v>0</v>
      </c>
      <c r="K61" s="1085">
        <f>IFERROR([16]Base!K61/[16]Base!K$76*K$4,0)</f>
        <v>0</v>
      </c>
      <c r="L61" s="1085">
        <f>IFERROR([16]Base!L61/[16]Base!L$76*L$4,0)</f>
        <v>0</v>
      </c>
      <c r="M61" s="1085">
        <f>IFERROR([16]Base!M61/[16]Base!M$76*M$4,0)</f>
        <v>0</v>
      </c>
      <c r="N61" s="1085">
        <f>IFERROR([16]Base!N61/[16]Base!N$76*N$4,0)</f>
        <v>0</v>
      </c>
      <c r="O61" s="1085">
        <f>IFERROR([16]Base!O61/[16]Base!O$76*O$4,0)</f>
        <v>0</v>
      </c>
      <c r="P61" s="1085">
        <f>IFERROR([16]Base!P61/[16]Base!P$76*P$4,0)</f>
        <v>0</v>
      </c>
      <c r="Q61" s="1085">
        <f>IFERROR([16]Base!Q61/[16]Base!Q$76*Q$4,0)</f>
        <v>0</v>
      </c>
      <c r="R61" s="1085"/>
      <c r="S61" s="1085">
        <f>IFERROR([16]Base!S61/[16]Base!S$76*S$4,0)</f>
        <v>0</v>
      </c>
      <c r="T61" s="1085">
        <f>IFERROR([16]Base!T61/[16]Base!T$76*T$4,0)</f>
        <v>5341.5714285714284</v>
      </c>
      <c r="U61" s="1085">
        <f>IFERROR([16]Base!U61/[16]Base!U$76*U$4,0)</f>
        <v>0</v>
      </c>
      <c r="V61" s="1085">
        <f>IFERROR([16]Base!V61/[16]Base!V$76*V$4,0)</f>
        <v>0</v>
      </c>
      <c r="W61" s="1085">
        <f>IFERROR([16]Base!W61/[16]Base!W$76*W$4,0)</f>
        <v>0</v>
      </c>
      <c r="X61" s="1085">
        <f>IFERROR([16]Base!X61/[16]Base!X$76*X$4,0)</f>
        <v>0</v>
      </c>
      <c r="Y61" s="1085">
        <f>IFERROR([16]Base!Y61/[16]Base!Y$76*Y$4,0)</f>
        <v>0</v>
      </c>
      <c r="Z61" s="1085"/>
      <c r="AA61" s="1085">
        <f>IFERROR([16]Base!AA61/[16]Base!AA$76*AA$4,0)</f>
        <v>0</v>
      </c>
      <c r="AB61" s="1085">
        <f>IFERROR([16]Base!AB61/[16]Base!AB$76*AB$4,0)</f>
        <v>0</v>
      </c>
      <c r="AC61" s="1085"/>
      <c r="AD61" s="1085"/>
      <c r="AE61" s="1085"/>
      <c r="AF61" s="1085">
        <f>IFERROR([16]Base!AF61/[16]Base!AF$76*AF$4,0)</f>
        <v>0</v>
      </c>
      <c r="AG61" s="1085">
        <f>IFERROR([16]Base!AG61/[16]Base!AG$76*AG$4,0)</f>
        <v>0</v>
      </c>
      <c r="AH61" s="1085">
        <f>IFERROR([16]Base!AH61/[16]Base!AH$76*AH$4,0)</f>
        <v>0</v>
      </c>
      <c r="AI61" s="1085">
        <f>IFERROR([16]Base!AI61/[16]Base!AI$76*AI$4,0)</f>
        <v>0</v>
      </c>
      <c r="AJ61" s="1085">
        <f>IFERROR([16]Base!AJ61/[16]Base!AJ$76*AJ$4,0)</f>
        <v>0</v>
      </c>
      <c r="AK61" s="1085">
        <f>IFERROR([16]Base!AK61/[16]Base!AK$76*AK$4,0)</f>
        <v>0</v>
      </c>
      <c r="AL61" s="1085">
        <f>IFERROR([16]Base!AL61/[16]Base!AL$76*AL$4,0)</f>
        <v>0</v>
      </c>
      <c r="AM61" s="1085">
        <f>IFERROR([16]Base!AM61/[16]Base!AM$76*AM$4,0)</f>
        <v>0</v>
      </c>
      <c r="AN61" s="1085">
        <f>IFERROR([16]Base!AN61/[16]Base!AN$76*AN$4,0)</f>
        <v>0</v>
      </c>
      <c r="AO61" s="1085">
        <f>IFERROR('8_2.1.19 SIS'!AO61/'8_2.1.19 SIS'!AO$76*AO$4,0)</f>
        <v>0</v>
      </c>
      <c r="AP61" s="1085">
        <f>IFERROR('8_2.1.19 SIS'!AP61/'8_2.1.19 SIS'!AP$76*AP$4,0)</f>
        <v>0</v>
      </c>
      <c r="AQ61" s="1085">
        <f>IFERROR('8_2.1.19 SIS'!AQ61/'8_2.1.19 SIS'!AQ$76*AQ$4,0)</f>
        <v>0</v>
      </c>
      <c r="AR61" s="1085">
        <f>IFERROR('8_2.1.19 SIS'!AR61/'8_2.1.19 SIS'!AR$76*AR$4,0)</f>
        <v>0</v>
      </c>
      <c r="AS61" s="1085">
        <f>IFERROR('8_2.1.19 SIS'!AS61/'8_2.1.19 SIS'!AS$76*AS$4,0)</f>
        <v>0</v>
      </c>
      <c r="AT61" s="1085">
        <f>IFERROR([16]Base!AT61/[16]Base!AT$76*AT$4,0)</f>
        <v>3400.028645833333</v>
      </c>
      <c r="AU61" s="1085">
        <f>IFERROR([16]Base!AU61/[16]Base!AU$76*AU$4,0)</f>
        <v>10908.750235036039</v>
      </c>
      <c r="AV61" s="1086">
        <f t="shared" si="3"/>
        <v>2215645.3503094409</v>
      </c>
      <c r="AW61" s="1085">
        <f>IFERROR([16]Base!AW61/[16]Base!AW$76*AW$4,0)</f>
        <v>0</v>
      </c>
      <c r="AX61" s="1085">
        <f>IFERROR([16]Base!AX61/[16]Base!AX$76*AX$4,0)</f>
        <v>0</v>
      </c>
      <c r="AY61" s="1085">
        <f>IFERROR([16]Base!AY61/[16]Base!AY$76*AY$4,0)</f>
        <v>0</v>
      </c>
      <c r="AZ61" s="1085">
        <f>IFERROR([16]Base!AZ61/[16]Base!AZ$76*AZ$4,0)</f>
        <v>0</v>
      </c>
      <c r="BA61" s="1085">
        <f>IFERROR([16]Base!BA61/[16]Base!BA$76*BA$4,0)</f>
        <v>0</v>
      </c>
      <c r="BB61" s="1085">
        <f>IFERROR([16]Base!BB61/[16]Base!BB$76*BB$4,0)</f>
        <v>0</v>
      </c>
      <c r="BC61" s="1085">
        <f>IFERROR([16]Base!BC61/[16]Base!BC$76*BC$4,0)</f>
        <v>8749.5</v>
      </c>
      <c r="BD61" s="1085">
        <f>IFERROR([16]Base!BD61/[16]Base!BD$76*BD$4,0)</f>
        <v>0</v>
      </c>
      <c r="BE61" s="1085">
        <f>IFERROR([16]Base!BE61/[16]Base!BE$76*BE$4,0)</f>
        <v>0</v>
      </c>
      <c r="BF61" s="1085">
        <f>IFERROR([16]Base!BF61/[16]Base!BF$76*BF$4,0)</f>
        <v>1529.1396648044692</v>
      </c>
      <c r="BG61" s="1085">
        <f>IFERROR([16]Base!BG61/[16]Base!BG$76*BG$4,0)</f>
        <v>0</v>
      </c>
      <c r="BH61" s="1087">
        <f>IFERROR([16]Base!BH61/[16]Base!BH$76*BH$4,0)</f>
        <v>0</v>
      </c>
      <c r="BI61" s="1085">
        <f t="shared" si="2"/>
        <v>2225923.9899742454</v>
      </c>
    </row>
    <row r="62" spans="1:61" s="270" customFormat="1" ht="16.149999999999999" customHeight="1" x14ac:dyDescent="0.2">
      <c r="A62" s="273" t="s">
        <v>124</v>
      </c>
      <c r="B62" s="264" t="s">
        <v>207</v>
      </c>
      <c r="C62" s="1079">
        <f>'3B_Pay Raise'!O62</f>
        <v>275889</v>
      </c>
      <c r="D62" s="1079"/>
      <c r="E62" s="1079">
        <f>IFERROR([16]Base!E62/[16]Base!E$76*E$4,0)</f>
        <v>0</v>
      </c>
      <c r="F62" s="1079">
        <f>IFERROR([16]Base!F62/[16]Base!F$76*F$4,0)</f>
        <v>96717.122824974416</v>
      </c>
      <c r="G62" s="1079">
        <f>IFERROR([16]Base!G62/[16]Base!G$76*G$4,0)</f>
        <v>0</v>
      </c>
      <c r="H62" s="1079">
        <f>IFERROR([16]Base!H62/[16]Base!H$76*H$4,0)</f>
        <v>0</v>
      </c>
      <c r="I62" s="1079">
        <f>IFERROR([16]Base!I62/[16]Base!I$76*I$4,0)</f>
        <v>0</v>
      </c>
      <c r="J62" s="1079">
        <f>IFERROR([16]Base!J62/[16]Base!J$76*J$4,0)</f>
        <v>0</v>
      </c>
      <c r="K62" s="1079">
        <f>IFERROR([16]Base!K62/[16]Base!K$76*K$4,0)</f>
        <v>0</v>
      </c>
      <c r="L62" s="1079">
        <f>IFERROR([16]Base!L62/[16]Base!L$76*L$4,0)</f>
        <v>0</v>
      </c>
      <c r="M62" s="1079">
        <f>IFERROR([16]Base!M62/[16]Base!M$76*M$4,0)</f>
        <v>0</v>
      </c>
      <c r="N62" s="1079">
        <f>IFERROR([16]Base!N62/[16]Base!N$76*N$4,0)</f>
        <v>0</v>
      </c>
      <c r="O62" s="1079">
        <f>IFERROR([16]Base!O62/[16]Base!O$76*O$4,0)</f>
        <v>0</v>
      </c>
      <c r="P62" s="1079">
        <f>IFERROR([16]Base!P62/[16]Base!P$76*P$4,0)</f>
        <v>0</v>
      </c>
      <c r="Q62" s="1079">
        <f>IFERROR([16]Base!Q62/[16]Base!Q$76*Q$4,0)</f>
        <v>0</v>
      </c>
      <c r="R62" s="1079"/>
      <c r="S62" s="1079">
        <f>IFERROR([16]Base!S62/[16]Base!S$76*S$4,0)</f>
        <v>0</v>
      </c>
      <c r="T62" s="1079">
        <f>IFERROR([16]Base!T62/[16]Base!T$76*T$4,0)</f>
        <v>0</v>
      </c>
      <c r="U62" s="1079">
        <f>IFERROR([16]Base!U62/[16]Base!U$76*U$4,0)</f>
        <v>0</v>
      </c>
      <c r="V62" s="1079">
        <f>IFERROR([16]Base!V62/[16]Base!V$76*V$4,0)</f>
        <v>9640.9444444444434</v>
      </c>
      <c r="W62" s="1079">
        <f>IFERROR([16]Base!W62/[16]Base!W$76*W$4,0)</f>
        <v>0</v>
      </c>
      <c r="X62" s="1079">
        <f>IFERROR([16]Base!X62/[16]Base!X$76*X$4,0)</f>
        <v>0</v>
      </c>
      <c r="Y62" s="1079">
        <f>IFERROR([16]Base!Y62/[16]Base!Y$76*Y$4,0)</f>
        <v>0</v>
      </c>
      <c r="Z62" s="1079"/>
      <c r="AA62" s="1079">
        <f>IFERROR([16]Base!AA62/[16]Base!AA$76*AA$4,0)</f>
        <v>0</v>
      </c>
      <c r="AB62" s="1080">
        <f>IFERROR([16]Base!AB62/[16]Base!AB$76*AB$4,0)</f>
        <v>4304.2641509433961</v>
      </c>
      <c r="AC62" s="1080"/>
      <c r="AD62" s="1080"/>
      <c r="AE62" s="1080"/>
      <c r="AF62" s="1080">
        <f>IFERROR([16]Base!AF62/[16]Base!AF$76*AF$4,0)</f>
        <v>0</v>
      </c>
      <c r="AG62" s="1080">
        <f>IFERROR([16]Base!AG62/[16]Base!AG$76*AG$4,0)</f>
        <v>0</v>
      </c>
      <c r="AH62" s="1080">
        <f>IFERROR([16]Base!AH62/[16]Base!AH$76*AH$4,0)</f>
        <v>0</v>
      </c>
      <c r="AI62" s="1080">
        <f>IFERROR([16]Base!AI62/[16]Base!AI$76*AI$4,0)</f>
        <v>0</v>
      </c>
      <c r="AJ62" s="1080">
        <f>IFERROR([16]Base!AJ62/[16]Base!AJ$76*AJ$4,0)</f>
        <v>0</v>
      </c>
      <c r="AK62" s="1080">
        <f>IFERROR([16]Base!AK62/[16]Base!AK$76*AK$4,0)</f>
        <v>0</v>
      </c>
      <c r="AL62" s="1080">
        <f>IFERROR([16]Base!AL62/[16]Base!AL$76*AL$4,0)</f>
        <v>0</v>
      </c>
      <c r="AM62" s="1080">
        <f>IFERROR([16]Base!AM62/[16]Base!AM$76*AM$4,0)</f>
        <v>0</v>
      </c>
      <c r="AN62" s="1080">
        <f>IFERROR([16]Base!AN62/[16]Base!AN$76*AN$4,0)</f>
        <v>0</v>
      </c>
      <c r="AO62" s="1080">
        <f>IFERROR('8_2.1.19 SIS'!AO62/'8_2.1.19 SIS'!AO$76*AO$4,0)</f>
        <v>0</v>
      </c>
      <c r="AP62" s="1080">
        <f>IFERROR('8_2.1.19 SIS'!AP62/'8_2.1.19 SIS'!AP$76*AP$4,0)</f>
        <v>0</v>
      </c>
      <c r="AQ62" s="1080">
        <f>IFERROR('8_2.1.19 SIS'!AQ62/'8_2.1.19 SIS'!AQ$76*AQ$4,0)</f>
        <v>0</v>
      </c>
      <c r="AR62" s="1080">
        <f>IFERROR('8_2.1.19 SIS'!AR62/'8_2.1.19 SIS'!AR$76*AR$4,0)</f>
        <v>0</v>
      </c>
      <c r="AS62" s="1080">
        <f>IFERROR('8_2.1.19 SIS'!AS62/'8_2.1.19 SIS'!AS$76*AS$4,0)</f>
        <v>0</v>
      </c>
      <c r="AT62" s="1079">
        <f>IFERROR([16]Base!AT62/[16]Base!AT$76*AT$4,0)</f>
        <v>461.02083333333331</v>
      </c>
      <c r="AU62" s="1079">
        <f>IFERROR([16]Base!AU62/[16]Base!AU$76*AU$4,0)</f>
        <v>982.77029144468816</v>
      </c>
      <c r="AV62" s="1081">
        <f t="shared" si="3"/>
        <v>387995.12254514021</v>
      </c>
      <c r="AW62" s="1079">
        <f>IFERROR([16]Base!AW62/[16]Base!AW$76*AW$4,0)</f>
        <v>100.18959107806691</v>
      </c>
      <c r="AX62" s="1079">
        <f>IFERROR([16]Base!AX62/[16]Base!AX$76*AX$4,0)</f>
        <v>0</v>
      </c>
      <c r="AY62" s="1079">
        <f>IFERROR([16]Base!AY62/[16]Base!AY$76*AY$4,0)</f>
        <v>0</v>
      </c>
      <c r="AZ62" s="1079">
        <f>IFERROR([16]Base!AZ62/[16]Base!AZ$76*AZ$4,0)</f>
        <v>0</v>
      </c>
      <c r="BA62" s="1079">
        <f>IFERROR([16]Base!BA62/[16]Base!BA$76*BA$4,0)</f>
        <v>0</v>
      </c>
      <c r="BB62" s="1079">
        <f>IFERROR([16]Base!BB62/[16]Base!BB$76*BB$4,0)</f>
        <v>0</v>
      </c>
      <c r="BC62" s="1079">
        <f>IFERROR([16]Base!BC62/[16]Base!BC$76*BC$4,0)</f>
        <v>0</v>
      </c>
      <c r="BD62" s="1079">
        <f>IFERROR([16]Base!BD62/[16]Base!BD$76*BD$4,0)</f>
        <v>0</v>
      </c>
      <c r="BE62" s="1079">
        <f>IFERROR([16]Base!BE62/[16]Base!BE$76*BE$4,0)</f>
        <v>0</v>
      </c>
      <c r="BF62" s="1079">
        <f>IFERROR([16]Base!BF62/[16]Base!BF$76*BF$4,0)</f>
        <v>191.14245810055866</v>
      </c>
      <c r="BG62" s="1079">
        <f>IFERROR([16]Base!BG62/[16]Base!BG$76*BG$4,0)</f>
        <v>0</v>
      </c>
      <c r="BH62" s="1082">
        <f>IFERROR([16]Base!BH62/[16]Base!BH$76*BH$4,0)</f>
        <v>0</v>
      </c>
      <c r="BI62" s="1079">
        <f t="shared" si="2"/>
        <v>388286.45459431887</v>
      </c>
    </row>
    <row r="63" spans="1:61" s="270" customFormat="1" ht="16.149999999999999" customHeight="1" x14ac:dyDescent="0.2">
      <c r="A63" s="275" t="s">
        <v>125</v>
      </c>
      <c r="B63" s="260" t="s">
        <v>208</v>
      </c>
      <c r="C63" s="1083">
        <f>'3B_Pay Raise'!O63</f>
        <v>1270318</v>
      </c>
      <c r="D63" s="1083"/>
      <c r="E63" s="1083">
        <f>IFERROR([16]Base!E63/[16]Base!E$76*E$4,0)</f>
        <v>0</v>
      </c>
      <c r="F63" s="1083">
        <f>IFERROR([16]Base!F63/[16]Base!F$76*F$4,0)</f>
        <v>0</v>
      </c>
      <c r="G63" s="1083">
        <f>IFERROR([16]Base!G63/[16]Base!G$76*G$4,0)</f>
        <v>0</v>
      </c>
      <c r="H63" s="1083">
        <f>IFERROR([16]Base!H63/[16]Base!H$76*H$4,0)</f>
        <v>0</v>
      </c>
      <c r="I63" s="1083">
        <f>IFERROR([16]Base!I63/[16]Base!I$76*I$4,0)</f>
        <v>0</v>
      </c>
      <c r="J63" s="1083">
        <f>IFERROR([16]Base!J63/[16]Base!J$76*J$4,0)</f>
        <v>0</v>
      </c>
      <c r="K63" s="1083">
        <f>IFERROR([16]Base!K63/[16]Base!K$76*K$4,0)</f>
        <v>0</v>
      </c>
      <c r="L63" s="1083">
        <f>IFERROR([16]Base!L63/[16]Base!L$76*L$4,0)</f>
        <v>0</v>
      </c>
      <c r="M63" s="1083">
        <f>IFERROR([16]Base!M63/[16]Base!M$76*M$4,0)</f>
        <v>0</v>
      </c>
      <c r="N63" s="1083">
        <f>IFERROR([16]Base!N63/[16]Base!N$76*N$4,0)</f>
        <v>0</v>
      </c>
      <c r="O63" s="1083">
        <f>IFERROR([16]Base!O63/[16]Base!O$76*O$4,0)</f>
        <v>0</v>
      </c>
      <c r="P63" s="1083">
        <f>IFERROR([16]Base!P63/[16]Base!P$76*P$4,0)</f>
        <v>0</v>
      </c>
      <c r="Q63" s="1083">
        <f>IFERROR([16]Base!Q63/[16]Base!Q$76*Q$4,0)</f>
        <v>0</v>
      </c>
      <c r="R63" s="1083"/>
      <c r="S63" s="1083">
        <f>IFERROR([16]Base!S63/[16]Base!S$76*S$4,0)</f>
        <v>0</v>
      </c>
      <c r="T63" s="1083">
        <f>IFERROR([16]Base!T63/[16]Base!T$76*T$4,0)</f>
        <v>0</v>
      </c>
      <c r="U63" s="1083">
        <f>IFERROR([16]Base!U63/[16]Base!U$76*U$4,0)</f>
        <v>0</v>
      </c>
      <c r="V63" s="1083">
        <f>IFERROR([16]Base!V63/[16]Base!V$76*V$4,0)</f>
        <v>0</v>
      </c>
      <c r="W63" s="1083">
        <f>IFERROR([16]Base!W63/[16]Base!W$76*W$4,0)</f>
        <v>2718.8035714285716</v>
      </c>
      <c r="X63" s="1083">
        <f>IFERROR([16]Base!X63/[16]Base!X$76*X$4,0)</f>
        <v>406.40653728294177</v>
      </c>
      <c r="Y63" s="1083">
        <f>IFERROR([16]Base!Y63/[16]Base!Y$76*Y$4,0)</f>
        <v>0</v>
      </c>
      <c r="Z63" s="1083"/>
      <c r="AA63" s="1083">
        <f>IFERROR([16]Base!AA63/[16]Base!AA$76*AA$4,0)</f>
        <v>0</v>
      </c>
      <c r="AB63" s="1083">
        <f>IFERROR([16]Base!AB63/[16]Base!AB$76*AB$4,0)</f>
        <v>0</v>
      </c>
      <c r="AC63" s="1083"/>
      <c r="AD63" s="1083"/>
      <c r="AE63" s="1083"/>
      <c r="AF63" s="1083">
        <f>IFERROR([16]Base!AF63/[16]Base!AF$76*AF$4,0)</f>
        <v>0</v>
      </c>
      <c r="AG63" s="1083">
        <f>IFERROR([16]Base!AG63/[16]Base!AG$76*AG$4,0)</f>
        <v>0</v>
      </c>
      <c r="AH63" s="1083">
        <f>IFERROR([16]Base!AH63/[16]Base!AH$76*AH$4,0)</f>
        <v>371.76470588235293</v>
      </c>
      <c r="AI63" s="1083">
        <f>IFERROR([16]Base!AI63/[16]Base!AI$76*AI$4,0)</f>
        <v>0</v>
      </c>
      <c r="AJ63" s="1083">
        <f>IFERROR([16]Base!AJ63/[16]Base!AJ$76*AJ$4,0)</f>
        <v>0</v>
      </c>
      <c r="AK63" s="1083">
        <f>IFERROR([16]Base!AK63/[16]Base!AK$76*AK$4,0)</f>
        <v>0</v>
      </c>
      <c r="AL63" s="1083">
        <f>IFERROR([16]Base!AL63/[16]Base!AL$76*AL$4,0)</f>
        <v>0</v>
      </c>
      <c r="AM63" s="1083">
        <f>IFERROR([16]Base!AM63/[16]Base!AM$76*AM$4,0)</f>
        <v>0</v>
      </c>
      <c r="AN63" s="1083">
        <f>IFERROR([16]Base!AN63/[16]Base!AN$76*AN$4,0)</f>
        <v>0</v>
      </c>
      <c r="AO63" s="1083">
        <f>IFERROR('8_2.1.19 SIS'!AO63/'8_2.1.19 SIS'!AO$76*AO$4,0)</f>
        <v>0</v>
      </c>
      <c r="AP63" s="1083">
        <f>IFERROR('8_2.1.19 SIS'!AP63/'8_2.1.19 SIS'!AP$76*AP$4,0)</f>
        <v>0</v>
      </c>
      <c r="AQ63" s="1083">
        <f>IFERROR('8_2.1.19 SIS'!AQ63/'8_2.1.19 SIS'!AQ$76*AQ$4,0)</f>
        <v>0</v>
      </c>
      <c r="AR63" s="1083">
        <f>IFERROR('8_2.1.19 SIS'!AR63/'8_2.1.19 SIS'!AR$76*AR$4,0)</f>
        <v>0</v>
      </c>
      <c r="AS63" s="1083">
        <f>IFERROR('8_2.1.19 SIS'!AS63/'8_2.1.19 SIS'!AS$76*AS$4,0)</f>
        <v>0</v>
      </c>
      <c r="AT63" s="1083">
        <f>IFERROR([16]Base!AT63/[16]Base!AT$76*AT$4,0)</f>
        <v>1555.9453125</v>
      </c>
      <c r="AU63" s="1083">
        <f>IFERROR([16]Base!AU63/[16]Base!AU$76*AU$4,0)</f>
        <v>1768.9865246004388</v>
      </c>
      <c r="AV63" s="1084">
        <f t="shared" si="3"/>
        <v>1277139.9066516946</v>
      </c>
      <c r="AW63" s="1083">
        <f>IFERROR([16]Base!AW63/[16]Base!AW$76*AW$4,0)</f>
        <v>0</v>
      </c>
      <c r="AX63" s="1083">
        <f>IFERROR([16]Base!AX63/[16]Base!AX$76*AX$4,0)</f>
        <v>0</v>
      </c>
      <c r="AY63" s="1083">
        <f>IFERROR([16]Base!AY63/[16]Base!AY$76*AY$4,0)</f>
        <v>0</v>
      </c>
      <c r="AZ63" s="1083">
        <f>IFERROR([16]Base!AZ63/[16]Base!AZ$76*AZ$4,0)</f>
        <v>0</v>
      </c>
      <c r="BA63" s="1083">
        <f>IFERROR([16]Base!BA63/[16]Base!BA$76*BA$4,0)</f>
        <v>0</v>
      </c>
      <c r="BB63" s="1083">
        <f>IFERROR([16]Base!BB63/[16]Base!BB$76*BB$4,0)</f>
        <v>0</v>
      </c>
      <c r="BC63" s="1083">
        <f>IFERROR([16]Base!BC63/[16]Base!BC$76*BC$4,0)</f>
        <v>0</v>
      </c>
      <c r="BD63" s="1083">
        <f>IFERROR([16]Base!BD63/[16]Base!BD$76*BD$4,0)</f>
        <v>0</v>
      </c>
      <c r="BE63" s="1083">
        <f>IFERROR([16]Base!BE63/[16]Base!BE$76*BE$4,0)</f>
        <v>0</v>
      </c>
      <c r="BF63" s="1083">
        <f>IFERROR([16]Base!BF63/[16]Base!BF$76*BF$4,0)</f>
        <v>382.28491620111731</v>
      </c>
      <c r="BG63" s="1083">
        <f>IFERROR([16]Base!BG63/[16]Base!BG$76*BG$4,0)</f>
        <v>0</v>
      </c>
      <c r="BH63" s="1083">
        <f>IFERROR([16]Base!BH63/[16]Base!BH$76*BH$4,0)</f>
        <v>0</v>
      </c>
      <c r="BI63" s="1083">
        <f t="shared" si="2"/>
        <v>1277522.1915678957</v>
      </c>
    </row>
    <row r="64" spans="1:61" s="270" customFormat="1" ht="16.149999999999999" customHeight="1" x14ac:dyDescent="0.2">
      <c r="A64" s="275" t="s">
        <v>209</v>
      </c>
      <c r="B64" s="260" t="s">
        <v>210</v>
      </c>
      <c r="C64" s="1083">
        <f>'3B_Pay Raise'!O64</f>
        <v>1150641</v>
      </c>
      <c r="D64" s="1083"/>
      <c r="E64" s="1083">
        <f>IFERROR([16]Base!E64/[16]Base!E$76*E$4,0)</f>
        <v>0</v>
      </c>
      <c r="F64" s="1083">
        <f>IFERROR([16]Base!F64/[16]Base!F$76*F$4,0)</f>
        <v>0</v>
      </c>
      <c r="G64" s="1083">
        <f>IFERROR([16]Base!G64/[16]Base!G$76*G$4,0)</f>
        <v>0</v>
      </c>
      <c r="H64" s="1083">
        <f>IFERROR([16]Base!H64/[16]Base!H$76*H$4,0)</f>
        <v>0</v>
      </c>
      <c r="I64" s="1083">
        <f>IFERROR([16]Base!I64/[16]Base!I$76*I$4,0)</f>
        <v>0</v>
      </c>
      <c r="J64" s="1083">
        <f>IFERROR([16]Base!J64/[16]Base!J$76*J$4,0)</f>
        <v>0</v>
      </c>
      <c r="K64" s="1083">
        <f>IFERROR([16]Base!K64/[16]Base!K$76*K$4,0)</f>
        <v>0</v>
      </c>
      <c r="L64" s="1083">
        <f>IFERROR([16]Base!L64/[16]Base!L$76*L$4,0)</f>
        <v>0</v>
      </c>
      <c r="M64" s="1083">
        <f>IFERROR([16]Base!M64/[16]Base!M$76*M$4,0)</f>
        <v>0</v>
      </c>
      <c r="N64" s="1083">
        <f>IFERROR([16]Base!N64/[16]Base!N$76*N$4,0)</f>
        <v>0</v>
      </c>
      <c r="O64" s="1083">
        <f>IFERROR([16]Base!O64/[16]Base!O$76*O$4,0)</f>
        <v>0</v>
      </c>
      <c r="P64" s="1083">
        <f>IFERROR([16]Base!P64/[16]Base!P$76*P$4,0)</f>
        <v>0</v>
      </c>
      <c r="Q64" s="1083">
        <f>IFERROR([16]Base!Q64/[16]Base!Q$76*Q$4,0)</f>
        <v>0</v>
      </c>
      <c r="R64" s="1083"/>
      <c r="S64" s="1083">
        <f>IFERROR([16]Base!S64/[16]Base!S$76*S$4,0)</f>
        <v>0</v>
      </c>
      <c r="T64" s="1083">
        <f>IFERROR([16]Base!T64/[16]Base!T$76*T$4,0)</f>
        <v>0</v>
      </c>
      <c r="U64" s="1083">
        <f>IFERROR([16]Base!U64/[16]Base!U$76*U$4,0)</f>
        <v>0</v>
      </c>
      <c r="V64" s="1083">
        <f>IFERROR([16]Base!V64/[16]Base!V$76*V$4,0)</f>
        <v>0</v>
      </c>
      <c r="W64" s="1083">
        <f>IFERROR([16]Base!W64/[16]Base!W$76*W$4,0)</f>
        <v>0</v>
      </c>
      <c r="X64" s="1083">
        <f>IFERROR([16]Base!X64/[16]Base!X$76*X$4,0)</f>
        <v>0</v>
      </c>
      <c r="Y64" s="1083">
        <f>IFERROR([16]Base!Y64/[16]Base!Y$76*Y$4,0)</f>
        <v>0</v>
      </c>
      <c r="Z64" s="1083"/>
      <c r="AA64" s="1083">
        <f>IFERROR([16]Base!AA64/[16]Base!AA$76*AA$4,0)</f>
        <v>0</v>
      </c>
      <c r="AB64" s="1083">
        <f>IFERROR([16]Base!AB64/[16]Base!AB$76*AB$4,0)</f>
        <v>0</v>
      </c>
      <c r="AC64" s="1083"/>
      <c r="AD64" s="1083"/>
      <c r="AE64" s="1083"/>
      <c r="AF64" s="1083">
        <f>IFERROR([16]Base!AF64/[16]Base!AF$76*AF$4,0)</f>
        <v>0</v>
      </c>
      <c r="AG64" s="1083">
        <f>IFERROR([16]Base!AG64/[16]Base!AG$76*AG$4,0)</f>
        <v>0</v>
      </c>
      <c r="AH64" s="1083">
        <f>IFERROR([16]Base!AH64/[16]Base!AH$76*AH$4,0)</f>
        <v>0</v>
      </c>
      <c r="AI64" s="1083">
        <f>IFERROR([16]Base!AI64/[16]Base!AI$76*AI$4,0)</f>
        <v>0</v>
      </c>
      <c r="AJ64" s="1083">
        <f>IFERROR([16]Base!AJ64/[16]Base!AJ$76*AJ$4,0)</f>
        <v>0</v>
      </c>
      <c r="AK64" s="1083">
        <f>IFERROR([16]Base!AK64/[16]Base!AK$76*AK$4,0)</f>
        <v>0</v>
      </c>
      <c r="AL64" s="1083">
        <f>IFERROR([16]Base!AL64/[16]Base!AL$76*AL$4,0)</f>
        <v>0</v>
      </c>
      <c r="AM64" s="1083">
        <f>IFERROR([16]Base!AM64/[16]Base!AM$76*AM$4,0)</f>
        <v>0</v>
      </c>
      <c r="AN64" s="1083">
        <f>IFERROR([16]Base!AN64/[16]Base!AN$76*AN$4,0)</f>
        <v>0</v>
      </c>
      <c r="AO64" s="1083">
        <f>IFERROR('8_2.1.19 SIS'!AO64/'8_2.1.19 SIS'!AO$76*AO$4,0)</f>
        <v>0</v>
      </c>
      <c r="AP64" s="1083">
        <f>IFERROR('8_2.1.19 SIS'!AP64/'8_2.1.19 SIS'!AP$76*AP$4,0)</f>
        <v>0</v>
      </c>
      <c r="AQ64" s="1083">
        <f>IFERROR('8_2.1.19 SIS'!AQ64/'8_2.1.19 SIS'!AQ$76*AQ$4,0)</f>
        <v>0</v>
      </c>
      <c r="AR64" s="1083">
        <f>IFERROR('8_2.1.19 SIS'!AR64/'8_2.1.19 SIS'!AR$76*AR$4,0)</f>
        <v>0</v>
      </c>
      <c r="AS64" s="1083">
        <f>IFERROR('8_2.1.19 SIS'!AS64/'8_2.1.19 SIS'!AS$76*AS$4,0)</f>
        <v>0</v>
      </c>
      <c r="AT64" s="1083">
        <f>IFERROR([16]Base!AT64/[16]Base!AT$76*AT$4,0)</f>
        <v>1325.4348958333335</v>
      </c>
      <c r="AU64" s="1083">
        <f>IFERROR([16]Base!AU64/[16]Base!AU$76*AU$4,0)</f>
        <v>1965.5405828893763</v>
      </c>
      <c r="AV64" s="1084">
        <f t="shared" si="3"/>
        <v>1153931.9754787227</v>
      </c>
      <c r="AW64" s="1083">
        <f>IFERROR([16]Base!AW64/[16]Base!AW$76*AW$4,0)</f>
        <v>0</v>
      </c>
      <c r="AX64" s="1083">
        <f>IFERROR([16]Base!AX64/[16]Base!AX$76*AX$4,0)</f>
        <v>0</v>
      </c>
      <c r="AY64" s="1083">
        <f>IFERROR([16]Base!AY64/[16]Base!AY$76*AY$4,0)</f>
        <v>0</v>
      </c>
      <c r="AZ64" s="1083">
        <f>IFERROR([16]Base!AZ64/[16]Base!AZ$76*AZ$4,0)</f>
        <v>0</v>
      </c>
      <c r="BA64" s="1083">
        <f>IFERROR([16]Base!BA64/[16]Base!BA$76*BA$4,0)</f>
        <v>0</v>
      </c>
      <c r="BB64" s="1083">
        <f>IFERROR([16]Base!BB64/[16]Base!BB$76*BB$4,0)</f>
        <v>0</v>
      </c>
      <c r="BC64" s="1083">
        <f>IFERROR([16]Base!BC64/[16]Base!BC$76*BC$4,0)</f>
        <v>0</v>
      </c>
      <c r="BD64" s="1083">
        <f>IFERROR([16]Base!BD64/[16]Base!BD$76*BD$4,0)</f>
        <v>0</v>
      </c>
      <c r="BE64" s="1083">
        <f>IFERROR([16]Base!BE64/[16]Base!BE$76*BE$4,0)</f>
        <v>0</v>
      </c>
      <c r="BF64" s="1083">
        <f>IFERROR([16]Base!BF64/[16]Base!BF$76*BF$4,0)</f>
        <v>1337.9972067039107</v>
      </c>
      <c r="BG64" s="1083">
        <f>IFERROR([16]Base!BG64/[16]Base!BG$76*BG$4,0)</f>
        <v>0</v>
      </c>
      <c r="BH64" s="1083">
        <f>IFERROR([16]Base!BH64/[16]Base!BH$76*BH$4,0)</f>
        <v>0</v>
      </c>
      <c r="BI64" s="1083">
        <f t="shared" si="2"/>
        <v>1155269.9726854267</v>
      </c>
    </row>
    <row r="65" spans="1:61" s="270" customFormat="1" ht="16.149999999999999" customHeight="1" x14ac:dyDescent="0.2">
      <c r="A65" s="275" t="s">
        <v>126</v>
      </c>
      <c r="B65" s="260" t="s">
        <v>211</v>
      </c>
      <c r="C65" s="1083">
        <f>'3B_Pay Raise'!O65</f>
        <v>741063</v>
      </c>
      <c r="D65" s="1083"/>
      <c r="E65" s="1083">
        <f>IFERROR([16]Base!E65/[16]Base!E$76*E$4,0)</f>
        <v>0</v>
      </c>
      <c r="F65" s="1083">
        <f>IFERROR([16]Base!F65/[16]Base!F$76*F$4,0)</f>
        <v>0</v>
      </c>
      <c r="G65" s="1083">
        <f>IFERROR([16]Base!G65/[16]Base!G$76*G$4,0)</f>
        <v>0</v>
      </c>
      <c r="H65" s="1083">
        <f>IFERROR([16]Base!H65/[16]Base!H$76*H$4,0)</f>
        <v>0</v>
      </c>
      <c r="I65" s="1083">
        <f>IFERROR([16]Base!I65/[16]Base!I$76*I$4,0)</f>
        <v>0</v>
      </c>
      <c r="J65" s="1083">
        <f>IFERROR([16]Base!J65/[16]Base!J$76*J$4,0)</f>
        <v>0</v>
      </c>
      <c r="K65" s="1083">
        <f>IFERROR([16]Base!K65/[16]Base!K$76*K$4,0)</f>
        <v>0</v>
      </c>
      <c r="L65" s="1083">
        <f>IFERROR([16]Base!L65/[16]Base!L$76*L$4,0)</f>
        <v>0</v>
      </c>
      <c r="M65" s="1083">
        <f>IFERROR([16]Base!M65/[16]Base!M$76*M$4,0)</f>
        <v>0</v>
      </c>
      <c r="N65" s="1083">
        <f>IFERROR([16]Base!N65/[16]Base!N$76*N$4,0)</f>
        <v>0</v>
      </c>
      <c r="O65" s="1083">
        <f>IFERROR([16]Base!O65/[16]Base!O$76*O$4,0)</f>
        <v>0</v>
      </c>
      <c r="P65" s="1083">
        <f>IFERROR([16]Base!P65/[16]Base!P$76*P$4,0)</f>
        <v>0</v>
      </c>
      <c r="Q65" s="1083">
        <f>IFERROR([16]Base!Q65/[16]Base!Q$76*Q$4,0)</f>
        <v>0</v>
      </c>
      <c r="R65" s="1083"/>
      <c r="S65" s="1083">
        <f>IFERROR([16]Base!S65/[16]Base!S$76*S$4,0)</f>
        <v>0</v>
      </c>
      <c r="T65" s="1083">
        <f>IFERROR([16]Base!T65/[16]Base!T$76*T$4,0)</f>
        <v>0</v>
      </c>
      <c r="U65" s="1083">
        <f>IFERROR([16]Base!U65/[16]Base!U$76*U$4,0)</f>
        <v>0</v>
      </c>
      <c r="V65" s="1083">
        <f>IFERROR([16]Base!V65/[16]Base!V$76*V$4,0)</f>
        <v>0</v>
      </c>
      <c r="W65" s="1083">
        <f>IFERROR([16]Base!W65/[16]Base!W$76*W$4,0)</f>
        <v>0</v>
      </c>
      <c r="X65" s="1083">
        <f>IFERROR([16]Base!X65/[16]Base!X$76*X$4,0)</f>
        <v>0</v>
      </c>
      <c r="Y65" s="1083">
        <f>IFERROR([16]Base!Y65/[16]Base!Y$76*Y$4,0)</f>
        <v>0</v>
      </c>
      <c r="Z65" s="1083"/>
      <c r="AA65" s="1083">
        <f>IFERROR([16]Base!AA65/[16]Base!AA$76*AA$4,0)</f>
        <v>0</v>
      </c>
      <c r="AB65" s="1083">
        <f>IFERROR([16]Base!AB65/[16]Base!AB$76*AB$4,0)</f>
        <v>0</v>
      </c>
      <c r="AC65" s="1083"/>
      <c r="AD65" s="1083"/>
      <c r="AE65" s="1083"/>
      <c r="AF65" s="1083">
        <f>IFERROR([16]Base!AF65/[16]Base!AF$76*AF$4,0)</f>
        <v>0</v>
      </c>
      <c r="AG65" s="1083">
        <f>IFERROR([16]Base!AG65/[16]Base!AG$76*AG$4,0)</f>
        <v>0</v>
      </c>
      <c r="AH65" s="1083">
        <f>IFERROR([16]Base!AH65/[16]Base!AH$76*AH$4,0)</f>
        <v>0</v>
      </c>
      <c r="AI65" s="1083">
        <f>IFERROR([16]Base!AI65/[16]Base!AI$76*AI$4,0)</f>
        <v>0</v>
      </c>
      <c r="AJ65" s="1083">
        <f>IFERROR([16]Base!AJ65/[16]Base!AJ$76*AJ$4,0)</f>
        <v>0</v>
      </c>
      <c r="AK65" s="1083">
        <f>IFERROR([16]Base!AK65/[16]Base!AK$76*AK$4,0)</f>
        <v>0</v>
      </c>
      <c r="AL65" s="1083">
        <f>IFERROR([16]Base!AL65/[16]Base!AL$76*AL$4,0)</f>
        <v>0</v>
      </c>
      <c r="AM65" s="1083">
        <f>IFERROR([16]Base!AM65/[16]Base!AM$76*AM$4,0)</f>
        <v>0</v>
      </c>
      <c r="AN65" s="1083">
        <f>IFERROR([16]Base!AN65/[16]Base!AN$76*AN$4,0)</f>
        <v>0</v>
      </c>
      <c r="AO65" s="1083">
        <f>IFERROR('8_2.1.19 SIS'!AO65/'8_2.1.19 SIS'!AO$76*AO$4,0)</f>
        <v>0</v>
      </c>
      <c r="AP65" s="1083">
        <f>IFERROR('8_2.1.19 SIS'!AP65/'8_2.1.19 SIS'!AP$76*AP$4,0)</f>
        <v>0</v>
      </c>
      <c r="AQ65" s="1083">
        <f>IFERROR('8_2.1.19 SIS'!AQ65/'8_2.1.19 SIS'!AQ$76*AQ$4,0)</f>
        <v>0</v>
      </c>
      <c r="AR65" s="1083">
        <f>IFERROR('8_2.1.19 SIS'!AR65/'8_2.1.19 SIS'!AR$76*AR$4,0)</f>
        <v>0</v>
      </c>
      <c r="AS65" s="1083">
        <f>IFERROR('8_2.1.19 SIS'!AS65/'8_2.1.19 SIS'!AS$76*AS$4,0)</f>
        <v>0</v>
      </c>
      <c r="AT65" s="1083">
        <f>IFERROR([16]Base!AT65/[16]Base!AT$76*AT$4,0)</f>
        <v>1037.296875</v>
      </c>
      <c r="AU65" s="1083">
        <f>IFERROR([16]Base!AU65/[16]Base!AU$76*AU$4,0)</f>
        <v>4225.9122532121592</v>
      </c>
      <c r="AV65" s="1084">
        <f t="shared" si="3"/>
        <v>746326.20912821218</v>
      </c>
      <c r="AW65" s="1083">
        <f>IFERROR([16]Base!AW65/[16]Base!AW$76*AW$4,0)</f>
        <v>0</v>
      </c>
      <c r="AX65" s="1083">
        <f>IFERROR([16]Base!AX65/[16]Base!AX$76*AX$4,0)</f>
        <v>0</v>
      </c>
      <c r="AY65" s="1083">
        <f>IFERROR([16]Base!AY65/[16]Base!AY$76*AY$4,0)</f>
        <v>0</v>
      </c>
      <c r="AZ65" s="1083">
        <f>IFERROR([16]Base!AZ65/[16]Base!AZ$76*AZ$4,0)</f>
        <v>0</v>
      </c>
      <c r="BA65" s="1083">
        <f>IFERROR([16]Base!BA65/[16]Base!BA$76*BA$4,0)</f>
        <v>0</v>
      </c>
      <c r="BB65" s="1083">
        <f>IFERROR([16]Base!BB65/[16]Base!BB$76*BB$4,0)</f>
        <v>0</v>
      </c>
      <c r="BC65" s="1083">
        <f>IFERROR([16]Base!BC65/[16]Base!BC$76*BC$4,0)</f>
        <v>0</v>
      </c>
      <c r="BD65" s="1083">
        <f>IFERROR([16]Base!BD65/[16]Base!BD$76*BD$4,0)</f>
        <v>0</v>
      </c>
      <c r="BE65" s="1083">
        <f>IFERROR([16]Base!BE65/[16]Base!BE$76*BE$4,0)</f>
        <v>0</v>
      </c>
      <c r="BF65" s="1083">
        <f>IFERROR([16]Base!BF65/[16]Base!BF$76*BF$4,0)</f>
        <v>0</v>
      </c>
      <c r="BG65" s="1083">
        <f>IFERROR([16]Base!BG65/[16]Base!BG$76*BG$4,0)</f>
        <v>0</v>
      </c>
      <c r="BH65" s="1083">
        <f>IFERROR([16]Base!BH65/[16]Base!BH$76*BH$4,0)</f>
        <v>0</v>
      </c>
      <c r="BI65" s="1083">
        <f t="shared" si="2"/>
        <v>746326.20912821218</v>
      </c>
    </row>
    <row r="66" spans="1:61" s="270" customFormat="1" ht="16.149999999999999" customHeight="1" x14ac:dyDescent="0.2">
      <c r="A66" s="277" t="s">
        <v>212</v>
      </c>
      <c r="B66" s="262" t="s">
        <v>213</v>
      </c>
      <c r="C66" s="1085">
        <f>'3B_Pay Raise'!O66</f>
        <v>776083</v>
      </c>
      <c r="D66" s="1085"/>
      <c r="E66" s="1085">
        <f>IFERROR([16]Base!E66/[16]Base!E$76*E$4,0)</f>
        <v>0</v>
      </c>
      <c r="F66" s="1085">
        <f>IFERROR([16]Base!F66/[16]Base!F$76*F$4,0)</f>
        <v>0</v>
      </c>
      <c r="G66" s="1085">
        <f>IFERROR([16]Base!G66/[16]Base!G$76*G$4,0)</f>
        <v>0</v>
      </c>
      <c r="H66" s="1085">
        <f>IFERROR([16]Base!H66/[16]Base!H$76*H$4,0)</f>
        <v>0</v>
      </c>
      <c r="I66" s="1085">
        <f>IFERROR([16]Base!I66/[16]Base!I$76*I$4,0)</f>
        <v>0</v>
      </c>
      <c r="J66" s="1085">
        <f>IFERROR([16]Base!J66/[16]Base!J$76*J$4,0)</f>
        <v>0</v>
      </c>
      <c r="K66" s="1085">
        <f>IFERROR([16]Base!K66/[16]Base!K$76*K$4,0)</f>
        <v>0</v>
      </c>
      <c r="L66" s="1085">
        <f>IFERROR([16]Base!L66/[16]Base!L$76*L$4,0)</f>
        <v>0</v>
      </c>
      <c r="M66" s="1085">
        <f>IFERROR([16]Base!M66/[16]Base!M$76*M$4,0)</f>
        <v>0</v>
      </c>
      <c r="N66" s="1085">
        <f>IFERROR([16]Base!N66/[16]Base!N$76*N$4,0)</f>
        <v>0</v>
      </c>
      <c r="O66" s="1085">
        <f>IFERROR([16]Base!O66/[16]Base!O$76*O$4,0)</f>
        <v>0</v>
      </c>
      <c r="P66" s="1085">
        <f>IFERROR([16]Base!P66/[16]Base!P$76*P$4,0)</f>
        <v>0</v>
      </c>
      <c r="Q66" s="1085">
        <f>IFERROR([16]Base!Q66/[16]Base!Q$76*Q$4,0)</f>
        <v>0</v>
      </c>
      <c r="R66" s="1085"/>
      <c r="S66" s="1085">
        <f>IFERROR([16]Base!S66/[16]Base!S$76*S$4,0)</f>
        <v>0</v>
      </c>
      <c r="T66" s="1085">
        <f>IFERROR([16]Base!T66/[16]Base!T$76*T$4,0)</f>
        <v>0</v>
      </c>
      <c r="U66" s="1085">
        <f>IFERROR([16]Base!U66/[16]Base!U$76*U$4,0)</f>
        <v>0</v>
      </c>
      <c r="V66" s="1085">
        <f>IFERROR([16]Base!V66/[16]Base!V$76*V$4,0)</f>
        <v>0</v>
      </c>
      <c r="W66" s="1085">
        <f>IFERROR([16]Base!W66/[16]Base!W$76*W$4,0)</f>
        <v>0</v>
      </c>
      <c r="X66" s="1085">
        <f>IFERROR([16]Base!X66/[16]Base!X$76*X$4,0)</f>
        <v>0</v>
      </c>
      <c r="Y66" s="1085">
        <f>IFERROR([16]Base!Y66/[16]Base!Y$76*Y$4,0)</f>
        <v>0</v>
      </c>
      <c r="Z66" s="1085"/>
      <c r="AA66" s="1085">
        <f>IFERROR([16]Base!AA66/[16]Base!AA$76*AA$4,0)</f>
        <v>0</v>
      </c>
      <c r="AB66" s="1085">
        <f>IFERROR([16]Base!AB66/[16]Base!AB$76*AB$4,0)</f>
        <v>318.8343815513627</v>
      </c>
      <c r="AC66" s="1085"/>
      <c r="AD66" s="1085"/>
      <c r="AE66" s="1085"/>
      <c r="AF66" s="1085">
        <f>IFERROR([16]Base!AF66/[16]Base!AF$76*AF$4,0)</f>
        <v>0</v>
      </c>
      <c r="AG66" s="1085">
        <f>IFERROR([16]Base!AG66/[16]Base!AG$76*AG$4,0)</f>
        <v>0</v>
      </c>
      <c r="AH66" s="1085">
        <f>IFERROR([16]Base!AH66/[16]Base!AH$76*AH$4,0)</f>
        <v>0</v>
      </c>
      <c r="AI66" s="1085">
        <f>IFERROR([16]Base!AI66/[16]Base!AI$76*AI$4,0)</f>
        <v>0</v>
      </c>
      <c r="AJ66" s="1085">
        <f>IFERROR([16]Base!AJ66/[16]Base!AJ$76*AJ$4,0)</f>
        <v>0</v>
      </c>
      <c r="AK66" s="1085">
        <f>IFERROR([16]Base!AK66/[16]Base!AK$76*AK$4,0)</f>
        <v>0</v>
      </c>
      <c r="AL66" s="1085">
        <f>IFERROR([16]Base!AL66/[16]Base!AL$76*AL$4,0)</f>
        <v>0</v>
      </c>
      <c r="AM66" s="1085">
        <f>IFERROR([16]Base!AM66/[16]Base!AM$76*AM$4,0)</f>
        <v>0</v>
      </c>
      <c r="AN66" s="1085">
        <f>IFERROR([16]Base!AN66/[16]Base!AN$76*AN$4,0)</f>
        <v>0</v>
      </c>
      <c r="AO66" s="1085">
        <f>IFERROR('8_2.1.19 SIS'!AO66/'8_2.1.19 SIS'!AO$76*AO$4,0)</f>
        <v>0</v>
      </c>
      <c r="AP66" s="1085">
        <f>IFERROR('8_2.1.19 SIS'!AP66/'8_2.1.19 SIS'!AP$76*AP$4,0)</f>
        <v>0</v>
      </c>
      <c r="AQ66" s="1085">
        <f>IFERROR('8_2.1.19 SIS'!AQ66/'8_2.1.19 SIS'!AQ$76*AQ$4,0)</f>
        <v>0</v>
      </c>
      <c r="AR66" s="1085">
        <f>IFERROR('8_2.1.19 SIS'!AR66/'8_2.1.19 SIS'!AR$76*AR$4,0)</f>
        <v>0</v>
      </c>
      <c r="AS66" s="1085">
        <f>IFERROR('8_2.1.19 SIS'!AS66/'8_2.1.19 SIS'!AS$76*AS$4,0)</f>
        <v>0</v>
      </c>
      <c r="AT66" s="1085">
        <f>IFERROR([16]Base!AT66/[16]Base!AT$76*AT$4,0)</f>
        <v>979.66927083333326</v>
      </c>
      <c r="AU66" s="1085">
        <f>IFERROR([16]Base!AU66/[16]Base!AU$76*AU$4,0)</f>
        <v>2260.3716703227828</v>
      </c>
      <c r="AV66" s="1086">
        <f t="shared" si="3"/>
        <v>779641.87532270746</v>
      </c>
      <c r="AW66" s="1085">
        <f>IFERROR([16]Base!AW66/[16]Base!AW$76*AW$4,0)</f>
        <v>0</v>
      </c>
      <c r="AX66" s="1085">
        <f>IFERROR([16]Base!AX66/[16]Base!AX$76*AX$4,0)</f>
        <v>0</v>
      </c>
      <c r="AY66" s="1085">
        <f>IFERROR([16]Base!AY66/[16]Base!AY$76*AY$4,0)</f>
        <v>0</v>
      </c>
      <c r="AZ66" s="1085">
        <f>IFERROR([16]Base!AZ66/[16]Base!AZ$76*AZ$4,0)</f>
        <v>0</v>
      </c>
      <c r="BA66" s="1085">
        <f>IFERROR([16]Base!BA66/[16]Base!BA$76*BA$4,0)</f>
        <v>0</v>
      </c>
      <c r="BB66" s="1085">
        <f>IFERROR([16]Base!BB66/[16]Base!BB$76*BB$4,0)</f>
        <v>0</v>
      </c>
      <c r="BC66" s="1085">
        <f>IFERROR([16]Base!BC66/[16]Base!BC$76*BC$4,0)</f>
        <v>0</v>
      </c>
      <c r="BD66" s="1085">
        <f>IFERROR([16]Base!BD66/[16]Base!BD$76*BD$4,0)</f>
        <v>0</v>
      </c>
      <c r="BE66" s="1085">
        <f>IFERROR([16]Base!BE66/[16]Base!BE$76*BE$4,0)</f>
        <v>0</v>
      </c>
      <c r="BF66" s="1085">
        <f>IFERROR([16]Base!BF66/[16]Base!BF$76*BF$4,0)</f>
        <v>191.14245810055866</v>
      </c>
      <c r="BG66" s="1085">
        <f>IFERROR([16]Base!BG66/[16]Base!BG$76*BG$4,0)</f>
        <v>0</v>
      </c>
      <c r="BH66" s="1087">
        <f>IFERROR([16]Base!BH66/[16]Base!BH$76*BH$4,0)</f>
        <v>0</v>
      </c>
      <c r="BI66" s="1085">
        <f t="shared" si="2"/>
        <v>779833.01778080803</v>
      </c>
    </row>
    <row r="67" spans="1:61" s="270" customFormat="1" ht="16.149999999999999" customHeight="1" x14ac:dyDescent="0.2">
      <c r="A67" s="273" t="s">
        <v>127</v>
      </c>
      <c r="B67" s="264" t="s">
        <v>214</v>
      </c>
      <c r="C67" s="1079">
        <f>'3B_Pay Raise'!O67</f>
        <v>623184</v>
      </c>
      <c r="D67" s="1079"/>
      <c r="E67" s="1079">
        <f>IFERROR([16]Base!E67/[16]Base!E$76*E$4,0)</f>
        <v>303.7578947368421</v>
      </c>
      <c r="F67" s="1079">
        <f>IFERROR([16]Base!F67/[16]Base!F$76*F$4,0)</f>
        <v>0</v>
      </c>
      <c r="G67" s="1079">
        <f>IFERROR([16]Base!G67/[16]Base!G$76*G$4,0)</f>
        <v>0</v>
      </c>
      <c r="H67" s="1079">
        <f>IFERROR([16]Base!H67/[16]Base!H$76*H$4,0)</f>
        <v>0</v>
      </c>
      <c r="I67" s="1079">
        <f>IFERROR([16]Base!I67/[16]Base!I$76*I$4,0)</f>
        <v>0</v>
      </c>
      <c r="J67" s="1079">
        <f>IFERROR([16]Base!J67/[16]Base!J$76*J$4,0)</f>
        <v>0</v>
      </c>
      <c r="K67" s="1079">
        <f>IFERROR([16]Base!K67/[16]Base!K$76*K$4,0)</f>
        <v>0</v>
      </c>
      <c r="L67" s="1079">
        <f>IFERROR([16]Base!L67/[16]Base!L$76*L$4,0)</f>
        <v>0</v>
      </c>
      <c r="M67" s="1079">
        <f>IFERROR([16]Base!M67/[16]Base!M$76*M$4,0)</f>
        <v>2680.2263157894736</v>
      </c>
      <c r="N67" s="1079">
        <f>IFERROR([16]Base!N67/[16]Base!N$76*N$4,0)</f>
        <v>0</v>
      </c>
      <c r="O67" s="1079">
        <f>IFERROR([16]Base!O67/[16]Base!O$76*O$4,0)</f>
        <v>133.95104895104896</v>
      </c>
      <c r="P67" s="1079">
        <f>IFERROR([16]Base!P67/[16]Base!P$76*P$4,0)</f>
        <v>0</v>
      </c>
      <c r="Q67" s="1079">
        <f>IFERROR([16]Base!Q67/[16]Base!Q$76*Q$4,0)</f>
        <v>0</v>
      </c>
      <c r="R67" s="1079"/>
      <c r="S67" s="1079">
        <f>IFERROR([16]Base!S67/[16]Base!S$76*S$4,0)</f>
        <v>826.69246435845207</v>
      </c>
      <c r="T67" s="1079">
        <f>IFERROR([16]Base!T67/[16]Base!T$76*T$4,0)</f>
        <v>3624.6377551020405</v>
      </c>
      <c r="U67" s="1079">
        <f>IFERROR([16]Base!U67/[16]Base!U$76*U$4,0)</f>
        <v>0</v>
      </c>
      <c r="V67" s="1079">
        <f>IFERROR([16]Base!V67/[16]Base!V$76*V$4,0)</f>
        <v>0</v>
      </c>
      <c r="W67" s="1079">
        <f>IFERROR([16]Base!W67/[16]Base!W$76*W$4,0)</f>
        <v>0</v>
      </c>
      <c r="X67" s="1079">
        <f>IFERROR([16]Base!X67/[16]Base!X$76*X$4,0)</f>
        <v>0</v>
      </c>
      <c r="Y67" s="1079">
        <f>IFERROR([16]Base!Y67/[16]Base!Y$76*Y$4,0)</f>
        <v>0</v>
      </c>
      <c r="Z67" s="1079"/>
      <c r="AA67" s="1079">
        <f>IFERROR([16]Base!AA67/[16]Base!AA$76*AA$4,0)</f>
        <v>142.07828655834564</v>
      </c>
      <c r="AB67" s="1080">
        <f>IFERROR([16]Base!AB67/[16]Base!AB$76*AB$4,0)</f>
        <v>0</v>
      </c>
      <c r="AC67" s="1080"/>
      <c r="AD67" s="1080"/>
      <c r="AE67" s="1080"/>
      <c r="AF67" s="1080">
        <f>IFERROR([16]Base!AF67/[16]Base!AF$76*AF$4,0)</f>
        <v>0</v>
      </c>
      <c r="AG67" s="1080">
        <f>IFERROR([16]Base!AG67/[16]Base!AG$76*AG$4,0)</f>
        <v>0</v>
      </c>
      <c r="AH67" s="1080">
        <f>IFERROR([16]Base!AH67/[16]Base!AH$76*AH$4,0)</f>
        <v>0</v>
      </c>
      <c r="AI67" s="1080">
        <f>IFERROR([16]Base!AI67/[16]Base!AI$76*AI$4,0)</f>
        <v>0</v>
      </c>
      <c r="AJ67" s="1080">
        <f>IFERROR([16]Base!AJ67/[16]Base!AJ$76*AJ$4,0)</f>
        <v>0</v>
      </c>
      <c r="AK67" s="1080">
        <f>IFERROR([16]Base!AK67/[16]Base!AK$76*AK$4,0)</f>
        <v>0</v>
      </c>
      <c r="AL67" s="1080">
        <f>IFERROR([16]Base!AL67/[16]Base!AL$76*AL$4,0)</f>
        <v>0</v>
      </c>
      <c r="AM67" s="1080">
        <f>IFERROR([16]Base!AM67/[16]Base!AM$76*AM$4,0)</f>
        <v>0</v>
      </c>
      <c r="AN67" s="1080">
        <f>IFERROR([16]Base!AN67/[16]Base!AN$76*AN$4,0)</f>
        <v>0</v>
      </c>
      <c r="AO67" s="1080">
        <f>IFERROR('8_2.1.19 SIS'!AO67/'8_2.1.19 SIS'!AO$76*AO$4,0)</f>
        <v>0</v>
      </c>
      <c r="AP67" s="1080">
        <f>IFERROR('8_2.1.19 SIS'!AP67/'8_2.1.19 SIS'!AP$76*AP$4,0)</f>
        <v>0</v>
      </c>
      <c r="AQ67" s="1080">
        <f>IFERROR('8_2.1.19 SIS'!AQ67/'8_2.1.19 SIS'!AQ$76*AQ$4,0)</f>
        <v>0</v>
      </c>
      <c r="AR67" s="1080">
        <f>IFERROR('8_2.1.19 SIS'!AR67/'8_2.1.19 SIS'!AR$76*AR$4,0)</f>
        <v>0</v>
      </c>
      <c r="AS67" s="1080">
        <f>IFERROR('8_2.1.19 SIS'!AS67/'8_2.1.19 SIS'!AS$76*AS$4,0)</f>
        <v>0</v>
      </c>
      <c r="AT67" s="1079">
        <f>IFERROR([16]Base!AT67/[16]Base!AT$76*AT$4,0)</f>
        <v>576.27604166666663</v>
      </c>
      <c r="AU67" s="1079">
        <f>IFERROR([16]Base!AU67/[16]Base!AU$76*AU$4,0)</f>
        <v>2555.2027577561894</v>
      </c>
      <c r="AV67" s="1081">
        <f t="shared" si="3"/>
        <v>634026.82256491901</v>
      </c>
      <c r="AW67" s="1079">
        <f>IFERROR([16]Base!AW67/[16]Base!AW$76*AW$4,0)</f>
        <v>0</v>
      </c>
      <c r="AX67" s="1079">
        <f>IFERROR([16]Base!AX67/[16]Base!AX$76*AX$4,0)</f>
        <v>0</v>
      </c>
      <c r="AY67" s="1079">
        <f>IFERROR([16]Base!AY67/[16]Base!AY$76*AY$4,0)</f>
        <v>0</v>
      </c>
      <c r="AZ67" s="1079">
        <f>IFERROR([16]Base!AZ67/[16]Base!AZ$76*AZ$4,0)</f>
        <v>0</v>
      </c>
      <c r="BA67" s="1079">
        <f>IFERROR([16]Base!BA67/[16]Base!BA$76*BA$4,0)</f>
        <v>0</v>
      </c>
      <c r="BB67" s="1079">
        <f>IFERROR([16]Base!BB67/[16]Base!BB$76*BB$4,0)</f>
        <v>0</v>
      </c>
      <c r="BC67" s="1079">
        <f>IFERROR([16]Base!BC67/[16]Base!BC$76*BC$4,0)</f>
        <v>0</v>
      </c>
      <c r="BD67" s="1079">
        <f>IFERROR([16]Base!BD67/[16]Base!BD$76*BD$4,0)</f>
        <v>0</v>
      </c>
      <c r="BE67" s="1079">
        <f>IFERROR([16]Base!BE67/[16]Base!BE$76*BE$4,0)</f>
        <v>0</v>
      </c>
      <c r="BF67" s="1079">
        <f>IFERROR([16]Base!BF67/[16]Base!BF$76*BF$4,0)</f>
        <v>382.28491620111731</v>
      </c>
      <c r="BG67" s="1079">
        <f>IFERROR([16]Base!BG67/[16]Base!BG$76*BG$4,0)</f>
        <v>0</v>
      </c>
      <c r="BH67" s="1082">
        <f>IFERROR([16]Base!BH67/[16]Base!BH$76*BH$4,0)</f>
        <v>1318.3352601156068</v>
      </c>
      <c r="BI67" s="1079">
        <f t="shared" si="2"/>
        <v>635727.44274123572</v>
      </c>
    </row>
    <row r="68" spans="1:61" s="270" customFormat="1" ht="16.149999999999999" customHeight="1" x14ac:dyDescent="0.2">
      <c r="A68" s="275" t="s">
        <v>215</v>
      </c>
      <c r="B68" s="260" t="s">
        <v>216</v>
      </c>
      <c r="C68" s="1083">
        <f>'3B_Pay Raise'!O68</f>
        <v>270237</v>
      </c>
      <c r="D68" s="1083"/>
      <c r="E68" s="1083">
        <f>IFERROR([16]Base!E68/[16]Base!E$76*E$4,0)</f>
        <v>0</v>
      </c>
      <c r="F68" s="1083">
        <f>IFERROR([16]Base!F68/[16]Base!F$76*F$4,0)</f>
        <v>0</v>
      </c>
      <c r="G68" s="1083">
        <f>IFERROR([16]Base!G68/[16]Base!G$76*G$4,0)</f>
        <v>0</v>
      </c>
      <c r="H68" s="1083">
        <f>IFERROR([16]Base!H68/[16]Base!H$76*H$4,0)</f>
        <v>0</v>
      </c>
      <c r="I68" s="1083">
        <f>IFERROR([16]Base!I68/[16]Base!I$76*I$4,0)</f>
        <v>0</v>
      </c>
      <c r="J68" s="1083">
        <f>IFERROR([16]Base!J68/[16]Base!J$76*J$4,0)</f>
        <v>0</v>
      </c>
      <c r="K68" s="1083">
        <f>IFERROR([16]Base!K68/[16]Base!K$76*K$4,0)</f>
        <v>0</v>
      </c>
      <c r="L68" s="1083">
        <f>IFERROR([16]Base!L68/[16]Base!L$76*L$4,0)</f>
        <v>0</v>
      </c>
      <c r="M68" s="1083">
        <f>IFERROR([16]Base!M68/[16]Base!M$76*M$4,0)</f>
        <v>0</v>
      </c>
      <c r="N68" s="1083">
        <f>IFERROR([16]Base!N68/[16]Base!N$76*N$4,0)</f>
        <v>0</v>
      </c>
      <c r="O68" s="1083">
        <f>IFERROR([16]Base!O68/[16]Base!O$76*O$4,0)</f>
        <v>0</v>
      </c>
      <c r="P68" s="1083">
        <f>IFERROR([16]Base!P68/[16]Base!P$76*P$4,0)</f>
        <v>0</v>
      </c>
      <c r="Q68" s="1083">
        <f>IFERROR([16]Base!Q68/[16]Base!Q$76*Q$4,0)</f>
        <v>0</v>
      </c>
      <c r="R68" s="1083"/>
      <c r="S68" s="1083">
        <f>IFERROR([16]Base!S68/[16]Base!S$76*S$4,0)</f>
        <v>0</v>
      </c>
      <c r="T68" s="1083">
        <f>IFERROR([16]Base!T68/[16]Base!T$76*T$4,0)</f>
        <v>0</v>
      </c>
      <c r="U68" s="1083">
        <f>IFERROR([16]Base!U68/[16]Base!U$76*U$4,0)</f>
        <v>0</v>
      </c>
      <c r="V68" s="1083">
        <f>IFERROR([16]Base!V68/[16]Base!V$76*V$4,0)</f>
        <v>0</v>
      </c>
      <c r="W68" s="1083">
        <f>IFERROR([16]Base!W68/[16]Base!W$76*W$4,0)</f>
        <v>0</v>
      </c>
      <c r="X68" s="1083">
        <f>IFERROR([16]Base!X68/[16]Base!X$76*X$4,0)</f>
        <v>0</v>
      </c>
      <c r="Y68" s="1083">
        <f>IFERROR([16]Base!Y68/[16]Base!Y$76*Y$4,0)</f>
        <v>0</v>
      </c>
      <c r="Z68" s="1083"/>
      <c r="AA68" s="1083">
        <f>IFERROR([16]Base!AA68/[16]Base!AA$76*AA$4,0)</f>
        <v>0</v>
      </c>
      <c r="AB68" s="1083">
        <f>IFERROR([16]Base!AB68/[16]Base!AB$76*AB$4,0)</f>
        <v>0</v>
      </c>
      <c r="AC68" s="1083"/>
      <c r="AD68" s="1083"/>
      <c r="AE68" s="1083"/>
      <c r="AF68" s="1083">
        <f>IFERROR([16]Base!AF68/[16]Base!AF$76*AF$4,0)</f>
        <v>0</v>
      </c>
      <c r="AG68" s="1083">
        <f>IFERROR([16]Base!AG68/[16]Base!AG$76*AG$4,0)</f>
        <v>0</v>
      </c>
      <c r="AH68" s="1083">
        <f>IFERROR([16]Base!AH68/[16]Base!AH$76*AH$4,0)</f>
        <v>0</v>
      </c>
      <c r="AI68" s="1083">
        <f>IFERROR([16]Base!AI68/[16]Base!AI$76*AI$4,0)</f>
        <v>0</v>
      </c>
      <c r="AJ68" s="1083">
        <f>IFERROR([16]Base!AJ68/[16]Base!AJ$76*AJ$4,0)</f>
        <v>0</v>
      </c>
      <c r="AK68" s="1083">
        <f>IFERROR([16]Base!AK68/[16]Base!AK$76*AK$4,0)</f>
        <v>0</v>
      </c>
      <c r="AL68" s="1083">
        <f>IFERROR([16]Base!AL68/[16]Base!AL$76*AL$4,0)</f>
        <v>0</v>
      </c>
      <c r="AM68" s="1083">
        <f>IFERROR([16]Base!AM68/[16]Base!AM$76*AM$4,0)</f>
        <v>0</v>
      </c>
      <c r="AN68" s="1083">
        <f>IFERROR([16]Base!AN68/[16]Base!AN$76*AN$4,0)</f>
        <v>0</v>
      </c>
      <c r="AO68" s="1083">
        <f>IFERROR('8_2.1.19 SIS'!AO68/'8_2.1.19 SIS'!AO$76*AO$4,0)</f>
        <v>0</v>
      </c>
      <c r="AP68" s="1083">
        <f>IFERROR('8_2.1.19 SIS'!AP68/'8_2.1.19 SIS'!AP$76*AP$4,0)</f>
        <v>0</v>
      </c>
      <c r="AQ68" s="1083">
        <f>IFERROR('8_2.1.19 SIS'!AQ68/'8_2.1.19 SIS'!AQ$76*AQ$4,0)</f>
        <v>0</v>
      </c>
      <c r="AR68" s="1083">
        <f>IFERROR('8_2.1.19 SIS'!AR68/'8_2.1.19 SIS'!AR$76*AR$4,0)</f>
        <v>0</v>
      </c>
      <c r="AS68" s="1083">
        <f>IFERROR('8_2.1.19 SIS'!AS68/'8_2.1.19 SIS'!AS$76*AS$4,0)</f>
        <v>0</v>
      </c>
      <c r="AT68" s="1083">
        <f>IFERROR([16]Base!AT68/[16]Base!AT$76*AT$4,0)</f>
        <v>230.51041666666666</v>
      </c>
      <c r="AU68" s="1083">
        <f>IFERROR([16]Base!AU68/[16]Base!AU$76*AU$4,0)</f>
        <v>1081.0473205891569</v>
      </c>
      <c r="AV68" s="1084">
        <f t="shared" si="3"/>
        <v>271548.55773725582</v>
      </c>
      <c r="AW68" s="1083">
        <f>IFERROR([16]Base!AW68/[16]Base!AW$76*AW$4,0)</f>
        <v>0</v>
      </c>
      <c r="AX68" s="1083">
        <f>IFERROR([16]Base!AX68/[16]Base!AX$76*AX$4,0)</f>
        <v>0</v>
      </c>
      <c r="AY68" s="1083">
        <f>IFERROR([16]Base!AY68/[16]Base!AY$76*AY$4,0)</f>
        <v>0</v>
      </c>
      <c r="AZ68" s="1083">
        <f>IFERROR([16]Base!AZ68/[16]Base!AZ$76*AZ$4,0)</f>
        <v>0</v>
      </c>
      <c r="BA68" s="1083">
        <f>IFERROR([16]Base!BA68/[16]Base!BA$76*BA$4,0)</f>
        <v>4928.6997635933803</v>
      </c>
      <c r="BB68" s="1083">
        <f>IFERROR([16]Base!BB68/[16]Base!BB$76*BB$4,0)</f>
        <v>0</v>
      </c>
      <c r="BC68" s="1083">
        <f>IFERROR([16]Base!BC68/[16]Base!BC$76*BC$4,0)</f>
        <v>0</v>
      </c>
      <c r="BD68" s="1083">
        <f>IFERROR([16]Base!BD68/[16]Base!BD$76*BD$4,0)</f>
        <v>0</v>
      </c>
      <c r="BE68" s="1083">
        <f>IFERROR([16]Base!BE68/[16]Base!BE$76*BE$4,0)</f>
        <v>0</v>
      </c>
      <c r="BF68" s="1083">
        <f>IFERROR([16]Base!BF68/[16]Base!BF$76*BF$4,0)</f>
        <v>382.28491620111731</v>
      </c>
      <c r="BG68" s="1083">
        <f>IFERROR([16]Base!BG68/[16]Base!BG$76*BG$4,0)</f>
        <v>0</v>
      </c>
      <c r="BH68" s="1083">
        <f>IFERROR([16]Base!BH68/[16]Base!BH$76*BH$4,0)</f>
        <v>0</v>
      </c>
      <c r="BI68" s="1083">
        <f t="shared" si="2"/>
        <v>276859.54241705034</v>
      </c>
    </row>
    <row r="69" spans="1:61" s="270" customFormat="1" ht="16.149999999999999" customHeight="1" x14ac:dyDescent="0.2">
      <c r="A69" s="275" t="s">
        <v>217</v>
      </c>
      <c r="B69" s="260" t="s">
        <v>218</v>
      </c>
      <c r="C69" s="1083">
        <f>'3B_Pay Raise'!O69</f>
        <v>354035</v>
      </c>
      <c r="D69" s="1083"/>
      <c r="E69" s="1083">
        <f>IFERROR([16]Base!E69/[16]Base!E$76*E$4,0)</f>
        <v>0</v>
      </c>
      <c r="F69" s="1083">
        <f>IFERROR([16]Base!F69/[16]Base!F$76*F$4,0)</f>
        <v>0</v>
      </c>
      <c r="G69" s="1083">
        <f>IFERROR([16]Base!G69/[16]Base!G$76*G$4,0)</f>
        <v>0</v>
      </c>
      <c r="H69" s="1083">
        <f>IFERROR([16]Base!H69/[16]Base!H$76*H$4,0)</f>
        <v>0</v>
      </c>
      <c r="I69" s="1083">
        <f>IFERROR([16]Base!I69/[16]Base!I$76*I$4,0)</f>
        <v>0</v>
      </c>
      <c r="J69" s="1083">
        <f>IFERROR([16]Base!J69/[16]Base!J$76*J$4,0)</f>
        <v>0</v>
      </c>
      <c r="K69" s="1083">
        <f>IFERROR([16]Base!K69/[16]Base!K$76*K$4,0)</f>
        <v>0</v>
      </c>
      <c r="L69" s="1083">
        <f>IFERROR([16]Base!L69/[16]Base!L$76*L$4,0)</f>
        <v>0</v>
      </c>
      <c r="M69" s="1083">
        <f>IFERROR([16]Base!M69/[16]Base!M$76*M$4,0)</f>
        <v>574.33421052631581</v>
      </c>
      <c r="N69" s="1083">
        <f>IFERROR([16]Base!N69/[16]Base!N$76*N$4,0)</f>
        <v>0</v>
      </c>
      <c r="O69" s="1083">
        <f>IFERROR([16]Base!O69/[16]Base!O$76*O$4,0)</f>
        <v>0</v>
      </c>
      <c r="P69" s="1083">
        <f>IFERROR([16]Base!P69/[16]Base!P$76*P$4,0)</f>
        <v>0</v>
      </c>
      <c r="Q69" s="1083">
        <f>IFERROR([16]Base!Q69/[16]Base!Q$76*Q$4,0)</f>
        <v>0</v>
      </c>
      <c r="R69" s="1083"/>
      <c r="S69" s="1083">
        <f>IFERROR([16]Base!S69/[16]Base!S$76*S$4,0)</f>
        <v>137.78207739307535</v>
      </c>
      <c r="T69" s="1083">
        <f>IFERROR([16]Base!T69/[16]Base!T$76*T$4,0)</f>
        <v>0</v>
      </c>
      <c r="U69" s="1083">
        <f>IFERROR([16]Base!U69/[16]Base!U$76*U$4,0)</f>
        <v>0</v>
      </c>
      <c r="V69" s="1083">
        <f>IFERROR([16]Base!V69/[16]Base!V$76*V$4,0)</f>
        <v>0</v>
      </c>
      <c r="W69" s="1083">
        <f>IFERROR([16]Base!W69/[16]Base!W$76*W$4,0)</f>
        <v>0</v>
      </c>
      <c r="X69" s="1083">
        <f>IFERROR([16]Base!X69/[16]Base!X$76*X$4,0)</f>
        <v>0</v>
      </c>
      <c r="Y69" s="1083">
        <f>IFERROR([16]Base!Y69/[16]Base!Y$76*Y$4,0)</f>
        <v>0</v>
      </c>
      <c r="Z69" s="1083"/>
      <c r="AA69" s="1083">
        <f>IFERROR([16]Base!AA69/[16]Base!AA$76*AA$4,0)</f>
        <v>0</v>
      </c>
      <c r="AB69" s="1083">
        <f>IFERROR([16]Base!AB69/[16]Base!AB$76*AB$4,0)</f>
        <v>0</v>
      </c>
      <c r="AC69" s="1083"/>
      <c r="AD69" s="1083"/>
      <c r="AE69" s="1083"/>
      <c r="AF69" s="1083">
        <f>IFERROR([16]Base!AF69/[16]Base!AF$76*AF$4,0)</f>
        <v>0</v>
      </c>
      <c r="AG69" s="1083">
        <f>IFERROR([16]Base!AG69/[16]Base!AG$76*AG$4,0)</f>
        <v>0</v>
      </c>
      <c r="AH69" s="1083">
        <f>IFERROR([16]Base!AH69/[16]Base!AH$76*AH$4,0)</f>
        <v>0</v>
      </c>
      <c r="AI69" s="1083">
        <f>IFERROR([16]Base!AI69/[16]Base!AI$76*AI$4,0)</f>
        <v>0</v>
      </c>
      <c r="AJ69" s="1083">
        <f>IFERROR([16]Base!AJ69/[16]Base!AJ$76*AJ$4,0)</f>
        <v>0</v>
      </c>
      <c r="AK69" s="1083">
        <f>IFERROR([16]Base!AK69/[16]Base!AK$76*AK$4,0)</f>
        <v>0</v>
      </c>
      <c r="AL69" s="1083">
        <f>IFERROR([16]Base!AL69/[16]Base!AL$76*AL$4,0)</f>
        <v>0</v>
      </c>
      <c r="AM69" s="1083">
        <f>IFERROR([16]Base!AM69/[16]Base!AM$76*AM$4,0)</f>
        <v>0</v>
      </c>
      <c r="AN69" s="1083">
        <f>IFERROR([16]Base!AN69/[16]Base!AN$76*AN$4,0)</f>
        <v>0</v>
      </c>
      <c r="AO69" s="1083">
        <f>IFERROR('8_2.1.19 SIS'!AO69/'8_2.1.19 SIS'!AO$76*AO$4,0)</f>
        <v>0</v>
      </c>
      <c r="AP69" s="1083">
        <f>IFERROR('8_2.1.19 SIS'!AP69/'8_2.1.19 SIS'!AP$76*AP$4,0)</f>
        <v>0</v>
      </c>
      <c r="AQ69" s="1083">
        <f>IFERROR('8_2.1.19 SIS'!AQ69/'8_2.1.19 SIS'!AQ$76*AQ$4,0)</f>
        <v>0</v>
      </c>
      <c r="AR69" s="1083">
        <f>IFERROR('8_2.1.19 SIS'!AR69/'8_2.1.19 SIS'!AR$76*AR$4,0)</f>
        <v>0</v>
      </c>
      <c r="AS69" s="1083">
        <f>IFERROR('8_2.1.19 SIS'!AS69/'8_2.1.19 SIS'!AS$76*AS$4,0)</f>
        <v>0</v>
      </c>
      <c r="AT69" s="1083">
        <f>IFERROR([16]Base!AT69/[16]Base!AT$76*AT$4,0)</f>
        <v>115.25520833333333</v>
      </c>
      <c r="AU69" s="1083">
        <f>IFERROR([16]Base!AU69/[16]Base!AU$76*AU$4,0)</f>
        <v>786.2162331557505</v>
      </c>
      <c r="AV69" s="1084">
        <f t="shared" si="3"/>
        <v>355648.58772940846</v>
      </c>
      <c r="AW69" s="1083">
        <f>IFERROR([16]Base!AW69/[16]Base!AW$76*AW$4,0)</f>
        <v>0</v>
      </c>
      <c r="AX69" s="1083">
        <f>IFERROR([16]Base!AX69/[16]Base!AX$76*AX$4,0)</f>
        <v>0</v>
      </c>
      <c r="AY69" s="1083">
        <f>IFERROR([16]Base!AY69/[16]Base!AY$76*AY$4,0)</f>
        <v>0</v>
      </c>
      <c r="AZ69" s="1083">
        <f>IFERROR([16]Base!AZ69/[16]Base!AZ$76*AZ$4,0)</f>
        <v>0</v>
      </c>
      <c r="BA69" s="1083">
        <f>IFERROR([16]Base!BA69/[16]Base!BA$76*BA$4,0)</f>
        <v>0</v>
      </c>
      <c r="BB69" s="1083">
        <f>IFERROR([16]Base!BB69/[16]Base!BB$76*BB$4,0)</f>
        <v>0</v>
      </c>
      <c r="BC69" s="1083">
        <f>IFERROR([16]Base!BC69/[16]Base!BC$76*BC$4,0)</f>
        <v>0</v>
      </c>
      <c r="BD69" s="1083">
        <f>IFERROR([16]Base!BD69/[16]Base!BD$76*BD$4,0)</f>
        <v>0</v>
      </c>
      <c r="BE69" s="1083">
        <f>IFERROR([16]Base!BE69/[16]Base!BE$76*BE$4,0)</f>
        <v>0</v>
      </c>
      <c r="BF69" s="1083">
        <f>IFERROR([16]Base!BF69/[16]Base!BF$76*BF$4,0)</f>
        <v>382.28491620111731</v>
      </c>
      <c r="BG69" s="1083">
        <f>IFERROR([16]Base!BG69/[16]Base!BG$76*BG$4,0)</f>
        <v>0</v>
      </c>
      <c r="BH69" s="1083">
        <f>IFERROR([16]Base!BH69/[16]Base!BH$76*BH$4,0)</f>
        <v>439.4450867052023</v>
      </c>
      <c r="BI69" s="1083">
        <f t="shared" si="2"/>
        <v>356470.31773231481</v>
      </c>
    </row>
    <row r="70" spans="1:61" s="270" customFormat="1" ht="16.149999999999999" customHeight="1" x14ac:dyDescent="0.2">
      <c r="A70" s="275" t="s">
        <v>219</v>
      </c>
      <c r="B70" s="260" t="s">
        <v>220</v>
      </c>
      <c r="C70" s="1083">
        <f>'3B_Pay Raise'!O70</f>
        <v>324205</v>
      </c>
      <c r="D70" s="1083"/>
      <c r="E70" s="1083">
        <f>IFERROR([16]Base!E70/[16]Base!E$76*E$4,0)</f>
        <v>0</v>
      </c>
      <c r="F70" s="1083">
        <f>IFERROR([16]Base!F70/[16]Base!F$76*F$4,0)</f>
        <v>0</v>
      </c>
      <c r="G70" s="1083">
        <f>IFERROR([16]Base!G70/[16]Base!G$76*G$4,0)</f>
        <v>0</v>
      </c>
      <c r="H70" s="1083">
        <f>IFERROR([16]Base!H70/[16]Base!H$76*H$4,0)</f>
        <v>0</v>
      </c>
      <c r="I70" s="1083">
        <f>IFERROR([16]Base!I70/[16]Base!I$76*I$4,0)</f>
        <v>0</v>
      </c>
      <c r="J70" s="1083">
        <f>IFERROR([16]Base!J70/[16]Base!J$76*J$4,0)</f>
        <v>0</v>
      </c>
      <c r="K70" s="1083">
        <f>IFERROR([16]Base!K70/[16]Base!K$76*K$4,0)</f>
        <v>0</v>
      </c>
      <c r="L70" s="1083">
        <f>IFERROR([16]Base!L70/[16]Base!L$76*L$4,0)</f>
        <v>0</v>
      </c>
      <c r="M70" s="1083">
        <f>IFERROR([16]Base!M70/[16]Base!M$76*M$4,0)</f>
        <v>0</v>
      </c>
      <c r="N70" s="1083">
        <f>IFERROR([16]Base!N70/[16]Base!N$76*N$4,0)</f>
        <v>0</v>
      </c>
      <c r="O70" s="1083">
        <f>IFERROR([16]Base!O70/[16]Base!O$76*O$4,0)</f>
        <v>0</v>
      </c>
      <c r="P70" s="1083">
        <f>IFERROR([16]Base!P70/[16]Base!P$76*P$4,0)</f>
        <v>0</v>
      </c>
      <c r="Q70" s="1083">
        <f>IFERROR([16]Base!Q70/[16]Base!Q$76*Q$4,0)</f>
        <v>0</v>
      </c>
      <c r="R70" s="1083"/>
      <c r="S70" s="1083">
        <f>IFERROR([16]Base!S70/[16]Base!S$76*S$4,0)</f>
        <v>0</v>
      </c>
      <c r="T70" s="1083">
        <f>IFERROR([16]Base!T70/[16]Base!T$76*T$4,0)</f>
        <v>0</v>
      </c>
      <c r="U70" s="1083">
        <f>IFERROR([16]Base!U70/[16]Base!U$76*U$4,0)</f>
        <v>0</v>
      </c>
      <c r="V70" s="1083">
        <f>IFERROR([16]Base!V70/[16]Base!V$76*V$4,0)</f>
        <v>0</v>
      </c>
      <c r="W70" s="1083">
        <f>IFERROR([16]Base!W70/[16]Base!W$76*W$4,0)</f>
        <v>0</v>
      </c>
      <c r="X70" s="1083">
        <f>IFERROR([16]Base!X70/[16]Base!X$76*X$4,0)</f>
        <v>0</v>
      </c>
      <c r="Y70" s="1083">
        <f>IFERROR([16]Base!Y70/[16]Base!Y$76*Y$4,0)</f>
        <v>0</v>
      </c>
      <c r="Z70" s="1083"/>
      <c r="AA70" s="1083">
        <f>IFERROR([16]Base!AA70/[16]Base!AA$76*AA$4,0)</f>
        <v>0</v>
      </c>
      <c r="AB70" s="1083">
        <f>IFERROR([16]Base!AB70/[16]Base!AB$76*AB$4,0)</f>
        <v>159.41719077568135</v>
      </c>
      <c r="AC70" s="1083"/>
      <c r="AD70" s="1083"/>
      <c r="AE70" s="1083"/>
      <c r="AF70" s="1083">
        <f>IFERROR([16]Base!AF70/[16]Base!AF$76*AF$4,0)</f>
        <v>0</v>
      </c>
      <c r="AG70" s="1083">
        <f>IFERROR([16]Base!AG70/[16]Base!AG$76*AG$4,0)</f>
        <v>0</v>
      </c>
      <c r="AH70" s="1083">
        <f>IFERROR([16]Base!AH70/[16]Base!AH$76*AH$4,0)</f>
        <v>0</v>
      </c>
      <c r="AI70" s="1083">
        <f>IFERROR([16]Base!AI70/[16]Base!AI$76*AI$4,0)</f>
        <v>0</v>
      </c>
      <c r="AJ70" s="1083">
        <f>IFERROR([16]Base!AJ70/[16]Base!AJ$76*AJ$4,0)</f>
        <v>0</v>
      </c>
      <c r="AK70" s="1083">
        <f>IFERROR([16]Base!AK70/[16]Base!AK$76*AK$4,0)</f>
        <v>0</v>
      </c>
      <c r="AL70" s="1083">
        <f>IFERROR([16]Base!AL70/[16]Base!AL$76*AL$4,0)</f>
        <v>0</v>
      </c>
      <c r="AM70" s="1083">
        <f>IFERROR([16]Base!AM70/[16]Base!AM$76*AM$4,0)</f>
        <v>0</v>
      </c>
      <c r="AN70" s="1083">
        <f>IFERROR([16]Base!AN70/[16]Base!AN$76*AN$4,0)</f>
        <v>0</v>
      </c>
      <c r="AO70" s="1083">
        <f>IFERROR('8_2.1.19 SIS'!AO70/'8_2.1.19 SIS'!AO$76*AO$4,0)</f>
        <v>0</v>
      </c>
      <c r="AP70" s="1083">
        <f>IFERROR('8_2.1.19 SIS'!AP70/'8_2.1.19 SIS'!AP$76*AP$4,0)</f>
        <v>0</v>
      </c>
      <c r="AQ70" s="1083">
        <f>IFERROR('8_2.1.19 SIS'!AQ70/'8_2.1.19 SIS'!AQ$76*AQ$4,0)</f>
        <v>0</v>
      </c>
      <c r="AR70" s="1083">
        <f>IFERROR('8_2.1.19 SIS'!AR70/'8_2.1.19 SIS'!AR$76*AR$4,0)</f>
        <v>0</v>
      </c>
      <c r="AS70" s="1083">
        <f>IFERROR('8_2.1.19 SIS'!AS70/'8_2.1.19 SIS'!AS$76*AS$4,0)</f>
        <v>0</v>
      </c>
      <c r="AT70" s="1083">
        <f>IFERROR([16]Base!AT70/[16]Base!AT$76*AT$4,0)</f>
        <v>288.13802083333331</v>
      </c>
      <c r="AU70" s="1083">
        <f>IFERROR([16]Base!AU70/[16]Base!AU$76*AU$4,0)</f>
        <v>196.55405828893763</v>
      </c>
      <c r="AV70" s="1084">
        <f t="shared" si="3"/>
        <v>324849.10926989792</v>
      </c>
      <c r="AW70" s="1083">
        <f>IFERROR([16]Base!AW70/[16]Base!AW$76*AW$4,0)</f>
        <v>0</v>
      </c>
      <c r="AX70" s="1083">
        <f>IFERROR([16]Base!AX70/[16]Base!AX$76*AX$4,0)</f>
        <v>0</v>
      </c>
      <c r="AY70" s="1083">
        <f>IFERROR([16]Base!AY70/[16]Base!AY$76*AY$4,0)</f>
        <v>0</v>
      </c>
      <c r="AZ70" s="1083">
        <f>IFERROR([16]Base!AZ70/[16]Base!AZ$76*AZ$4,0)</f>
        <v>0</v>
      </c>
      <c r="BA70" s="1083">
        <f>IFERROR([16]Base!BA70/[16]Base!BA$76*BA$4,0)</f>
        <v>0</v>
      </c>
      <c r="BB70" s="1083">
        <f>IFERROR([16]Base!BB70/[16]Base!BB$76*BB$4,0)</f>
        <v>0</v>
      </c>
      <c r="BC70" s="1083">
        <f>IFERROR([16]Base!BC70/[16]Base!BC$76*BC$4,0)</f>
        <v>0</v>
      </c>
      <c r="BD70" s="1083">
        <f>IFERROR([16]Base!BD70/[16]Base!BD$76*BD$4,0)</f>
        <v>0</v>
      </c>
      <c r="BE70" s="1083">
        <f>IFERROR([16]Base!BE70/[16]Base!BE$76*BE$4,0)</f>
        <v>0</v>
      </c>
      <c r="BF70" s="1083">
        <f>IFERROR([16]Base!BF70/[16]Base!BF$76*BF$4,0)</f>
        <v>0</v>
      </c>
      <c r="BG70" s="1083">
        <f>IFERROR([16]Base!BG70/[16]Base!BG$76*BG$4,0)</f>
        <v>0</v>
      </c>
      <c r="BH70" s="1083">
        <f>IFERROR([16]Base!BH70/[16]Base!BH$76*BH$4,0)</f>
        <v>0</v>
      </c>
      <c r="BI70" s="1083">
        <f t="shared" si="2"/>
        <v>324849.10926989792</v>
      </c>
    </row>
    <row r="71" spans="1:61" s="270" customFormat="1" ht="16.149999999999999" customHeight="1" x14ac:dyDescent="0.2">
      <c r="A71" s="277" t="s">
        <v>128</v>
      </c>
      <c r="B71" s="262" t="s">
        <v>221</v>
      </c>
      <c r="C71" s="1085">
        <f>'3B_Pay Raise'!O71</f>
        <v>1274380</v>
      </c>
      <c r="D71" s="1085"/>
      <c r="E71" s="1085">
        <f>IFERROR([16]Base!E71/[16]Base!E$76*E$4,0)</f>
        <v>0</v>
      </c>
      <c r="F71" s="1085">
        <f>IFERROR([16]Base!F71/[16]Base!F$76*F$4,0)</f>
        <v>0</v>
      </c>
      <c r="G71" s="1085">
        <f>IFERROR([16]Base!G71/[16]Base!G$76*G$4,0)</f>
        <v>0</v>
      </c>
      <c r="H71" s="1085">
        <f>IFERROR([16]Base!H71/[16]Base!H$76*H$4,0)</f>
        <v>0</v>
      </c>
      <c r="I71" s="1085">
        <f>IFERROR([16]Base!I71/[16]Base!I$76*I$4,0)</f>
        <v>0</v>
      </c>
      <c r="J71" s="1085">
        <f>IFERROR([16]Base!J71/[16]Base!J$76*J$4,0)</f>
        <v>0</v>
      </c>
      <c r="K71" s="1085">
        <f>IFERROR([16]Base!K71/[16]Base!K$76*K$4,0)</f>
        <v>0</v>
      </c>
      <c r="L71" s="1085">
        <f>IFERROR([16]Base!L71/[16]Base!L$76*L$4,0)</f>
        <v>0</v>
      </c>
      <c r="M71" s="1085">
        <f>IFERROR([16]Base!M71/[16]Base!M$76*M$4,0)</f>
        <v>0</v>
      </c>
      <c r="N71" s="1085">
        <f>IFERROR([16]Base!N71/[16]Base!N$76*N$4,0)</f>
        <v>0</v>
      </c>
      <c r="O71" s="1085">
        <f>IFERROR([16]Base!O71/[16]Base!O$76*O$4,0)</f>
        <v>0</v>
      </c>
      <c r="P71" s="1085">
        <f>IFERROR([16]Base!P71/[16]Base!P$76*P$4,0)</f>
        <v>0</v>
      </c>
      <c r="Q71" s="1085">
        <f>IFERROR([16]Base!Q71/[16]Base!Q$76*Q$4,0)</f>
        <v>0</v>
      </c>
      <c r="R71" s="1085"/>
      <c r="S71" s="1085">
        <f>IFERROR([16]Base!S71/[16]Base!S$76*S$4,0)</f>
        <v>0</v>
      </c>
      <c r="T71" s="1085">
        <f>IFERROR([16]Base!T71/[16]Base!T$76*T$4,0)</f>
        <v>0</v>
      </c>
      <c r="U71" s="1085">
        <f>IFERROR([16]Base!U71/[16]Base!U$76*U$4,0)</f>
        <v>0</v>
      </c>
      <c r="V71" s="1085">
        <f>IFERROR([16]Base!V71/[16]Base!V$76*V$4,0)</f>
        <v>0</v>
      </c>
      <c r="W71" s="1085">
        <f>IFERROR([16]Base!W71/[16]Base!W$76*W$4,0)</f>
        <v>0</v>
      </c>
      <c r="X71" s="1085">
        <f>IFERROR([16]Base!X71/[16]Base!X$76*X$4,0)</f>
        <v>0</v>
      </c>
      <c r="Y71" s="1085">
        <f>IFERROR([16]Base!Y71/[16]Base!Y$76*Y$4,0)</f>
        <v>0</v>
      </c>
      <c r="Z71" s="1085"/>
      <c r="AA71" s="1085">
        <f>IFERROR([16]Base!AA71/[16]Base!AA$76*AA$4,0)</f>
        <v>0</v>
      </c>
      <c r="AB71" s="1085">
        <f>IFERROR([16]Base!AB71/[16]Base!AB$76*AB$4,0)</f>
        <v>0</v>
      </c>
      <c r="AC71" s="1085"/>
      <c r="AD71" s="1085"/>
      <c r="AE71" s="1085"/>
      <c r="AF71" s="1085">
        <f>IFERROR([16]Base!AF71/[16]Base!AF$76*AF$4,0)</f>
        <v>0</v>
      </c>
      <c r="AG71" s="1085">
        <f>IFERROR([16]Base!AG71/[16]Base!AG$76*AG$4,0)</f>
        <v>0</v>
      </c>
      <c r="AH71" s="1085">
        <f>IFERROR([16]Base!AH71/[16]Base!AH$76*AH$4,0)</f>
        <v>0</v>
      </c>
      <c r="AI71" s="1085">
        <f>IFERROR([16]Base!AI71/[16]Base!AI$76*AI$4,0)</f>
        <v>0</v>
      </c>
      <c r="AJ71" s="1085">
        <f>IFERROR([16]Base!AJ71/[16]Base!AJ$76*AJ$4,0)</f>
        <v>0</v>
      </c>
      <c r="AK71" s="1085">
        <f>IFERROR([16]Base!AK71/[16]Base!AK$76*AK$4,0)</f>
        <v>0</v>
      </c>
      <c r="AL71" s="1085">
        <f>IFERROR([16]Base!AL71/[16]Base!AL$76*AL$4,0)</f>
        <v>0</v>
      </c>
      <c r="AM71" s="1085">
        <f>IFERROR([16]Base!AM71/[16]Base!AM$76*AM$4,0)</f>
        <v>0</v>
      </c>
      <c r="AN71" s="1085">
        <f>IFERROR([16]Base!AN71/[16]Base!AN$76*AN$4,0)</f>
        <v>0</v>
      </c>
      <c r="AO71" s="1085">
        <f>IFERROR('8_2.1.19 SIS'!AO71/'8_2.1.19 SIS'!AO$76*AO$4,0)</f>
        <v>0</v>
      </c>
      <c r="AP71" s="1085">
        <f>IFERROR('8_2.1.19 SIS'!AP71/'8_2.1.19 SIS'!AP$76*AP$4,0)</f>
        <v>0</v>
      </c>
      <c r="AQ71" s="1085">
        <f>IFERROR('8_2.1.19 SIS'!AQ71/'8_2.1.19 SIS'!AQ$76*AQ$4,0)</f>
        <v>0</v>
      </c>
      <c r="AR71" s="1085">
        <f>IFERROR('8_2.1.19 SIS'!AR71/'8_2.1.19 SIS'!AR$76*AR$4,0)</f>
        <v>0</v>
      </c>
      <c r="AS71" s="1085">
        <f>IFERROR('8_2.1.19 SIS'!AS71/'8_2.1.19 SIS'!AS$76*AS$4,0)</f>
        <v>0</v>
      </c>
      <c r="AT71" s="1085">
        <f>IFERROR([16]Base!AT71/[16]Base!AT$76*AT$4,0)</f>
        <v>518.6484375</v>
      </c>
      <c r="AU71" s="1085">
        <f>IFERROR([16]Base!AU71/[16]Base!AU$76*AU$4,0)</f>
        <v>884.49326230021938</v>
      </c>
      <c r="AV71" s="1086">
        <f>SUM(C71:AU71)</f>
        <v>1275783.1416998003</v>
      </c>
      <c r="AW71" s="1085">
        <f>IFERROR([16]Base!AW71/[16]Base!AW$76*AW$4,0)</f>
        <v>16932.040892193309</v>
      </c>
      <c r="AX71" s="1085">
        <f>IFERROR([16]Base!AX71/[16]Base!AX$76*AX$4,0)</f>
        <v>0</v>
      </c>
      <c r="AY71" s="1085">
        <f>IFERROR([16]Base!AY71/[16]Base!AY$76*AY$4,0)</f>
        <v>0</v>
      </c>
      <c r="AZ71" s="1085">
        <f>IFERROR([16]Base!AZ71/[16]Base!AZ$76*AZ$4,0)</f>
        <v>0</v>
      </c>
      <c r="BA71" s="1085">
        <f>IFERROR([16]Base!BA71/[16]Base!BA$76*BA$4,0)</f>
        <v>0</v>
      </c>
      <c r="BB71" s="1085">
        <f>IFERROR([16]Base!BB71/[16]Base!BB$76*BB$4,0)</f>
        <v>0</v>
      </c>
      <c r="BC71" s="1085">
        <f>IFERROR([16]Base!BC71/[16]Base!BC$76*BC$4,0)</f>
        <v>0</v>
      </c>
      <c r="BD71" s="1085">
        <f>IFERROR([16]Base!BD71/[16]Base!BD$76*BD$4,0)</f>
        <v>0</v>
      </c>
      <c r="BE71" s="1085">
        <f>IFERROR([16]Base!BE71/[16]Base!BE$76*BE$4,0)</f>
        <v>0</v>
      </c>
      <c r="BF71" s="1085">
        <f>IFERROR([16]Base!BF71/[16]Base!BF$76*BF$4,0)</f>
        <v>382.28491620111731</v>
      </c>
      <c r="BG71" s="1085">
        <f>IFERROR([16]Base!BG71/[16]Base!BG$76*BG$4,0)</f>
        <v>0</v>
      </c>
      <c r="BH71" s="1087">
        <f>IFERROR([16]Base!BH71/[16]Base!BH$76*BH$4,0)</f>
        <v>219.72254335260115</v>
      </c>
      <c r="BI71" s="1085">
        <f>SUM(AV71:BH71)</f>
        <v>1293317.1900515473</v>
      </c>
    </row>
    <row r="72" spans="1:61" s="270" customFormat="1" ht="16.149999999999999" customHeight="1" x14ac:dyDescent="0.2">
      <c r="A72" s="273" t="s">
        <v>129</v>
      </c>
      <c r="B72" s="264" t="s">
        <v>222</v>
      </c>
      <c r="C72" s="1079">
        <f>'3B_Pay Raise'!O72</f>
        <v>293592</v>
      </c>
      <c r="D72" s="1079"/>
      <c r="E72" s="1079">
        <f>IFERROR([16]Base!E72/[16]Base!E$76*E$4,0)</f>
        <v>0</v>
      </c>
      <c r="F72" s="1079">
        <f>IFERROR([16]Base!F72/[16]Base!F$76*F$4,0)</f>
        <v>0</v>
      </c>
      <c r="G72" s="1079">
        <f>IFERROR([16]Base!G72/[16]Base!G$76*G$4,0)</f>
        <v>0</v>
      </c>
      <c r="H72" s="1079">
        <f>IFERROR([16]Base!H72/[16]Base!H$76*H$4,0)</f>
        <v>0</v>
      </c>
      <c r="I72" s="1079">
        <f>IFERROR([16]Base!I72/[16]Base!I$76*I$4,0)</f>
        <v>0</v>
      </c>
      <c r="J72" s="1079">
        <f>IFERROR([16]Base!J72/[16]Base!J$76*J$4,0)</f>
        <v>0</v>
      </c>
      <c r="K72" s="1079">
        <f>IFERROR([16]Base!K72/[16]Base!K$76*K$4,0)</f>
        <v>0</v>
      </c>
      <c r="L72" s="1079">
        <f>IFERROR([16]Base!L72/[16]Base!L$76*L$4,0)</f>
        <v>0</v>
      </c>
      <c r="M72" s="1079">
        <f>IFERROR([16]Base!M72/[16]Base!M$76*M$4,0)</f>
        <v>0</v>
      </c>
      <c r="N72" s="1079">
        <f>IFERROR([16]Base!N72/[16]Base!N$76*N$4,0)</f>
        <v>0</v>
      </c>
      <c r="O72" s="1079">
        <f>IFERROR([16]Base!O72/[16]Base!O$76*O$4,0)</f>
        <v>0</v>
      </c>
      <c r="P72" s="1079">
        <f>IFERROR([16]Base!P72/[16]Base!P$76*P$4,0)</f>
        <v>0</v>
      </c>
      <c r="Q72" s="1079">
        <f>IFERROR([16]Base!Q72/[16]Base!Q$76*Q$4,0)</f>
        <v>0</v>
      </c>
      <c r="R72" s="1079"/>
      <c r="S72" s="1079">
        <f>IFERROR([16]Base!S72/[16]Base!S$76*S$4,0)</f>
        <v>0</v>
      </c>
      <c r="T72" s="1079">
        <f>IFERROR([16]Base!T72/[16]Base!T$76*T$4,0)</f>
        <v>0</v>
      </c>
      <c r="U72" s="1079">
        <f>IFERROR([16]Base!U72/[16]Base!U$76*U$4,0)</f>
        <v>0</v>
      </c>
      <c r="V72" s="1079">
        <f>IFERROR([16]Base!V72/[16]Base!V$76*V$4,0)</f>
        <v>0</v>
      </c>
      <c r="W72" s="1079">
        <f>IFERROR([16]Base!W72/[16]Base!W$76*W$4,0)</f>
        <v>0</v>
      </c>
      <c r="X72" s="1079">
        <f>IFERROR([16]Base!X72/[16]Base!X$76*X$4,0)</f>
        <v>0</v>
      </c>
      <c r="Y72" s="1079">
        <f>IFERROR([16]Base!Y72/[16]Base!Y$76*Y$4,0)</f>
        <v>0</v>
      </c>
      <c r="Z72" s="1079"/>
      <c r="AA72" s="1079">
        <f>IFERROR([16]Base!AA72/[16]Base!AA$76*AA$4,0)</f>
        <v>0</v>
      </c>
      <c r="AB72" s="1080">
        <f>IFERROR([16]Base!AB72/[16]Base!AB$76*AB$4,0)</f>
        <v>0</v>
      </c>
      <c r="AC72" s="1080"/>
      <c r="AD72" s="1080"/>
      <c r="AE72" s="1080"/>
      <c r="AF72" s="1080">
        <f>IFERROR([16]Base!AF72/[16]Base!AF$76*AF$4,0)</f>
        <v>0</v>
      </c>
      <c r="AG72" s="1080">
        <f>IFERROR([16]Base!AG72/[16]Base!AG$76*AG$4,0)</f>
        <v>0</v>
      </c>
      <c r="AH72" s="1080">
        <f>IFERROR([16]Base!AH72/[16]Base!AH$76*AH$4,0)</f>
        <v>0</v>
      </c>
      <c r="AI72" s="1080">
        <f>IFERROR([16]Base!AI72/[16]Base!AI$76*AI$4,0)</f>
        <v>0</v>
      </c>
      <c r="AJ72" s="1080">
        <f>IFERROR([16]Base!AJ72/[16]Base!AJ$76*AJ$4,0)</f>
        <v>0</v>
      </c>
      <c r="AK72" s="1080">
        <f>IFERROR([16]Base!AK72/[16]Base!AK$76*AK$4,0)</f>
        <v>0</v>
      </c>
      <c r="AL72" s="1080">
        <f>IFERROR([16]Base!AL72/[16]Base!AL$76*AL$4,0)</f>
        <v>0</v>
      </c>
      <c r="AM72" s="1080">
        <f>IFERROR([16]Base!AM72/[16]Base!AM$76*AM$4,0)</f>
        <v>0</v>
      </c>
      <c r="AN72" s="1080">
        <f>IFERROR([16]Base!AN72/[16]Base!AN$76*AN$4,0)</f>
        <v>0</v>
      </c>
      <c r="AO72" s="1080">
        <f>IFERROR('8_2.1.19 SIS'!AO72/'8_2.1.19 SIS'!AO$76*AO$4,0)</f>
        <v>0</v>
      </c>
      <c r="AP72" s="1080">
        <f>IFERROR('8_2.1.19 SIS'!AP72/'8_2.1.19 SIS'!AP$76*AP$4,0)</f>
        <v>0</v>
      </c>
      <c r="AQ72" s="1080">
        <f>IFERROR('8_2.1.19 SIS'!AQ72/'8_2.1.19 SIS'!AQ$76*AQ$4,0)</f>
        <v>0</v>
      </c>
      <c r="AR72" s="1080">
        <f>IFERROR('8_2.1.19 SIS'!AR72/'8_2.1.19 SIS'!AR$76*AR$4,0)</f>
        <v>0</v>
      </c>
      <c r="AS72" s="1080">
        <f>IFERROR('8_2.1.19 SIS'!AS72/'8_2.1.19 SIS'!AS$76*AS$4,0)</f>
        <v>0</v>
      </c>
      <c r="AT72" s="1079">
        <f>IFERROR([16]Base!AT72/[16]Base!AT$76*AT$4,0)</f>
        <v>1037.296875</v>
      </c>
      <c r="AU72" s="1079">
        <f>IFERROR([16]Base!AU72/[16]Base!AU$76*AU$4,0)</f>
        <v>2948.3108743340645</v>
      </c>
      <c r="AV72" s="1081">
        <f>SUM(C72:AU72)</f>
        <v>297577.60774933407</v>
      </c>
      <c r="AW72" s="1079">
        <f>IFERROR([16]Base!AW72/[16]Base!AW$76*AW$4,0)</f>
        <v>0</v>
      </c>
      <c r="AX72" s="1079">
        <f>IFERROR([16]Base!AX72/[16]Base!AX$76*AX$4,0)</f>
        <v>0</v>
      </c>
      <c r="AY72" s="1079">
        <f>IFERROR([16]Base!AY72/[16]Base!AY$76*AY$4,0)</f>
        <v>0</v>
      </c>
      <c r="AZ72" s="1079">
        <f>IFERROR([16]Base!AZ72/[16]Base!AZ$76*AZ$4,0)</f>
        <v>0</v>
      </c>
      <c r="BA72" s="1079">
        <f>IFERROR([16]Base!BA72/[16]Base!BA$76*BA$4,0)</f>
        <v>0</v>
      </c>
      <c r="BB72" s="1079">
        <f>IFERROR([16]Base!BB72/[16]Base!BB$76*BB$4,0)</f>
        <v>0</v>
      </c>
      <c r="BC72" s="1079">
        <f>IFERROR([16]Base!BC72/[16]Base!BC$76*BC$4,0)</f>
        <v>0</v>
      </c>
      <c r="BD72" s="1079">
        <f>IFERROR([16]Base!BD72/[16]Base!BD$76*BD$4,0)</f>
        <v>0</v>
      </c>
      <c r="BE72" s="1079">
        <f>IFERROR([16]Base!BE72/[16]Base!BE$76*BE$4,0)</f>
        <v>0</v>
      </c>
      <c r="BF72" s="1079">
        <f>IFERROR([16]Base!BF72/[16]Base!BF$76*BF$4,0)</f>
        <v>0</v>
      </c>
      <c r="BG72" s="1079">
        <f>IFERROR([16]Base!BG72/[16]Base!BG$76*BG$4,0)</f>
        <v>0</v>
      </c>
      <c r="BH72" s="1082">
        <f>IFERROR([16]Base!BH72/[16]Base!BH$76*BH$4,0)</f>
        <v>0</v>
      </c>
      <c r="BI72" s="1079">
        <f>SUM(AV72:BH72)</f>
        <v>297577.60774933407</v>
      </c>
    </row>
    <row r="73" spans="1:61" s="270" customFormat="1" ht="16.149999999999999" customHeight="1" x14ac:dyDescent="0.2">
      <c r="A73" s="275" t="s">
        <v>223</v>
      </c>
      <c r="B73" s="260" t="s">
        <v>224</v>
      </c>
      <c r="C73" s="1083">
        <f>'3B_Pay Raise'!O73</f>
        <v>641527</v>
      </c>
      <c r="D73" s="1083"/>
      <c r="E73" s="1083">
        <f>IFERROR([16]Base!E73/[16]Base!E$76*E$4,0)</f>
        <v>810.02105263157898</v>
      </c>
      <c r="F73" s="1083">
        <f>IFERROR([16]Base!F73/[16]Base!F$76*F$4,0)</f>
        <v>0</v>
      </c>
      <c r="G73" s="1083">
        <f>IFERROR([16]Base!G73/[16]Base!G$76*G$4,0)</f>
        <v>0</v>
      </c>
      <c r="H73" s="1083">
        <f>IFERROR([16]Base!H73/[16]Base!H$76*H$4,0)</f>
        <v>0</v>
      </c>
      <c r="I73" s="1083">
        <f>IFERROR([16]Base!I73/[16]Base!I$76*I$4,0)</f>
        <v>0</v>
      </c>
      <c r="J73" s="1083">
        <f>IFERROR([16]Base!J73/[16]Base!J$76*J$4,0)</f>
        <v>0</v>
      </c>
      <c r="K73" s="1083">
        <f>IFERROR([16]Base!K73/[16]Base!K$76*K$4,0)</f>
        <v>0</v>
      </c>
      <c r="L73" s="1083">
        <f>IFERROR([16]Base!L73/[16]Base!L$76*L$4,0)</f>
        <v>0</v>
      </c>
      <c r="M73" s="1083">
        <f>IFERROR([16]Base!M73/[16]Base!M$76*M$4,0)</f>
        <v>1723.0026315789473</v>
      </c>
      <c r="N73" s="1083">
        <f>IFERROR([16]Base!N73/[16]Base!N$76*N$4,0)</f>
        <v>0</v>
      </c>
      <c r="O73" s="1083">
        <f>IFERROR([16]Base!O73/[16]Base!O$76*O$4,0)</f>
        <v>0</v>
      </c>
      <c r="P73" s="1083">
        <f>IFERROR([16]Base!P73/[16]Base!P$76*P$4,0)</f>
        <v>0</v>
      </c>
      <c r="Q73" s="1083">
        <f>IFERROR([16]Base!Q73/[16]Base!Q$76*Q$4,0)</f>
        <v>1405.1802030456854</v>
      </c>
      <c r="R73" s="1083"/>
      <c r="S73" s="1083">
        <f>IFERROR([16]Base!S73/[16]Base!S$76*S$4,0)</f>
        <v>2617.8594704684315</v>
      </c>
      <c r="T73" s="1083">
        <f>IFERROR([16]Base!T73/[16]Base!T$76*T$4,0)</f>
        <v>0</v>
      </c>
      <c r="U73" s="1083">
        <f>IFERROR([16]Base!U73/[16]Base!U$76*U$4,0)</f>
        <v>0</v>
      </c>
      <c r="V73" s="1083">
        <f>IFERROR([16]Base!V73/[16]Base!V$76*V$4,0)</f>
        <v>0</v>
      </c>
      <c r="W73" s="1083">
        <f>IFERROR([16]Base!W73/[16]Base!W$76*W$4,0)</f>
        <v>0</v>
      </c>
      <c r="X73" s="1083">
        <f>IFERROR([16]Base!X73/[16]Base!X$76*X$4,0)</f>
        <v>0</v>
      </c>
      <c r="Y73" s="1083">
        <f>IFERROR([16]Base!Y73/[16]Base!Y$76*Y$4,0)</f>
        <v>0</v>
      </c>
      <c r="Z73" s="1083"/>
      <c r="AA73" s="1083">
        <f>IFERROR([16]Base!AA73/[16]Base!AA$76*AA$4,0)</f>
        <v>142.07828655834564</v>
      </c>
      <c r="AB73" s="1083">
        <f>IFERROR([16]Base!AB73/[16]Base!AB$76*AB$4,0)</f>
        <v>0</v>
      </c>
      <c r="AC73" s="1083"/>
      <c r="AD73" s="1083"/>
      <c r="AE73" s="1083"/>
      <c r="AF73" s="1083">
        <f>IFERROR([16]Base!AF73/[16]Base!AF$76*AF$4,0)</f>
        <v>0</v>
      </c>
      <c r="AG73" s="1083">
        <f>IFERROR([16]Base!AG73/[16]Base!AG$76*AG$4,0)</f>
        <v>0</v>
      </c>
      <c r="AH73" s="1083">
        <f>IFERROR([16]Base!AH73/[16]Base!AH$76*AH$4,0)</f>
        <v>0</v>
      </c>
      <c r="AI73" s="1083">
        <f>IFERROR([16]Base!AI73/[16]Base!AI$76*AI$4,0)</f>
        <v>133.04534606205252</v>
      </c>
      <c r="AJ73" s="1083">
        <f>IFERROR([16]Base!AJ73/[16]Base!AJ$76*AJ$4,0)</f>
        <v>81.537433155080208</v>
      </c>
      <c r="AK73" s="1083">
        <f>IFERROR([16]Base!AK73/[16]Base!AK$76*AK$4,0)</f>
        <v>0</v>
      </c>
      <c r="AL73" s="1083">
        <f>IFERROR([16]Base!AL73/[16]Base!AL$76*AL$4,0)</f>
        <v>0</v>
      </c>
      <c r="AM73" s="1083">
        <f>IFERROR([16]Base!AM73/[16]Base!AM$76*AM$4,0)</f>
        <v>0</v>
      </c>
      <c r="AN73" s="1083">
        <f>IFERROR([16]Base!AN73/[16]Base!AN$76*AN$4,0)</f>
        <v>0</v>
      </c>
      <c r="AO73" s="1083">
        <f>IFERROR('8_2.1.19 SIS'!AO73/'8_2.1.19 SIS'!AO$76*AO$4,0)</f>
        <v>0</v>
      </c>
      <c r="AP73" s="1083">
        <f>IFERROR('8_2.1.19 SIS'!AP73/'8_2.1.19 SIS'!AP$76*AP$4,0)</f>
        <v>0</v>
      </c>
      <c r="AQ73" s="1083">
        <f>IFERROR('8_2.1.19 SIS'!AQ73/'8_2.1.19 SIS'!AQ$76*AQ$4,0)</f>
        <v>0</v>
      </c>
      <c r="AR73" s="1083">
        <f>IFERROR('8_2.1.19 SIS'!AR73/'8_2.1.19 SIS'!AR$76*AR$4,0)</f>
        <v>0</v>
      </c>
      <c r="AS73" s="1083">
        <f>IFERROR('8_2.1.19 SIS'!AS73/'8_2.1.19 SIS'!AS$76*AS$4,0)</f>
        <v>0</v>
      </c>
      <c r="AT73" s="1083">
        <f>IFERROR([16]Base!AT73/[16]Base!AT$76*AT$4,0)</f>
        <v>691.53125</v>
      </c>
      <c r="AU73" s="1083">
        <f>IFERROR([16]Base!AU73/[16]Base!AU$76*AU$4,0)</f>
        <v>3439.6960200564085</v>
      </c>
      <c r="AV73" s="1084">
        <f>SUM(C73:AU73)</f>
        <v>652570.95169355662</v>
      </c>
      <c r="AW73" s="1083">
        <f>IFERROR([16]Base!AW73/[16]Base!AW$76*AW$4,0)</f>
        <v>0</v>
      </c>
      <c r="AX73" s="1083">
        <f>IFERROR([16]Base!AX73/[16]Base!AX$76*AX$4,0)</f>
        <v>0</v>
      </c>
      <c r="AY73" s="1083">
        <f>IFERROR([16]Base!AY73/[16]Base!AY$76*AY$4,0)</f>
        <v>0</v>
      </c>
      <c r="AZ73" s="1083">
        <f>IFERROR([16]Base!AZ73/[16]Base!AZ$76*AZ$4,0)</f>
        <v>0</v>
      </c>
      <c r="BA73" s="1083">
        <f>IFERROR([16]Base!BA73/[16]Base!BA$76*BA$4,0)</f>
        <v>0</v>
      </c>
      <c r="BB73" s="1083">
        <f>IFERROR([16]Base!BB73/[16]Base!BB$76*BB$4,0)</f>
        <v>0</v>
      </c>
      <c r="BC73" s="1083">
        <f>IFERROR([16]Base!BC73/[16]Base!BC$76*BC$4,0)</f>
        <v>0</v>
      </c>
      <c r="BD73" s="1083">
        <f>IFERROR([16]Base!BD73/[16]Base!BD$76*BD$4,0)</f>
        <v>0</v>
      </c>
      <c r="BE73" s="1083">
        <f>IFERROR([16]Base!BE73/[16]Base!BE$76*BE$4,0)</f>
        <v>0</v>
      </c>
      <c r="BF73" s="1083">
        <f>IFERROR([16]Base!BF73/[16]Base!BF$76*BF$4,0)</f>
        <v>1146.8547486033519</v>
      </c>
      <c r="BG73" s="1083">
        <f>IFERROR([16]Base!BG73/[16]Base!BG$76*BG$4,0)</f>
        <v>0</v>
      </c>
      <c r="BH73" s="1083">
        <f>IFERROR([16]Base!BH73/[16]Base!BH$76*BH$4,0)</f>
        <v>439.4450867052023</v>
      </c>
      <c r="BI73" s="1083">
        <f>SUM(AV73:BH73)</f>
        <v>654157.25152886508</v>
      </c>
    </row>
    <row r="74" spans="1:61" s="270" customFormat="1" ht="16.149999999999999" customHeight="1" x14ac:dyDescent="0.2">
      <c r="A74" s="275" t="s">
        <v>130</v>
      </c>
      <c r="B74" s="260" t="s">
        <v>225</v>
      </c>
      <c r="C74" s="1083">
        <f>'3B_Pay Raise'!O74</f>
        <v>190329</v>
      </c>
      <c r="D74" s="1083"/>
      <c r="E74" s="1083">
        <f>IFERROR([16]Base!E74/[16]Base!E$76*E$4,0)</f>
        <v>1417.5368421052631</v>
      </c>
      <c r="F74" s="1083">
        <f>IFERROR([16]Base!F74/[16]Base!F$76*F$4,0)</f>
        <v>0</v>
      </c>
      <c r="G74" s="1083">
        <f>IFERROR([16]Base!G74/[16]Base!G$76*G$4,0)</f>
        <v>0</v>
      </c>
      <c r="H74" s="1083">
        <f>IFERROR([16]Base!H74/[16]Base!H$76*H$4,0)</f>
        <v>0</v>
      </c>
      <c r="I74" s="1083">
        <f>IFERROR([16]Base!I74/[16]Base!I$76*I$4,0)</f>
        <v>0</v>
      </c>
      <c r="J74" s="1083">
        <f>IFERROR([16]Base!J74/[16]Base!J$76*J$4,0)</f>
        <v>0</v>
      </c>
      <c r="K74" s="1083">
        <f>IFERROR([16]Base!K74/[16]Base!K$76*K$4,0)</f>
        <v>0</v>
      </c>
      <c r="L74" s="1083">
        <f>IFERROR([16]Base!L74/[16]Base!L$76*L$4,0)</f>
        <v>0</v>
      </c>
      <c r="M74" s="1083">
        <f>IFERROR([16]Base!M74/[16]Base!M$76*M$4,0)</f>
        <v>3063.1157894736843</v>
      </c>
      <c r="N74" s="1083">
        <f>IFERROR([16]Base!N74/[16]Base!N$76*N$4,0)</f>
        <v>0</v>
      </c>
      <c r="O74" s="1083">
        <f>IFERROR([16]Base!O74/[16]Base!O$76*O$4,0)</f>
        <v>1473.4615384615386</v>
      </c>
      <c r="P74" s="1083">
        <f>IFERROR([16]Base!P74/[16]Base!P$76*P$4,0)</f>
        <v>0</v>
      </c>
      <c r="Q74" s="1083">
        <f>IFERROR([16]Base!Q74/[16]Base!Q$76*Q$4,0)</f>
        <v>24782.269035532994</v>
      </c>
      <c r="R74" s="1083"/>
      <c r="S74" s="1083">
        <f>IFERROR([16]Base!S74/[16]Base!S$76*S$4,0)</f>
        <v>35272.211812627291</v>
      </c>
      <c r="T74" s="1083">
        <f>IFERROR([16]Base!T74/[16]Base!T$76*T$4,0)</f>
        <v>0</v>
      </c>
      <c r="U74" s="1083">
        <f>IFERROR([16]Base!U74/[16]Base!U$76*U$4,0)</f>
        <v>0</v>
      </c>
      <c r="V74" s="1083">
        <f>IFERROR([16]Base!V74/[16]Base!V$76*V$4,0)</f>
        <v>0</v>
      </c>
      <c r="W74" s="1083">
        <f>IFERROR([16]Base!W74/[16]Base!W$76*W$4,0)</f>
        <v>0</v>
      </c>
      <c r="X74" s="1083">
        <f>IFERROR([16]Base!X74/[16]Base!X$76*X$4,0)</f>
        <v>0</v>
      </c>
      <c r="Y74" s="1083">
        <f>IFERROR([16]Base!Y74/[16]Base!Y$76*Y$4,0)</f>
        <v>0</v>
      </c>
      <c r="Z74" s="1083"/>
      <c r="AA74" s="1083">
        <f>IFERROR([16]Base!AA74/[16]Base!AA$76*AA$4,0)</f>
        <v>2841.5657311669129</v>
      </c>
      <c r="AB74" s="1083">
        <f>IFERROR([16]Base!AB74/[16]Base!AB$76*AB$4,0)</f>
        <v>0</v>
      </c>
      <c r="AC74" s="1083"/>
      <c r="AD74" s="1083"/>
      <c r="AE74" s="1083"/>
      <c r="AF74" s="1083">
        <f>IFERROR([16]Base!AF74/[16]Base!AF$76*AF$4,0)</f>
        <v>0</v>
      </c>
      <c r="AG74" s="1083">
        <f>IFERROR([16]Base!AG74/[16]Base!AG$76*AG$4,0)</f>
        <v>0</v>
      </c>
      <c r="AH74" s="1083">
        <f>IFERROR([16]Base!AH74/[16]Base!AH$76*AH$4,0)</f>
        <v>0</v>
      </c>
      <c r="AI74" s="1083">
        <f>IFERROR([16]Base!AI74/[16]Base!AI$76*AI$4,0)</f>
        <v>1995.6801909307876</v>
      </c>
      <c r="AJ74" s="1083">
        <f>IFERROR([16]Base!AJ74/[16]Base!AJ$76*AJ$4,0)</f>
        <v>1059.9866310160428</v>
      </c>
      <c r="AK74" s="1083">
        <f>IFERROR([16]Base!AK74/[16]Base!AK$76*AK$4,0)</f>
        <v>0</v>
      </c>
      <c r="AL74" s="1083">
        <f>IFERROR([16]Base!AL74/[16]Base!AL$76*AL$4,0)</f>
        <v>0</v>
      </c>
      <c r="AM74" s="1083">
        <f>IFERROR([16]Base!AM74/[16]Base!AM$76*AM$4,0)</f>
        <v>583.95833333333326</v>
      </c>
      <c r="AN74" s="1083">
        <f>IFERROR([16]Base!AN74/[16]Base!AN$76*AN$4,0)</f>
        <v>0</v>
      </c>
      <c r="AO74" s="1083">
        <f>IFERROR('8_2.1.19 SIS'!AO74/'8_2.1.19 SIS'!AO$76*AO$4,0)</f>
        <v>0</v>
      </c>
      <c r="AP74" s="1083">
        <f>IFERROR('8_2.1.19 SIS'!AP74/'8_2.1.19 SIS'!AP$76*AP$4,0)</f>
        <v>0</v>
      </c>
      <c r="AQ74" s="1083">
        <f>IFERROR('8_2.1.19 SIS'!AQ74/'8_2.1.19 SIS'!AQ$76*AQ$4,0)</f>
        <v>0</v>
      </c>
      <c r="AR74" s="1083">
        <f>IFERROR('8_2.1.19 SIS'!AR74/'8_2.1.19 SIS'!AR$76*AR$4,0)</f>
        <v>0</v>
      </c>
      <c r="AS74" s="1083">
        <f>IFERROR('8_2.1.19 SIS'!AS74/'8_2.1.19 SIS'!AS$76*AS$4,0)</f>
        <v>0</v>
      </c>
      <c r="AT74" s="1083">
        <f>IFERROR([16]Base!AT74/[16]Base!AT$76*AT$4,0)</f>
        <v>288.13802083333331</v>
      </c>
      <c r="AU74" s="1083">
        <f>IFERROR([16]Base!AU74/[16]Base!AU$76*AU$4,0)</f>
        <v>1375.8784080225635</v>
      </c>
      <c r="AV74" s="1084">
        <f>SUM(C74:AU74)</f>
        <v>264482.80233350373</v>
      </c>
      <c r="AW74" s="1083">
        <f>IFERROR([16]Base!AW74/[16]Base!AW$76*AW$4,0)</f>
        <v>0</v>
      </c>
      <c r="AX74" s="1083">
        <f>IFERROR([16]Base!AX74/[16]Base!AX$76*AX$4,0)</f>
        <v>0</v>
      </c>
      <c r="AY74" s="1083">
        <f>IFERROR([16]Base!AY74/[16]Base!AY$76*AY$4,0)</f>
        <v>0</v>
      </c>
      <c r="AZ74" s="1083">
        <f>IFERROR([16]Base!AZ74/[16]Base!AZ$76*AZ$4,0)</f>
        <v>0</v>
      </c>
      <c r="BA74" s="1083">
        <f>IFERROR([16]Base!BA74/[16]Base!BA$76*BA$4,0)</f>
        <v>0</v>
      </c>
      <c r="BB74" s="1083">
        <f>IFERROR([16]Base!BB74/[16]Base!BB$76*BB$4,0)</f>
        <v>0</v>
      </c>
      <c r="BC74" s="1083">
        <f>IFERROR([16]Base!BC74/[16]Base!BC$76*BC$4,0)</f>
        <v>0</v>
      </c>
      <c r="BD74" s="1083">
        <f>IFERROR([16]Base!BD74/[16]Base!BD$76*BD$4,0)</f>
        <v>0</v>
      </c>
      <c r="BE74" s="1083">
        <f>IFERROR([16]Base!BE74/[16]Base!BE$76*BE$4,0)</f>
        <v>0</v>
      </c>
      <c r="BF74" s="1083">
        <f>IFERROR([16]Base!BF74/[16]Base!BF$76*BF$4,0)</f>
        <v>0</v>
      </c>
      <c r="BG74" s="1083">
        <f>IFERROR([16]Base!BG74/[16]Base!BG$76*BG$4,0)</f>
        <v>0</v>
      </c>
      <c r="BH74" s="1083">
        <f>IFERROR([16]Base!BH74/[16]Base!BH$76*BH$4,0)</f>
        <v>439.4450867052023</v>
      </c>
      <c r="BI74" s="1083">
        <f>SUM(AV74:BH74)</f>
        <v>264922.24742020894</v>
      </c>
    </row>
    <row r="75" spans="1:61" s="270" customFormat="1" ht="16.149999999999999" customHeight="1" x14ac:dyDescent="0.2">
      <c r="A75" s="275" t="s">
        <v>226</v>
      </c>
      <c r="B75" s="260" t="s">
        <v>227</v>
      </c>
      <c r="C75" s="1083">
        <f>'3B_Pay Raise'!O75</f>
        <v>508302</v>
      </c>
      <c r="D75" s="1083"/>
      <c r="E75" s="1083">
        <f>IFERROR([16]Base!E75/[16]Base!E$76*E$4,0)</f>
        <v>101.25263157894737</v>
      </c>
      <c r="F75" s="1083">
        <f>IFERROR([16]Base!F75/[16]Base!F$76*F$4,0)</f>
        <v>0</v>
      </c>
      <c r="G75" s="1083">
        <f>IFERROR([16]Base!G75/[16]Base!G$76*G$4,0)</f>
        <v>0</v>
      </c>
      <c r="H75" s="1083">
        <f>IFERROR([16]Base!H75/[16]Base!H$76*H$4,0)</f>
        <v>0</v>
      </c>
      <c r="I75" s="1083">
        <f>IFERROR([16]Base!I75/[16]Base!I$76*I$4,0)</f>
        <v>0</v>
      </c>
      <c r="J75" s="1083">
        <f>IFERROR([16]Base!J75/[16]Base!J$76*J$4,0)</f>
        <v>0</v>
      </c>
      <c r="K75" s="1083">
        <f>IFERROR([16]Base!K75/[16]Base!K$76*K$4,0)</f>
        <v>0</v>
      </c>
      <c r="L75" s="1083">
        <f>IFERROR([16]Base!L75/[16]Base!L$76*L$4,0)</f>
        <v>0</v>
      </c>
      <c r="M75" s="1083">
        <f>IFERROR([16]Base!M75/[16]Base!M$76*M$4,0)</f>
        <v>3637.4500000000003</v>
      </c>
      <c r="N75" s="1083">
        <f>IFERROR([16]Base!N75/[16]Base!N$76*N$4,0)</f>
        <v>0</v>
      </c>
      <c r="O75" s="1083">
        <f>IFERROR([16]Base!O75/[16]Base!O$76*O$4,0)</f>
        <v>669.7552447552448</v>
      </c>
      <c r="P75" s="1083">
        <f>IFERROR([16]Base!P75/[16]Base!P$76*P$4,0)</f>
        <v>0</v>
      </c>
      <c r="Q75" s="1083">
        <f>IFERROR([16]Base!Q75/[16]Base!Q$76*Q$4,0)</f>
        <v>383.23096446700509</v>
      </c>
      <c r="R75" s="1083"/>
      <c r="S75" s="1083">
        <f>IFERROR([16]Base!S75/[16]Base!S$76*S$4,0)</f>
        <v>551.12830957230142</v>
      </c>
      <c r="T75" s="1083">
        <f>IFERROR([16]Base!T75/[16]Base!T$76*T$4,0)</f>
        <v>0</v>
      </c>
      <c r="U75" s="1083">
        <f>IFERROR([16]Base!U75/[16]Base!U$76*U$4,0)</f>
        <v>0</v>
      </c>
      <c r="V75" s="1083">
        <f>IFERROR([16]Base!V75/[16]Base!V$76*V$4,0)</f>
        <v>0</v>
      </c>
      <c r="W75" s="1083">
        <f>IFERROR([16]Base!W75/[16]Base!W$76*W$4,0)</f>
        <v>0</v>
      </c>
      <c r="X75" s="1083">
        <f>IFERROR([16]Base!X75/[16]Base!X$76*X$4,0)</f>
        <v>0</v>
      </c>
      <c r="Y75" s="1083">
        <f>IFERROR([16]Base!Y75/[16]Base!Y$76*Y$4,0)</f>
        <v>0</v>
      </c>
      <c r="Z75" s="1083"/>
      <c r="AA75" s="1083">
        <f>IFERROR([16]Base!AA75/[16]Base!AA$76*AA$4,0)</f>
        <v>1136.6262924667651</v>
      </c>
      <c r="AB75" s="1083">
        <f>IFERROR([16]Base!AB75/[16]Base!AB$76*AB$4,0)</f>
        <v>0</v>
      </c>
      <c r="AC75" s="1083"/>
      <c r="AD75" s="1083"/>
      <c r="AE75" s="1083"/>
      <c r="AF75" s="1083">
        <f>IFERROR([16]Base!AF75/[16]Base!AF$76*AF$4,0)</f>
        <v>0</v>
      </c>
      <c r="AG75" s="1083">
        <f>IFERROR([16]Base!AG75/[16]Base!AG$76*AG$4,0)</f>
        <v>0</v>
      </c>
      <c r="AH75" s="1083">
        <f>IFERROR([16]Base!AH75/[16]Base!AH$76*AH$4,0)</f>
        <v>0</v>
      </c>
      <c r="AI75" s="1083">
        <f>IFERROR([16]Base!AI75/[16]Base!AI$76*AI$4,0)</f>
        <v>0</v>
      </c>
      <c r="AJ75" s="1083">
        <f>IFERROR([16]Base!AJ75/[16]Base!AJ$76*AJ$4,0)</f>
        <v>0</v>
      </c>
      <c r="AK75" s="1083">
        <f>IFERROR([16]Base!AK75/[16]Base!AK$76*AK$4,0)</f>
        <v>0</v>
      </c>
      <c r="AL75" s="1083">
        <f>IFERROR([16]Base!AL75/[16]Base!AL$76*AL$4,0)</f>
        <v>0</v>
      </c>
      <c r="AM75" s="1083">
        <f>IFERROR([16]Base!AM75/[16]Base!AM$76*AM$4,0)</f>
        <v>0</v>
      </c>
      <c r="AN75" s="1083">
        <f>IFERROR([16]Base!AN75/[16]Base!AN$76*AN$4,0)</f>
        <v>0</v>
      </c>
      <c r="AO75" s="1083">
        <f>IFERROR('8_2.1.19 SIS'!AO75/'8_2.1.19 SIS'!AO$76*AO$4,0)</f>
        <v>0</v>
      </c>
      <c r="AP75" s="1083">
        <f>IFERROR('8_2.1.19 SIS'!AP75/'8_2.1.19 SIS'!AP$76*AP$4,0)</f>
        <v>0</v>
      </c>
      <c r="AQ75" s="1083">
        <f>IFERROR('8_2.1.19 SIS'!AQ75/'8_2.1.19 SIS'!AQ$76*AQ$4,0)</f>
        <v>0</v>
      </c>
      <c r="AR75" s="1083">
        <f>IFERROR('8_2.1.19 SIS'!AR75/'8_2.1.19 SIS'!AR$76*AR$4,0)</f>
        <v>0</v>
      </c>
      <c r="AS75" s="1083">
        <f>IFERROR('8_2.1.19 SIS'!AS75/'8_2.1.19 SIS'!AS$76*AS$4,0)</f>
        <v>0</v>
      </c>
      <c r="AT75" s="1083">
        <f>IFERROR([16]Base!AT75/[16]Base!AT$76*AT$4,0)</f>
        <v>461.02083333333331</v>
      </c>
      <c r="AU75" s="1083">
        <f>IFERROR([16]Base!AU75/[16]Base!AU$76*AU$4,0)</f>
        <v>3144.864932623002</v>
      </c>
      <c r="AV75" s="1084">
        <f>SUM(C75:AU75)</f>
        <v>518387.32920879655</v>
      </c>
      <c r="AW75" s="1083">
        <f>IFERROR([16]Base!AW75/[16]Base!AW$76*AW$4,0)</f>
        <v>0</v>
      </c>
      <c r="AX75" s="1083">
        <f>IFERROR([16]Base!AX75/[16]Base!AX$76*AX$4,0)</f>
        <v>0</v>
      </c>
      <c r="AY75" s="1083">
        <f>IFERROR([16]Base!AY75/[16]Base!AY$76*AY$4,0)</f>
        <v>0</v>
      </c>
      <c r="AZ75" s="1083">
        <f>IFERROR([16]Base!AZ75/[16]Base!AZ$76*AZ$4,0)</f>
        <v>0</v>
      </c>
      <c r="BA75" s="1083">
        <f>IFERROR([16]Base!BA75/[16]Base!BA$76*BA$4,0)</f>
        <v>0</v>
      </c>
      <c r="BB75" s="1083">
        <f>IFERROR([16]Base!BB75/[16]Base!BB$76*BB$4,0)</f>
        <v>0</v>
      </c>
      <c r="BC75" s="1083">
        <f>IFERROR([16]Base!BC75/[16]Base!BC$76*BC$4,0)</f>
        <v>0</v>
      </c>
      <c r="BD75" s="1083">
        <f>IFERROR([16]Base!BD75/[16]Base!BD$76*BD$4,0)</f>
        <v>0</v>
      </c>
      <c r="BE75" s="1083">
        <f>IFERROR([16]Base!BE75/[16]Base!BE$76*BE$4,0)</f>
        <v>0</v>
      </c>
      <c r="BF75" s="1083">
        <f>IFERROR([16]Base!BF75/[16]Base!BF$76*BF$4,0)</f>
        <v>573.42737430167597</v>
      </c>
      <c r="BG75" s="1083">
        <f>IFERROR([16]Base!BG75/[16]Base!BG$76*BG$4,0)</f>
        <v>0</v>
      </c>
      <c r="BH75" s="1083">
        <f>IFERROR([16]Base!BH75/[16]Base!BH$76*BH$4,0)</f>
        <v>219.72254335260115</v>
      </c>
      <c r="BI75" s="1083">
        <f>SUM(AV75:BH75)</f>
        <v>519180.47912645078</v>
      </c>
    </row>
    <row r="76" spans="1:61" s="280" customFormat="1" ht="16.149999999999999" customHeight="1" thickBot="1" x14ac:dyDescent="0.25">
      <c r="A76" s="279"/>
      <c r="B76" s="266" t="s">
        <v>374</v>
      </c>
      <c r="C76" s="1088">
        <f>SUM(C7:C75)</f>
        <v>96412813</v>
      </c>
      <c r="D76" s="1088">
        <f>SUM(D7:D75)</f>
        <v>371375</v>
      </c>
      <c r="E76" s="1088">
        <f>SUM(E7:E75)</f>
        <v>57714.000000000007</v>
      </c>
      <c r="F76" s="1088">
        <f t="shared" ref="F76:AS76" si="4">SUM(F7:F75)</f>
        <v>104643</v>
      </c>
      <c r="G76" s="1088">
        <f t="shared" si="4"/>
        <v>70926.000000000015</v>
      </c>
      <c r="H76" s="1088">
        <f t="shared" si="4"/>
        <v>111251</v>
      </c>
      <c r="I76" s="1088">
        <f t="shared" si="4"/>
        <v>152391</v>
      </c>
      <c r="J76" s="1088">
        <f t="shared" si="4"/>
        <v>99160.000000000015</v>
      </c>
      <c r="K76" s="1088">
        <f t="shared" si="4"/>
        <v>32976</v>
      </c>
      <c r="L76" s="1088">
        <f t="shared" si="4"/>
        <v>79107</v>
      </c>
      <c r="M76" s="1088">
        <f t="shared" si="4"/>
        <v>72748.999999999985</v>
      </c>
      <c r="N76" s="1088">
        <f t="shared" si="4"/>
        <v>34680</v>
      </c>
      <c r="O76" s="1088">
        <f t="shared" si="4"/>
        <v>95775</v>
      </c>
      <c r="P76" s="1088">
        <f t="shared" si="4"/>
        <v>59451.000000000007</v>
      </c>
      <c r="Q76" s="1088">
        <f t="shared" si="4"/>
        <v>50331</v>
      </c>
      <c r="R76" s="1088"/>
      <c r="S76" s="1088">
        <f t="shared" si="4"/>
        <v>67651.000000000015</v>
      </c>
      <c r="T76" s="1088">
        <f t="shared" si="4"/>
        <v>37390.999999999993</v>
      </c>
      <c r="U76" s="1088">
        <f t="shared" si="4"/>
        <v>60003</v>
      </c>
      <c r="V76" s="1088">
        <f t="shared" si="4"/>
        <v>13349</v>
      </c>
      <c r="W76" s="1088">
        <f t="shared" si="4"/>
        <v>90223.999999999985</v>
      </c>
      <c r="X76" s="1088">
        <f t="shared" si="4"/>
        <v>99467.999999999985</v>
      </c>
      <c r="Y76" s="1088">
        <f t="shared" si="4"/>
        <v>68373</v>
      </c>
      <c r="Z76" s="1088"/>
      <c r="AA76" s="1088">
        <f t="shared" si="4"/>
        <v>96187</v>
      </c>
      <c r="AB76" s="1088">
        <f t="shared" si="4"/>
        <v>76042</v>
      </c>
      <c r="AC76" s="1088"/>
      <c r="AD76" s="1088"/>
      <c r="AE76" s="1088"/>
      <c r="AF76" s="1088">
        <f t="shared" si="4"/>
        <v>15222</v>
      </c>
      <c r="AG76" s="1088">
        <f t="shared" si="4"/>
        <v>11143</v>
      </c>
      <c r="AH76" s="1088">
        <f t="shared" si="4"/>
        <v>12640</v>
      </c>
      <c r="AI76" s="1088">
        <f t="shared" si="4"/>
        <v>55746.000000000007</v>
      </c>
      <c r="AJ76" s="1088">
        <f t="shared" si="4"/>
        <v>30495</v>
      </c>
      <c r="AK76" s="1088">
        <f t="shared" si="4"/>
        <v>21220.000000000004</v>
      </c>
      <c r="AL76" s="1088">
        <f t="shared" si="4"/>
        <v>113075.99999999999</v>
      </c>
      <c r="AM76" s="1088">
        <f t="shared" si="4"/>
        <v>14015.000000000002</v>
      </c>
      <c r="AN76" s="1088">
        <f t="shared" si="4"/>
        <v>17095</v>
      </c>
      <c r="AO76" s="1088">
        <f t="shared" si="4"/>
        <v>0</v>
      </c>
      <c r="AP76" s="1088">
        <f t="shared" si="4"/>
        <v>0</v>
      </c>
      <c r="AQ76" s="1088">
        <f t="shared" si="4"/>
        <v>0</v>
      </c>
      <c r="AR76" s="1088">
        <f t="shared" si="4"/>
        <v>0</v>
      </c>
      <c r="AS76" s="1088">
        <f t="shared" si="4"/>
        <v>0</v>
      </c>
      <c r="AT76" s="1088">
        <f>SUM(AT7:AT75)</f>
        <v>110644.99999999997</v>
      </c>
      <c r="AU76" s="1088">
        <f>SUM(AU7:AU75)</f>
        <v>313601.99999999988</v>
      </c>
      <c r="AV76" s="1089">
        <f t="shared" ref="AV76:BI76" si="5">SUM(AV7:AV75)</f>
        <v>99128929</v>
      </c>
      <c r="AW76" s="1088">
        <f t="shared" si="5"/>
        <v>26951</v>
      </c>
      <c r="AX76" s="1088">
        <f t="shared" si="5"/>
        <v>50515</v>
      </c>
      <c r="AY76" s="1088">
        <f t="shared" si="5"/>
        <v>213769.00000000003</v>
      </c>
      <c r="AZ76" s="1088">
        <f t="shared" si="5"/>
        <v>68512.999999999985</v>
      </c>
      <c r="BA76" s="1088">
        <f t="shared" si="5"/>
        <v>104242</v>
      </c>
      <c r="BB76" s="1088">
        <f t="shared" si="5"/>
        <v>170578</v>
      </c>
      <c r="BC76" s="1088">
        <f t="shared" si="5"/>
        <v>23332</v>
      </c>
      <c r="BD76" s="1088">
        <f t="shared" si="5"/>
        <v>144252</v>
      </c>
      <c r="BE76" s="1088">
        <f t="shared" si="5"/>
        <v>36633</v>
      </c>
      <c r="BF76" s="1088">
        <f t="shared" si="5"/>
        <v>68428.999999999971</v>
      </c>
      <c r="BG76" s="1088">
        <f t="shared" si="5"/>
        <v>90521.000000000015</v>
      </c>
      <c r="BH76" s="1088">
        <f t="shared" si="5"/>
        <v>38012</v>
      </c>
      <c r="BI76" s="1088">
        <f t="shared" si="5"/>
        <v>100164675.99999997</v>
      </c>
    </row>
    <row r="77" spans="1:61" s="280" customFormat="1" ht="15.75" customHeight="1" thickTop="1" x14ac:dyDescent="0.2">
      <c r="A77" s="553"/>
      <c r="B77" s="522"/>
      <c r="C77" s="1078">
        <f>C4-C76</f>
        <v>0</v>
      </c>
      <c r="D77" s="1078">
        <f>D4-D76</f>
        <v>0</v>
      </c>
      <c r="E77" s="1078">
        <f>E4-E76</f>
        <v>0</v>
      </c>
      <c r="F77" s="1078">
        <f t="shared" ref="F77:BI77" si="6">F4-F76</f>
        <v>0</v>
      </c>
      <c r="G77" s="1078">
        <f t="shared" si="6"/>
        <v>0</v>
      </c>
      <c r="H77" s="1078">
        <f t="shared" si="6"/>
        <v>0</v>
      </c>
      <c r="I77" s="1078">
        <f t="shared" si="6"/>
        <v>0</v>
      </c>
      <c r="J77" s="1078">
        <f t="shared" si="6"/>
        <v>0</v>
      </c>
      <c r="K77" s="1078">
        <f t="shared" si="6"/>
        <v>0</v>
      </c>
      <c r="L77" s="1078">
        <f t="shared" si="6"/>
        <v>0</v>
      </c>
      <c r="M77" s="1078">
        <f t="shared" si="6"/>
        <v>0</v>
      </c>
      <c r="N77" s="1078">
        <f t="shared" si="6"/>
        <v>0</v>
      </c>
      <c r="O77" s="1078">
        <f t="shared" si="6"/>
        <v>0</v>
      </c>
      <c r="P77" s="1078">
        <f t="shared" si="6"/>
        <v>0</v>
      </c>
      <c r="Q77" s="1078">
        <f t="shared" si="6"/>
        <v>0</v>
      </c>
      <c r="R77" s="1078"/>
      <c r="S77" s="1078">
        <f t="shared" si="6"/>
        <v>0</v>
      </c>
      <c r="T77" s="1078">
        <f t="shared" si="6"/>
        <v>0</v>
      </c>
      <c r="U77" s="1078">
        <f t="shared" si="6"/>
        <v>0</v>
      </c>
      <c r="V77" s="1078">
        <f t="shared" si="6"/>
        <v>0</v>
      </c>
      <c r="W77" s="1078">
        <f t="shared" si="6"/>
        <v>0</v>
      </c>
      <c r="X77" s="1078">
        <f t="shared" si="6"/>
        <v>0</v>
      </c>
      <c r="Y77" s="1078">
        <f t="shared" si="6"/>
        <v>0</v>
      </c>
      <c r="Z77" s="1078"/>
      <c r="AA77" s="1078">
        <f t="shared" si="6"/>
        <v>0</v>
      </c>
      <c r="AB77" s="1078">
        <f t="shared" si="6"/>
        <v>0</v>
      </c>
      <c r="AC77" s="1078"/>
      <c r="AD77" s="1078"/>
      <c r="AE77" s="1078"/>
      <c r="AF77" s="1078">
        <f t="shared" si="6"/>
        <v>0</v>
      </c>
      <c r="AG77" s="1078">
        <f t="shared" si="6"/>
        <v>0</v>
      </c>
      <c r="AH77" s="1078">
        <f t="shared" si="6"/>
        <v>0</v>
      </c>
      <c r="AI77" s="1078">
        <f t="shared" si="6"/>
        <v>0</v>
      </c>
      <c r="AJ77" s="1078">
        <f t="shared" si="6"/>
        <v>0</v>
      </c>
      <c r="AK77" s="1078">
        <f t="shared" si="6"/>
        <v>0</v>
      </c>
      <c r="AL77" s="1078">
        <f t="shared" si="6"/>
        <v>0</v>
      </c>
      <c r="AM77" s="1078">
        <f t="shared" si="6"/>
        <v>0</v>
      </c>
      <c r="AN77" s="1078">
        <f t="shared" si="6"/>
        <v>0</v>
      </c>
      <c r="AO77" s="1078">
        <f t="shared" si="6"/>
        <v>0</v>
      </c>
      <c r="AP77" s="1078">
        <f t="shared" si="6"/>
        <v>0</v>
      </c>
      <c r="AQ77" s="1078">
        <f t="shared" si="6"/>
        <v>0</v>
      </c>
      <c r="AR77" s="1078">
        <f t="shared" si="6"/>
        <v>0</v>
      </c>
      <c r="AS77" s="1078">
        <f t="shared" si="6"/>
        <v>0</v>
      </c>
      <c r="AT77" s="1078">
        <f t="shared" si="6"/>
        <v>0</v>
      </c>
      <c r="AU77" s="1078">
        <f t="shared" si="6"/>
        <v>0</v>
      </c>
      <c r="AV77" s="1078">
        <f t="shared" si="6"/>
        <v>0</v>
      </c>
      <c r="AW77" s="1078">
        <f t="shared" si="6"/>
        <v>0</v>
      </c>
      <c r="AX77" s="1078">
        <f t="shared" si="6"/>
        <v>0</v>
      </c>
      <c r="AY77" s="1078">
        <f t="shared" si="6"/>
        <v>0</v>
      </c>
      <c r="AZ77" s="1078">
        <f t="shared" si="6"/>
        <v>0</v>
      </c>
      <c r="BA77" s="1078">
        <f t="shared" si="6"/>
        <v>0</v>
      </c>
      <c r="BB77" s="1078">
        <f t="shared" si="6"/>
        <v>0</v>
      </c>
      <c r="BC77" s="1078">
        <f t="shared" si="6"/>
        <v>0</v>
      </c>
      <c r="BD77" s="1078">
        <f t="shared" si="6"/>
        <v>0</v>
      </c>
      <c r="BE77" s="1078">
        <f t="shared" si="6"/>
        <v>0</v>
      </c>
      <c r="BF77" s="1078">
        <f t="shared" si="6"/>
        <v>0</v>
      </c>
      <c r="BG77" s="1078">
        <f t="shared" si="6"/>
        <v>0</v>
      </c>
      <c r="BH77" s="1078">
        <f t="shared" si="6"/>
        <v>0</v>
      </c>
      <c r="BI77" s="1078">
        <f t="shared" si="6"/>
        <v>0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64" activePane="bottomRight" state="frozen"/>
      <selection pane="bottomRight" activeCell="H76" sqref="H76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3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A1:B3"/>
    <mergeCell ref="C1:C3"/>
    <mergeCell ref="D1:D3"/>
    <mergeCell ref="E1:I1"/>
    <mergeCell ref="J1:P1"/>
    <mergeCell ref="BI1:BI3"/>
    <mergeCell ref="AV1:AV3"/>
    <mergeCell ref="AW1:BC1"/>
    <mergeCell ref="BD1:BH1"/>
    <mergeCell ref="Q1:X1"/>
    <mergeCell ref="Y1:AI1"/>
    <mergeCell ref="AJ1:AU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&amp;L&amp;"Arial,Bold"&amp;18&amp;K000000FY2019-20 Budget Letter
Pay Raise by Residency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42"/>
  <sheetViews>
    <sheetView zoomScaleNormal="10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D7" sqref="D7"/>
    </sheetView>
  </sheetViews>
  <sheetFormatPr defaultColWidth="9.140625" defaultRowHeight="12.75" x14ac:dyDescent="0.2"/>
  <cols>
    <col min="1" max="1" width="9" style="21" bestFit="1" customWidth="1"/>
    <col min="2" max="2" width="8.85546875" style="21" hidden="1" customWidth="1"/>
    <col min="3" max="3" width="36.28515625" style="20" customWidth="1"/>
    <col min="4" max="4" width="14.140625" style="18" customWidth="1"/>
    <col min="5" max="5" width="14.42578125" style="18" customWidth="1"/>
    <col min="6" max="7" width="12.7109375" style="20" customWidth="1"/>
    <col min="8" max="10" width="12.7109375" style="18" customWidth="1"/>
    <col min="11" max="11" width="12.5703125" style="18" customWidth="1"/>
    <col min="12" max="12" width="12.7109375" style="20" bestFit="1" customWidth="1"/>
    <col min="13" max="13" width="12.85546875" style="20" customWidth="1"/>
    <col min="14" max="14" width="12" style="20" customWidth="1"/>
    <col min="15" max="15" width="12.85546875" style="20" customWidth="1"/>
    <col min="16" max="16" width="12.42578125" style="20" bestFit="1" customWidth="1"/>
    <col min="17" max="17" width="12.85546875" style="20" customWidth="1"/>
    <col min="18" max="18" width="13" style="18" customWidth="1"/>
    <col min="19" max="19" width="7" customWidth="1"/>
    <col min="20" max="20" width="0" style="18" hidden="1" customWidth="1"/>
    <col min="21" max="16384" width="9.140625" style="18"/>
  </cols>
  <sheetData>
    <row r="1" spans="1:20" ht="32.25" customHeight="1" x14ac:dyDescent="0.2">
      <c r="A1" s="1378" t="s">
        <v>79</v>
      </c>
      <c r="B1" s="1378"/>
      <c r="C1" s="1378"/>
      <c r="D1" s="1383" t="s">
        <v>946</v>
      </c>
      <c r="E1" s="1383"/>
      <c r="F1" s="1384" t="s">
        <v>1210</v>
      </c>
      <c r="G1" s="1384"/>
      <c r="H1" s="1384"/>
      <c r="I1" s="1384"/>
      <c r="J1" s="1384"/>
      <c r="K1" s="1386" t="s">
        <v>343</v>
      </c>
      <c r="L1" s="1386"/>
      <c r="M1" s="1388" t="s">
        <v>368</v>
      </c>
      <c r="N1" s="1382" t="s">
        <v>311</v>
      </c>
      <c r="O1" s="1382"/>
      <c r="P1" s="1382"/>
      <c r="Q1" s="1382"/>
      <c r="R1" s="1379" t="s">
        <v>893</v>
      </c>
    </row>
    <row r="2" spans="1:20" ht="95.25" customHeight="1" x14ac:dyDescent="0.2">
      <c r="A2" s="1378"/>
      <c r="B2" s="1378"/>
      <c r="C2" s="1378"/>
      <c r="D2" s="1387" t="s">
        <v>1433</v>
      </c>
      <c r="E2" s="660" t="s">
        <v>556</v>
      </c>
      <c r="F2" s="1380" t="s">
        <v>1440</v>
      </c>
      <c r="G2" s="661" t="s">
        <v>554</v>
      </c>
      <c r="H2" s="1380" t="s">
        <v>1385</v>
      </c>
      <c r="I2" s="661" t="s">
        <v>894</v>
      </c>
      <c r="J2" s="1380" t="s">
        <v>555</v>
      </c>
      <c r="K2" s="1385" t="s">
        <v>1454</v>
      </c>
      <c r="L2" s="851" t="s">
        <v>377</v>
      </c>
      <c r="M2" s="1388"/>
      <c r="N2" s="1381" t="s">
        <v>1384</v>
      </c>
      <c r="O2" s="662" t="s">
        <v>376</v>
      </c>
      <c r="P2" s="1381" t="s">
        <v>1504</v>
      </c>
      <c r="Q2" s="1381" t="s">
        <v>1503</v>
      </c>
      <c r="R2" s="1379"/>
      <c r="T2" s="1376" t="s">
        <v>1453</v>
      </c>
    </row>
    <row r="3" spans="1:20" ht="17.25" customHeight="1" x14ac:dyDescent="0.2">
      <c r="A3" s="1378"/>
      <c r="B3" s="1378"/>
      <c r="C3" s="1378"/>
      <c r="D3" s="1387"/>
      <c r="E3" s="554">
        <v>21000</v>
      </c>
      <c r="F3" s="1380"/>
      <c r="G3" s="555">
        <v>6000</v>
      </c>
      <c r="H3" s="1380"/>
      <c r="I3" s="555">
        <v>4000</v>
      </c>
      <c r="J3" s="1380"/>
      <c r="K3" s="1385"/>
      <c r="L3" s="556">
        <f>ROUND(0.06*'3_Levels 1&amp;2'!$Q$1,0)</f>
        <v>241</v>
      </c>
      <c r="M3" s="557">
        <v>12000000</v>
      </c>
      <c r="N3" s="1381"/>
      <c r="O3" s="663">
        <v>59</v>
      </c>
      <c r="P3" s="1381"/>
      <c r="Q3" s="1381"/>
      <c r="R3" s="1379"/>
      <c r="T3" s="1377"/>
    </row>
    <row r="4" spans="1:20" ht="13.35" customHeight="1" x14ac:dyDescent="0.2">
      <c r="A4" s="829"/>
      <c r="B4" s="831"/>
      <c r="C4" s="830"/>
      <c r="D4" s="558">
        <v>1</v>
      </c>
      <c r="E4" s="558">
        <f>D4+1</f>
        <v>2</v>
      </c>
      <c r="F4" s="558">
        <f t="shared" ref="F4:R4" si="0">E4+1</f>
        <v>3</v>
      </c>
      <c r="G4" s="558">
        <f t="shared" si="0"/>
        <v>4</v>
      </c>
      <c r="H4" s="558">
        <f t="shared" si="0"/>
        <v>5</v>
      </c>
      <c r="I4" s="558">
        <f t="shared" si="0"/>
        <v>6</v>
      </c>
      <c r="J4" s="558">
        <f>I4+1</f>
        <v>7</v>
      </c>
      <c r="K4" s="558">
        <f>J4+1</f>
        <v>8</v>
      </c>
      <c r="L4" s="558">
        <f>$K4+1</f>
        <v>9</v>
      </c>
      <c r="M4" s="558">
        <f>L4+1</f>
        <v>10</v>
      </c>
      <c r="N4" s="558">
        <f>M4+1</f>
        <v>11</v>
      </c>
      <c r="O4" s="558">
        <f>N4+1</f>
        <v>12</v>
      </c>
      <c r="P4" s="558">
        <f t="shared" si="0"/>
        <v>13</v>
      </c>
      <c r="Q4" s="558">
        <f t="shared" si="0"/>
        <v>14</v>
      </c>
      <c r="R4" s="558">
        <f t="shared" si="0"/>
        <v>15</v>
      </c>
      <c r="T4" s="558"/>
    </row>
    <row r="5" spans="1:20" s="727" customFormat="1" ht="24.75" customHeight="1" x14ac:dyDescent="0.2">
      <c r="A5" s="724"/>
      <c r="B5" s="725"/>
      <c r="C5" s="729"/>
      <c r="D5" s="730" t="s">
        <v>1434</v>
      </c>
      <c r="E5" s="728" t="s">
        <v>1089</v>
      </c>
      <c r="F5" s="730" t="s">
        <v>800</v>
      </c>
      <c r="G5" s="728" t="s">
        <v>1090</v>
      </c>
      <c r="H5" s="730" t="s">
        <v>801</v>
      </c>
      <c r="I5" s="728" t="s">
        <v>1091</v>
      </c>
      <c r="J5" s="730" t="s">
        <v>802</v>
      </c>
      <c r="K5" s="730" t="s">
        <v>803</v>
      </c>
      <c r="L5" s="728" t="s">
        <v>1092</v>
      </c>
      <c r="M5" s="730" t="s">
        <v>804</v>
      </c>
      <c r="N5" s="730" t="s">
        <v>1434</v>
      </c>
      <c r="O5" s="728" t="s">
        <v>1093</v>
      </c>
      <c r="P5" s="730" t="s">
        <v>1398</v>
      </c>
      <c r="Q5" s="730" t="s">
        <v>805</v>
      </c>
      <c r="R5" s="730" t="s">
        <v>806</v>
      </c>
      <c r="S5" s="726"/>
      <c r="T5" s="731"/>
    </row>
    <row r="6" spans="1:20" s="727" customFormat="1" ht="24.75" hidden="1" customHeight="1" x14ac:dyDescent="0.2">
      <c r="A6" s="724"/>
      <c r="B6" s="725"/>
      <c r="C6" s="729"/>
      <c r="D6" s="730" t="s">
        <v>811</v>
      </c>
      <c r="E6" s="728" t="s">
        <v>807</v>
      </c>
      <c r="F6" s="730" t="s">
        <v>811</v>
      </c>
      <c r="G6" s="728" t="s">
        <v>808</v>
      </c>
      <c r="H6" s="730" t="s">
        <v>811</v>
      </c>
      <c r="I6" s="728" t="s">
        <v>809</v>
      </c>
      <c r="J6" s="730" t="s">
        <v>604</v>
      </c>
      <c r="K6" s="730" t="s">
        <v>811</v>
      </c>
      <c r="L6" s="728" t="s">
        <v>810</v>
      </c>
      <c r="M6" s="730" t="s">
        <v>811</v>
      </c>
      <c r="N6" s="730" t="s">
        <v>947</v>
      </c>
      <c r="O6" s="728" t="s">
        <v>812</v>
      </c>
      <c r="P6" s="730" t="s">
        <v>811</v>
      </c>
      <c r="Q6" s="730" t="s">
        <v>604</v>
      </c>
      <c r="R6" s="730" t="s">
        <v>604</v>
      </c>
      <c r="S6" s="726"/>
      <c r="T6" s="731"/>
    </row>
    <row r="7" spans="1:20" ht="15" customHeight="1" x14ac:dyDescent="0.2">
      <c r="A7" s="559">
        <v>1</v>
      </c>
      <c r="B7" s="560">
        <v>1</v>
      </c>
      <c r="C7" s="561" t="s">
        <v>5</v>
      </c>
      <c r="D7" s="562">
        <f>VLOOKUP($A7,[10]Template!$A$3:$G$138,7,FALSE)</f>
        <v>0</v>
      </c>
      <c r="E7" s="617">
        <f t="shared" ref="E7:E70" si="1">ROUND($E$3*D7,0)</f>
        <v>0</v>
      </c>
      <c r="F7" s="562">
        <f>VLOOKUP(A7,[11]Stipends!$A$3:$D$131,4,FALSE)</f>
        <v>0</v>
      </c>
      <c r="G7" s="621">
        <f>ROUND($G$3*F7,0)</f>
        <v>0</v>
      </c>
      <c r="H7" s="562"/>
      <c r="I7" s="621">
        <f>ROUND($I$3*H7,0)</f>
        <v>0</v>
      </c>
      <c r="J7" s="621">
        <f>G7+I7</f>
        <v>0</v>
      </c>
      <c r="K7" s="1215">
        <f>VLOOKUP($A7,'[12]4_Level 4'!$A$7:$D$137,4,FALSE)</f>
        <v>1212</v>
      </c>
      <c r="L7" s="630">
        <f t="shared" ref="L7:L41" si="2">IF($T7&gt;0,IF(L$3*K7&lt;25000,25000,L$3*K7),0)</f>
        <v>292092</v>
      </c>
      <c r="M7" s="631">
        <f>IFERROR(VLOOKUP($A7,[13]Allocation!$A$6:$P$93,13,FALSE),0)</f>
        <v>0</v>
      </c>
      <c r="N7" s="562">
        <f>VLOOKUP($A7,'[14]MFP by School System_MER'!$A$5:$M$208,13,FALSE)</f>
        <v>4014</v>
      </c>
      <c r="O7" s="636">
        <f>N7*$O$3</f>
        <v>236826</v>
      </c>
      <c r="P7" s="621">
        <v>0</v>
      </c>
      <c r="Q7" s="637">
        <f>O7+P7</f>
        <v>236826</v>
      </c>
      <c r="R7" s="638">
        <f t="shared" ref="R7:R38" si="3">L7+J7+E7+M7+Q7</f>
        <v>528918</v>
      </c>
      <c r="T7" s="562">
        <f>VLOOKUP($A7,'[15]9-12_MER'!$B$7:$I$194,8,FALSE)</f>
        <v>2646</v>
      </c>
    </row>
    <row r="8" spans="1:20" ht="15" customHeight="1" x14ac:dyDescent="0.2">
      <c r="A8" s="42">
        <v>2</v>
      </c>
      <c r="B8" s="253">
        <v>2</v>
      </c>
      <c r="C8" s="563" t="s">
        <v>6</v>
      </c>
      <c r="D8" s="564">
        <f>VLOOKUP($A8,[10]Template!$A$3:$G$138,7,FALSE)</f>
        <v>0</v>
      </c>
      <c r="E8" s="618">
        <f t="shared" si="1"/>
        <v>0</v>
      </c>
      <c r="F8" s="564">
        <f>VLOOKUP(A8,[11]Stipends!$A$3:$D$131,4,FALSE)</f>
        <v>0</v>
      </c>
      <c r="G8" s="622">
        <f t="shared" ref="G8:G71" si="4">ROUND($G$3*F8,0)</f>
        <v>0</v>
      </c>
      <c r="H8" s="564"/>
      <c r="I8" s="622">
        <f t="shared" ref="I8:I71" si="5">ROUND($I$3*H8,0)</f>
        <v>0</v>
      </c>
      <c r="J8" s="622">
        <f t="shared" ref="J8:J71" si="6">G8+I8</f>
        <v>0</v>
      </c>
      <c r="K8" s="1216">
        <f>VLOOKUP($A8,'[12]4_Level 4'!$A$7:$D$137,4,FALSE)</f>
        <v>315</v>
      </c>
      <c r="L8" s="626">
        <f t="shared" si="2"/>
        <v>75915</v>
      </c>
      <c r="M8" s="627">
        <f>IFERROR(VLOOKUP($A8,[13]Allocation!$A$6:$P$93,13,FALSE),0)</f>
        <v>0</v>
      </c>
      <c r="N8" s="564">
        <f>VLOOKUP($A8,'[14]MFP by School System_MER'!$A$5:$M$208,13,FALSE)</f>
        <v>1708</v>
      </c>
      <c r="O8" s="639">
        <f t="shared" ref="O8:O71" si="7">N8*$O$3</f>
        <v>100772</v>
      </c>
      <c r="P8" s="622">
        <v>0</v>
      </c>
      <c r="Q8" s="640">
        <f t="shared" ref="Q8:Q71" si="8">O8+P8</f>
        <v>100772</v>
      </c>
      <c r="R8" s="641">
        <f t="shared" si="3"/>
        <v>176687</v>
      </c>
      <c r="T8" s="564">
        <f>VLOOKUP($A8,'[15]9-12_MER'!$B$7:$I$194,8,FALSE)</f>
        <v>1121</v>
      </c>
    </row>
    <row r="9" spans="1:20" ht="15" customHeight="1" x14ac:dyDescent="0.2">
      <c r="A9" s="565">
        <v>3</v>
      </c>
      <c r="B9" s="253">
        <v>3</v>
      </c>
      <c r="C9" s="563" t="s">
        <v>7</v>
      </c>
      <c r="D9" s="564">
        <f>VLOOKUP($A9,[10]Template!$A$3:$G$138,7,FALSE)</f>
        <v>0</v>
      </c>
      <c r="E9" s="618">
        <f t="shared" si="1"/>
        <v>0</v>
      </c>
      <c r="F9" s="564">
        <f>VLOOKUP(A9,[11]Stipends!$A$3:$D$131,4,FALSE)</f>
        <v>0</v>
      </c>
      <c r="G9" s="622">
        <f t="shared" si="4"/>
        <v>0</v>
      </c>
      <c r="H9" s="564"/>
      <c r="I9" s="622">
        <f t="shared" si="5"/>
        <v>0</v>
      </c>
      <c r="J9" s="622">
        <f t="shared" si="6"/>
        <v>0</v>
      </c>
      <c r="K9" s="1216">
        <f>VLOOKUP($A9,'[12]4_Level 4'!$A$7:$D$137,4,FALSE)</f>
        <v>3555</v>
      </c>
      <c r="L9" s="626">
        <f t="shared" si="2"/>
        <v>856755</v>
      </c>
      <c r="M9" s="627">
        <f>IFERROR(VLOOKUP($A9,[13]Allocation!$A$6:$P$93,13,FALSE),0)</f>
        <v>283015</v>
      </c>
      <c r="N9" s="564">
        <f>VLOOKUP($A9,'[14]MFP by School System_MER'!$A$5:$M$208,13,FALSE)</f>
        <v>9951</v>
      </c>
      <c r="O9" s="639">
        <f t="shared" si="7"/>
        <v>587109</v>
      </c>
      <c r="P9" s="622">
        <v>0</v>
      </c>
      <c r="Q9" s="640">
        <f t="shared" si="8"/>
        <v>587109</v>
      </c>
      <c r="R9" s="641">
        <f t="shared" si="3"/>
        <v>1726879</v>
      </c>
      <c r="T9" s="564">
        <f>VLOOKUP($A9,'[15]9-12_MER'!$B$7:$I$194,8,FALSE)</f>
        <v>6804</v>
      </c>
    </row>
    <row r="10" spans="1:20" ht="15" customHeight="1" x14ac:dyDescent="0.2">
      <c r="A10" s="565">
        <v>4</v>
      </c>
      <c r="B10" s="253">
        <v>4</v>
      </c>
      <c r="C10" s="563" t="s">
        <v>8</v>
      </c>
      <c r="D10" s="564">
        <f>VLOOKUP($A10,[10]Template!$A$3:$G$138,7,FALSE)</f>
        <v>2</v>
      </c>
      <c r="E10" s="618">
        <f t="shared" si="1"/>
        <v>42000</v>
      </c>
      <c r="F10" s="564">
        <f>VLOOKUP(A10,[11]Stipends!$A$3:$D$131,4,FALSE)</f>
        <v>2</v>
      </c>
      <c r="G10" s="622">
        <f t="shared" si="4"/>
        <v>12000</v>
      </c>
      <c r="H10" s="564"/>
      <c r="I10" s="622">
        <f t="shared" si="5"/>
        <v>0</v>
      </c>
      <c r="J10" s="622">
        <f t="shared" si="6"/>
        <v>12000</v>
      </c>
      <c r="K10" s="1216">
        <f>VLOOKUP($A10,'[12]4_Level 4'!$A$7:$D$137,4,FALSE)</f>
        <v>222</v>
      </c>
      <c r="L10" s="626">
        <f t="shared" si="2"/>
        <v>53502</v>
      </c>
      <c r="M10" s="627">
        <f>IFERROR(VLOOKUP($A10,[13]Allocation!$A$6:$P$93,13,FALSE),0)</f>
        <v>577055</v>
      </c>
      <c r="N10" s="564">
        <f>VLOOKUP($A10,'[14]MFP by School System_MER'!$A$5:$M$208,13,FALSE)</f>
        <v>1435</v>
      </c>
      <c r="O10" s="639">
        <f t="shared" si="7"/>
        <v>84665</v>
      </c>
      <c r="P10" s="622">
        <v>0</v>
      </c>
      <c r="Q10" s="640">
        <f t="shared" si="8"/>
        <v>84665</v>
      </c>
      <c r="R10" s="641">
        <f t="shared" si="3"/>
        <v>769222</v>
      </c>
      <c r="T10" s="564">
        <f>VLOOKUP($A10,'[15]9-12_MER'!$B$7:$I$194,8,FALSE)</f>
        <v>955</v>
      </c>
    </row>
    <row r="11" spans="1:20" ht="15" customHeight="1" x14ac:dyDescent="0.2">
      <c r="A11" s="566">
        <v>5</v>
      </c>
      <c r="B11" s="567">
        <v>5</v>
      </c>
      <c r="C11" s="568" t="s">
        <v>9</v>
      </c>
      <c r="D11" s="569">
        <f>VLOOKUP($A11,[10]Template!$A$3:$G$138,7,FALSE)</f>
        <v>0</v>
      </c>
      <c r="E11" s="619">
        <f t="shared" si="1"/>
        <v>0</v>
      </c>
      <c r="F11" s="569">
        <f>VLOOKUP(A11,[11]Stipends!$A$3:$D$131,4,FALSE)</f>
        <v>0</v>
      </c>
      <c r="G11" s="623">
        <f t="shared" si="4"/>
        <v>0</v>
      </c>
      <c r="H11" s="569"/>
      <c r="I11" s="623">
        <f t="shared" si="5"/>
        <v>0</v>
      </c>
      <c r="J11" s="623">
        <f t="shared" si="6"/>
        <v>0</v>
      </c>
      <c r="K11" s="1217">
        <f>VLOOKUP($A11,'[12]4_Level 4'!$A$7:$D$137,4,FALSE)</f>
        <v>827</v>
      </c>
      <c r="L11" s="628">
        <f t="shared" si="2"/>
        <v>199307</v>
      </c>
      <c r="M11" s="629">
        <f>IFERROR(VLOOKUP($A11,[13]Allocation!$A$6:$P$93,13,FALSE),0)</f>
        <v>52394</v>
      </c>
      <c r="N11" s="569">
        <f>VLOOKUP($A11,'[14]MFP by School System_MER'!$A$5:$M$208,13,FALSE)</f>
        <v>2267</v>
      </c>
      <c r="O11" s="642">
        <f t="shared" si="7"/>
        <v>133753</v>
      </c>
      <c r="P11" s="623">
        <v>0</v>
      </c>
      <c r="Q11" s="643">
        <f t="shared" si="8"/>
        <v>133753</v>
      </c>
      <c r="R11" s="644">
        <f t="shared" si="3"/>
        <v>385454</v>
      </c>
      <c r="T11" s="569">
        <f>VLOOKUP($A11,'[15]9-12_MER'!$B$7:$I$194,8,FALSE)</f>
        <v>1553</v>
      </c>
    </row>
    <row r="12" spans="1:20" ht="15" customHeight="1" x14ac:dyDescent="0.2">
      <c r="A12" s="559">
        <v>6</v>
      </c>
      <c r="B12" s="560">
        <v>6</v>
      </c>
      <c r="C12" s="561" t="s">
        <v>10</v>
      </c>
      <c r="D12" s="562">
        <f>VLOOKUP($A12,[10]Template!$A$3:$G$138,7,FALSE)</f>
        <v>0</v>
      </c>
      <c r="E12" s="617">
        <f t="shared" si="1"/>
        <v>0</v>
      </c>
      <c r="F12" s="562">
        <f>VLOOKUP(A12,[11]Stipends!$A$3:$D$131,4,FALSE)</f>
        <v>0</v>
      </c>
      <c r="G12" s="621">
        <f t="shared" si="4"/>
        <v>0</v>
      </c>
      <c r="H12" s="562"/>
      <c r="I12" s="621">
        <f t="shared" si="5"/>
        <v>0</v>
      </c>
      <c r="J12" s="621">
        <f t="shared" si="6"/>
        <v>0</v>
      </c>
      <c r="K12" s="1215">
        <f>VLOOKUP($A12,'[12]4_Level 4'!$A$7:$D$137,4,FALSE)</f>
        <v>423</v>
      </c>
      <c r="L12" s="630">
        <f t="shared" si="2"/>
        <v>101943</v>
      </c>
      <c r="M12" s="631">
        <f>IFERROR(VLOOKUP($A12,[13]Allocation!$A$6:$P$93,13,FALSE),0)</f>
        <v>0</v>
      </c>
      <c r="N12" s="562">
        <f>VLOOKUP($A12,'[14]MFP by School System_MER'!$A$5:$M$208,13,FALSE)</f>
        <v>2555</v>
      </c>
      <c r="O12" s="636">
        <f t="shared" si="7"/>
        <v>150745</v>
      </c>
      <c r="P12" s="621">
        <v>0</v>
      </c>
      <c r="Q12" s="637">
        <f t="shared" si="8"/>
        <v>150745</v>
      </c>
      <c r="R12" s="638">
        <f t="shared" si="3"/>
        <v>252688</v>
      </c>
      <c r="T12" s="562">
        <f>VLOOKUP($A12,'[15]9-12_MER'!$B$7:$I$194,8,FALSE)</f>
        <v>1643</v>
      </c>
    </row>
    <row r="13" spans="1:20" ht="15" customHeight="1" x14ac:dyDescent="0.2">
      <c r="A13" s="565">
        <v>7</v>
      </c>
      <c r="B13" s="253">
        <v>7</v>
      </c>
      <c r="C13" s="563" t="s">
        <v>11</v>
      </c>
      <c r="D13" s="564">
        <f>VLOOKUP($A13,[10]Template!$A$3:$G$138,7,FALSE)</f>
        <v>0</v>
      </c>
      <c r="E13" s="618">
        <f t="shared" si="1"/>
        <v>0</v>
      </c>
      <c r="F13" s="564">
        <f>VLOOKUP(A13,[11]Stipends!$A$3:$D$131,4,FALSE)</f>
        <v>0</v>
      </c>
      <c r="G13" s="622">
        <f t="shared" si="4"/>
        <v>0</v>
      </c>
      <c r="H13" s="564"/>
      <c r="I13" s="622">
        <f t="shared" si="5"/>
        <v>0</v>
      </c>
      <c r="J13" s="622">
        <f t="shared" si="6"/>
        <v>0</v>
      </c>
      <c r="K13" s="1216">
        <f>VLOOKUP($A13,'[12]4_Level 4'!$A$7:$D$137,4,FALSE)</f>
        <v>265</v>
      </c>
      <c r="L13" s="626">
        <f t="shared" si="2"/>
        <v>63865</v>
      </c>
      <c r="M13" s="627">
        <f>IFERROR(VLOOKUP($A13,[13]Allocation!$A$6:$P$93,13,FALSE),0)</f>
        <v>23917</v>
      </c>
      <c r="N13" s="564">
        <f>VLOOKUP($A13,'[14]MFP by School System_MER'!$A$5:$M$208,13,FALSE)</f>
        <v>912</v>
      </c>
      <c r="O13" s="639">
        <f t="shared" si="7"/>
        <v>53808</v>
      </c>
      <c r="P13" s="622">
        <v>0</v>
      </c>
      <c r="Q13" s="640">
        <f t="shared" si="8"/>
        <v>53808</v>
      </c>
      <c r="R13" s="641">
        <f t="shared" si="3"/>
        <v>141590</v>
      </c>
      <c r="T13" s="564">
        <f>VLOOKUP($A13,'[15]9-12_MER'!$B$7:$I$194,8,FALSE)</f>
        <v>595</v>
      </c>
    </row>
    <row r="14" spans="1:20" ht="15" customHeight="1" x14ac:dyDescent="0.2">
      <c r="A14" s="565">
        <v>8</v>
      </c>
      <c r="B14" s="253">
        <v>8</v>
      </c>
      <c r="C14" s="563" t="s">
        <v>12</v>
      </c>
      <c r="D14" s="564">
        <f>VLOOKUP($A14,[10]Template!$A$3:$G$138,7,FALSE)</f>
        <v>3</v>
      </c>
      <c r="E14" s="618">
        <f t="shared" si="1"/>
        <v>63000</v>
      </c>
      <c r="F14" s="564">
        <f>VLOOKUP(A14,[11]Stipends!$A$3:$D$131,4,FALSE)</f>
        <v>0</v>
      </c>
      <c r="G14" s="622">
        <f t="shared" si="4"/>
        <v>0</v>
      </c>
      <c r="H14" s="564"/>
      <c r="I14" s="622">
        <f t="shared" si="5"/>
        <v>0</v>
      </c>
      <c r="J14" s="622">
        <f t="shared" si="6"/>
        <v>0</v>
      </c>
      <c r="K14" s="1216">
        <f>VLOOKUP($A14,'[12]4_Level 4'!$A$7:$D$137,4,FALSE)</f>
        <v>898</v>
      </c>
      <c r="L14" s="626">
        <f t="shared" si="2"/>
        <v>216418</v>
      </c>
      <c r="M14" s="627">
        <f>IFERROR(VLOOKUP($A14,[13]Allocation!$A$6:$P$93,13,FALSE),0)</f>
        <v>0</v>
      </c>
      <c r="N14" s="564">
        <f>VLOOKUP($A14,'[14]MFP by School System_MER'!$A$5:$M$208,13,FALSE)</f>
        <v>9809</v>
      </c>
      <c r="O14" s="639">
        <f t="shared" si="7"/>
        <v>578731</v>
      </c>
      <c r="P14" s="622">
        <v>0</v>
      </c>
      <c r="Q14" s="640">
        <f t="shared" si="8"/>
        <v>578731</v>
      </c>
      <c r="R14" s="641">
        <f t="shared" si="3"/>
        <v>858149</v>
      </c>
      <c r="T14" s="564">
        <f>VLOOKUP($A14,'[15]9-12_MER'!$B$7:$I$194,8,FALSE)</f>
        <v>6521</v>
      </c>
    </row>
    <row r="15" spans="1:20" ht="15" customHeight="1" x14ac:dyDescent="0.2">
      <c r="A15" s="565">
        <v>9</v>
      </c>
      <c r="B15" s="253">
        <v>9</v>
      </c>
      <c r="C15" s="563" t="s">
        <v>13</v>
      </c>
      <c r="D15" s="564">
        <f>VLOOKUP($A15,[10]Template!$A$3:$G$138,7,FALSE)</f>
        <v>12</v>
      </c>
      <c r="E15" s="618">
        <f t="shared" si="1"/>
        <v>252000</v>
      </c>
      <c r="F15" s="564">
        <f>VLOOKUP(A15,[11]Stipends!$A$3:$D$131,4,FALSE)</f>
        <v>5</v>
      </c>
      <c r="G15" s="622">
        <f t="shared" si="4"/>
        <v>30000</v>
      </c>
      <c r="H15" s="564"/>
      <c r="I15" s="622">
        <f t="shared" si="5"/>
        <v>0</v>
      </c>
      <c r="J15" s="622">
        <f t="shared" si="6"/>
        <v>30000</v>
      </c>
      <c r="K15" s="1216">
        <f>VLOOKUP($A15,'[12]4_Level 4'!$A$7:$D$137,4,FALSE)</f>
        <v>2150</v>
      </c>
      <c r="L15" s="626">
        <f t="shared" si="2"/>
        <v>518150</v>
      </c>
      <c r="M15" s="627">
        <f>IFERROR(VLOOKUP($A15,[13]Allocation!$A$6:$P$93,13,FALSE),0)</f>
        <v>0</v>
      </c>
      <c r="N15" s="564">
        <f>VLOOKUP($A15,'[14]MFP by School System_MER'!$A$5:$M$208,13,FALSE)</f>
        <v>16588</v>
      </c>
      <c r="O15" s="639">
        <f t="shared" si="7"/>
        <v>978692</v>
      </c>
      <c r="P15" s="622">
        <v>0</v>
      </c>
      <c r="Q15" s="640">
        <f t="shared" si="8"/>
        <v>978692</v>
      </c>
      <c r="R15" s="641">
        <f t="shared" si="3"/>
        <v>1778842</v>
      </c>
      <c r="T15" s="564">
        <f>VLOOKUP($A15,'[15]9-12_MER'!$B$7:$I$194,8,FALSE)</f>
        <v>11248</v>
      </c>
    </row>
    <row r="16" spans="1:20" ht="15" customHeight="1" x14ac:dyDescent="0.2">
      <c r="A16" s="566">
        <v>10</v>
      </c>
      <c r="B16" s="567">
        <v>10</v>
      </c>
      <c r="C16" s="568" t="s">
        <v>14</v>
      </c>
      <c r="D16" s="569">
        <f>VLOOKUP($A16,[10]Template!$A$3:$G$138,7,FALSE)</f>
        <v>33</v>
      </c>
      <c r="E16" s="619">
        <f t="shared" si="1"/>
        <v>693000</v>
      </c>
      <c r="F16" s="569">
        <f>VLOOKUP(A16,[11]Stipends!$A$3:$D$131,4,FALSE)</f>
        <v>15</v>
      </c>
      <c r="G16" s="623">
        <f t="shared" si="4"/>
        <v>90000</v>
      </c>
      <c r="H16" s="569"/>
      <c r="I16" s="623">
        <f t="shared" si="5"/>
        <v>0</v>
      </c>
      <c r="J16" s="623">
        <f t="shared" si="6"/>
        <v>90000</v>
      </c>
      <c r="K16" s="1217">
        <f>VLOOKUP($A16,'[12]4_Level 4'!$A$7:$D$137,4,FALSE)</f>
        <v>2365</v>
      </c>
      <c r="L16" s="628">
        <f t="shared" si="2"/>
        <v>569965</v>
      </c>
      <c r="M16" s="629">
        <f>IFERROR(VLOOKUP($A16,[13]Allocation!$A$6:$P$93,13,FALSE),0)</f>
        <v>1156324</v>
      </c>
      <c r="N16" s="569">
        <f>VLOOKUP($A16,'[14]MFP by School System_MER'!$A$5:$M$208,13,FALSE)</f>
        <v>13526</v>
      </c>
      <c r="O16" s="642">
        <f t="shared" si="7"/>
        <v>798034</v>
      </c>
      <c r="P16" s="623">
        <v>0</v>
      </c>
      <c r="Q16" s="643">
        <f t="shared" si="8"/>
        <v>798034</v>
      </c>
      <c r="R16" s="644">
        <f t="shared" si="3"/>
        <v>3307323</v>
      </c>
      <c r="T16" s="569">
        <f>VLOOKUP($A16,'[15]9-12_MER'!$B$7:$I$194,8,FALSE)</f>
        <v>8942</v>
      </c>
    </row>
    <row r="17" spans="1:20" ht="15" customHeight="1" x14ac:dyDescent="0.2">
      <c r="A17" s="559">
        <v>11</v>
      </c>
      <c r="B17" s="560">
        <v>11</v>
      </c>
      <c r="C17" s="561" t="s">
        <v>15</v>
      </c>
      <c r="D17" s="562">
        <f>VLOOKUP($A17,[10]Template!$A$3:$G$138,7,FALSE)</f>
        <v>0</v>
      </c>
      <c r="E17" s="617">
        <f t="shared" si="1"/>
        <v>0</v>
      </c>
      <c r="F17" s="562">
        <f>VLOOKUP(A17,[11]Stipends!$A$3:$D$131,4,FALSE)</f>
        <v>0</v>
      </c>
      <c r="G17" s="621">
        <f t="shared" si="4"/>
        <v>0</v>
      </c>
      <c r="H17" s="562"/>
      <c r="I17" s="621">
        <f t="shared" si="5"/>
        <v>0</v>
      </c>
      <c r="J17" s="621">
        <f t="shared" si="6"/>
        <v>0</v>
      </c>
      <c r="K17" s="1215">
        <f>VLOOKUP($A17,'[12]4_Level 4'!$A$7:$D$137,4,FALSE)</f>
        <v>287</v>
      </c>
      <c r="L17" s="630">
        <f t="shared" si="2"/>
        <v>69167</v>
      </c>
      <c r="M17" s="631">
        <f>IFERROR(VLOOKUP($A17,[13]Allocation!$A$6:$P$93,13,FALSE),0)</f>
        <v>0</v>
      </c>
      <c r="N17" s="562">
        <f>VLOOKUP($A17,'[14]MFP by School System_MER'!$A$5:$M$208,13,FALSE)</f>
        <v>680</v>
      </c>
      <c r="O17" s="636">
        <f t="shared" si="7"/>
        <v>40120</v>
      </c>
      <c r="P17" s="621">
        <v>0</v>
      </c>
      <c r="Q17" s="637">
        <f t="shared" si="8"/>
        <v>40120</v>
      </c>
      <c r="R17" s="638">
        <f t="shared" si="3"/>
        <v>109287</v>
      </c>
      <c r="T17" s="562">
        <f>VLOOKUP($A17,'[15]9-12_MER'!$B$7:$I$194,8,FALSE)</f>
        <v>441</v>
      </c>
    </row>
    <row r="18" spans="1:20" ht="15" customHeight="1" x14ac:dyDescent="0.2">
      <c r="A18" s="565">
        <v>12</v>
      </c>
      <c r="B18" s="253">
        <v>12</v>
      </c>
      <c r="C18" s="563" t="s">
        <v>16</v>
      </c>
      <c r="D18" s="564">
        <f>VLOOKUP($A18,[10]Template!$A$3:$G$138,7,FALSE)</f>
        <v>0</v>
      </c>
      <c r="E18" s="618">
        <f t="shared" si="1"/>
        <v>0</v>
      </c>
      <c r="F18" s="564">
        <f>VLOOKUP(A18,[11]Stipends!$A$3:$D$131,4,FALSE)</f>
        <v>0</v>
      </c>
      <c r="G18" s="622">
        <f t="shared" si="4"/>
        <v>0</v>
      </c>
      <c r="H18" s="564"/>
      <c r="I18" s="622">
        <f t="shared" si="5"/>
        <v>0</v>
      </c>
      <c r="J18" s="622">
        <f t="shared" si="6"/>
        <v>0</v>
      </c>
      <c r="K18" s="1216">
        <f>VLOOKUP($A18,'[12]4_Level 4'!$A$7:$D$137,4,FALSE)</f>
        <v>49</v>
      </c>
      <c r="L18" s="626">
        <f t="shared" si="2"/>
        <v>25000</v>
      </c>
      <c r="M18" s="627">
        <f>IFERROR(VLOOKUP($A18,[13]Allocation!$A$6:$P$93,13,FALSE),0)</f>
        <v>0</v>
      </c>
      <c r="N18" s="564">
        <f>VLOOKUP($A18,'[14]MFP by School System_MER'!$A$5:$M$208,13,FALSE)</f>
        <v>581</v>
      </c>
      <c r="O18" s="639">
        <f t="shared" si="7"/>
        <v>34279</v>
      </c>
      <c r="P18" s="622">
        <v>0</v>
      </c>
      <c r="Q18" s="640">
        <f t="shared" si="8"/>
        <v>34279</v>
      </c>
      <c r="R18" s="641">
        <f t="shared" si="3"/>
        <v>59279</v>
      </c>
      <c r="T18" s="564">
        <f>VLOOKUP($A18,'[15]9-12_MER'!$B$7:$I$194,8,FALSE)</f>
        <v>361</v>
      </c>
    </row>
    <row r="19" spans="1:20" ht="15" customHeight="1" x14ac:dyDescent="0.2">
      <c r="A19" s="565">
        <v>13</v>
      </c>
      <c r="B19" s="253">
        <v>13</v>
      </c>
      <c r="C19" s="563" t="s">
        <v>17</v>
      </c>
      <c r="D19" s="564">
        <f>VLOOKUP($A19,[10]Template!$A$3:$G$138,7,FALSE)</f>
        <v>0</v>
      </c>
      <c r="E19" s="618">
        <f t="shared" si="1"/>
        <v>0</v>
      </c>
      <c r="F19" s="564">
        <f>VLOOKUP(A19,[11]Stipends!$A$3:$D$131,4,FALSE)</f>
        <v>0</v>
      </c>
      <c r="G19" s="622">
        <f t="shared" si="4"/>
        <v>0</v>
      </c>
      <c r="H19" s="564"/>
      <c r="I19" s="622">
        <f t="shared" si="5"/>
        <v>0</v>
      </c>
      <c r="J19" s="622">
        <f t="shared" si="6"/>
        <v>0</v>
      </c>
      <c r="K19" s="1216">
        <f>VLOOKUP($A19,'[12]4_Level 4'!$A$7:$D$137,4,FALSE)</f>
        <v>98</v>
      </c>
      <c r="L19" s="626">
        <f t="shared" si="2"/>
        <v>25000</v>
      </c>
      <c r="M19" s="627">
        <f>IFERROR(VLOOKUP($A19,[13]Allocation!$A$6:$P$93,13,FALSE),0)</f>
        <v>0</v>
      </c>
      <c r="N19" s="564">
        <f>VLOOKUP($A19,'[14]MFP by School System_MER'!$A$5:$M$208,13,FALSE)</f>
        <v>514</v>
      </c>
      <c r="O19" s="639">
        <f t="shared" si="7"/>
        <v>30326</v>
      </c>
      <c r="P19" s="622">
        <v>0</v>
      </c>
      <c r="Q19" s="640">
        <f t="shared" si="8"/>
        <v>30326</v>
      </c>
      <c r="R19" s="641">
        <f t="shared" si="3"/>
        <v>55326</v>
      </c>
      <c r="T19" s="564">
        <f>VLOOKUP($A19,'[15]9-12_MER'!$B$7:$I$194,8,FALSE)</f>
        <v>316</v>
      </c>
    </row>
    <row r="20" spans="1:20" ht="15" customHeight="1" x14ac:dyDescent="0.2">
      <c r="A20" s="565">
        <v>14</v>
      </c>
      <c r="B20" s="253">
        <v>14</v>
      </c>
      <c r="C20" s="563" t="s">
        <v>18</v>
      </c>
      <c r="D20" s="564">
        <f>VLOOKUP($A20,[10]Template!$A$3:$G$138,7,FALSE)</f>
        <v>0</v>
      </c>
      <c r="E20" s="618">
        <f t="shared" si="1"/>
        <v>0</v>
      </c>
      <c r="F20" s="564">
        <f>VLOOKUP(A20,[11]Stipends!$A$3:$D$131,4,FALSE)</f>
        <v>0</v>
      </c>
      <c r="G20" s="622">
        <f t="shared" si="4"/>
        <v>0</v>
      </c>
      <c r="H20" s="564"/>
      <c r="I20" s="622">
        <f t="shared" si="5"/>
        <v>0</v>
      </c>
      <c r="J20" s="622">
        <f t="shared" si="6"/>
        <v>0</v>
      </c>
      <c r="K20" s="1216">
        <f>VLOOKUP($A20,'[12]4_Level 4'!$A$7:$D$137,4,FALSE)</f>
        <v>268</v>
      </c>
      <c r="L20" s="626">
        <f t="shared" si="2"/>
        <v>64588</v>
      </c>
      <c r="M20" s="627">
        <f>IFERROR(VLOOKUP($A20,[13]Allocation!$A$6:$P$93,13,FALSE),0)</f>
        <v>0</v>
      </c>
      <c r="N20" s="564">
        <f>VLOOKUP($A20,'[14]MFP by School System_MER'!$A$5:$M$208,13,FALSE)</f>
        <v>674</v>
      </c>
      <c r="O20" s="639">
        <f t="shared" si="7"/>
        <v>39766</v>
      </c>
      <c r="P20" s="622">
        <v>0</v>
      </c>
      <c r="Q20" s="640">
        <f t="shared" si="8"/>
        <v>39766</v>
      </c>
      <c r="R20" s="641">
        <f t="shared" si="3"/>
        <v>104354</v>
      </c>
      <c r="T20" s="564">
        <f>VLOOKUP($A20,'[15]9-12_MER'!$B$7:$I$194,8,FALSE)</f>
        <v>417</v>
      </c>
    </row>
    <row r="21" spans="1:20" ht="15" customHeight="1" x14ac:dyDescent="0.2">
      <c r="A21" s="566">
        <v>15</v>
      </c>
      <c r="B21" s="567">
        <v>15</v>
      </c>
      <c r="C21" s="568" t="s">
        <v>19</v>
      </c>
      <c r="D21" s="569">
        <f>VLOOKUP($A21,[10]Template!$A$3:$G$138,7,FALSE)</f>
        <v>2</v>
      </c>
      <c r="E21" s="619">
        <f t="shared" si="1"/>
        <v>42000</v>
      </c>
      <c r="F21" s="569">
        <f>VLOOKUP(A21,[11]Stipends!$A$3:$D$131,4,FALSE)</f>
        <v>0</v>
      </c>
      <c r="G21" s="623">
        <f t="shared" si="4"/>
        <v>0</v>
      </c>
      <c r="H21" s="569"/>
      <c r="I21" s="623">
        <f t="shared" si="5"/>
        <v>0</v>
      </c>
      <c r="J21" s="623">
        <f t="shared" si="6"/>
        <v>0</v>
      </c>
      <c r="K21" s="1217">
        <f>VLOOKUP($A21,'[12]4_Level 4'!$A$7:$D$137,4,FALSE)</f>
        <v>404</v>
      </c>
      <c r="L21" s="628">
        <f t="shared" si="2"/>
        <v>97364</v>
      </c>
      <c r="M21" s="629">
        <f>IFERROR(VLOOKUP($A21,[13]Allocation!$A$6:$P$93,13,FALSE),0)</f>
        <v>0</v>
      </c>
      <c r="N21" s="569">
        <f>VLOOKUP($A21,'[14]MFP by School System_MER'!$A$5:$M$208,13,FALSE)</f>
        <v>1409</v>
      </c>
      <c r="O21" s="642">
        <f t="shared" si="7"/>
        <v>83131</v>
      </c>
      <c r="P21" s="623">
        <v>0</v>
      </c>
      <c r="Q21" s="643">
        <f t="shared" si="8"/>
        <v>83131</v>
      </c>
      <c r="R21" s="644">
        <f t="shared" si="3"/>
        <v>222495</v>
      </c>
      <c r="T21" s="569">
        <f>VLOOKUP($A21,'[15]9-12_MER'!$B$7:$I$194,8,FALSE)</f>
        <v>916</v>
      </c>
    </row>
    <row r="22" spans="1:20" ht="15" customHeight="1" x14ac:dyDescent="0.2">
      <c r="A22" s="559">
        <v>16</v>
      </c>
      <c r="B22" s="560">
        <v>16</v>
      </c>
      <c r="C22" s="561" t="s">
        <v>20</v>
      </c>
      <c r="D22" s="562">
        <f>VLOOKUP($A22,[10]Template!$A$3:$G$138,7,FALSE)</f>
        <v>0</v>
      </c>
      <c r="E22" s="617">
        <f t="shared" si="1"/>
        <v>0</v>
      </c>
      <c r="F22" s="562">
        <f>VLOOKUP(A22,[11]Stipends!$A$3:$D$131,4,FALSE)</f>
        <v>0</v>
      </c>
      <c r="G22" s="621">
        <f t="shared" si="4"/>
        <v>0</v>
      </c>
      <c r="H22" s="562"/>
      <c r="I22" s="621">
        <f t="shared" si="5"/>
        <v>0</v>
      </c>
      <c r="J22" s="621">
        <f t="shared" si="6"/>
        <v>0</v>
      </c>
      <c r="K22" s="1215">
        <f>VLOOKUP($A22,'[12]4_Level 4'!$A$7:$D$137,4,FALSE)</f>
        <v>719</v>
      </c>
      <c r="L22" s="630">
        <f t="shared" si="2"/>
        <v>173279</v>
      </c>
      <c r="M22" s="631">
        <f>IFERROR(VLOOKUP($A22,[13]Allocation!$A$6:$P$93,13,FALSE),0)</f>
        <v>356715</v>
      </c>
      <c r="N22" s="562">
        <f>VLOOKUP($A22,'[14]MFP by School System_MER'!$A$5:$M$208,13,FALSE)</f>
        <v>2155</v>
      </c>
      <c r="O22" s="636">
        <f t="shared" si="7"/>
        <v>127145</v>
      </c>
      <c r="P22" s="621">
        <v>0</v>
      </c>
      <c r="Q22" s="637">
        <f t="shared" si="8"/>
        <v>127145</v>
      </c>
      <c r="R22" s="638">
        <f t="shared" si="3"/>
        <v>657139</v>
      </c>
      <c r="T22" s="562">
        <f>VLOOKUP($A22,'[15]9-12_MER'!$B$7:$I$194,8,FALSE)</f>
        <v>1387</v>
      </c>
    </row>
    <row r="23" spans="1:20" ht="15" customHeight="1" x14ac:dyDescent="0.2">
      <c r="A23" s="565">
        <v>17</v>
      </c>
      <c r="B23" s="253">
        <v>17</v>
      </c>
      <c r="C23" s="563" t="s">
        <v>21</v>
      </c>
      <c r="D23" s="564">
        <f>VLOOKUP($A23,[10]Template!$A$3:$G$138,7,FALSE)</f>
        <v>20</v>
      </c>
      <c r="E23" s="618">
        <f t="shared" si="1"/>
        <v>420000</v>
      </c>
      <c r="F23" s="570">
        <f>VLOOKUP(A23,[11]Stipends!$A$3:$D$131,4,FALSE)</f>
        <v>7</v>
      </c>
      <c r="G23" s="622">
        <f t="shared" si="4"/>
        <v>42000</v>
      </c>
      <c r="H23" s="564"/>
      <c r="I23" s="622">
        <f t="shared" si="5"/>
        <v>0</v>
      </c>
      <c r="J23" s="622">
        <f t="shared" si="6"/>
        <v>42000</v>
      </c>
      <c r="K23" s="1216">
        <f>VLOOKUP($A23,'[12]4_Level 4'!$A$7:$D$137,4,FALSE)</f>
        <v>2541</v>
      </c>
      <c r="L23" s="626">
        <f t="shared" si="2"/>
        <v>612381</v>
      </c>
      <c r="M23" s="627">
        <f>IFERROR(VLOOKUP($A23,[13]Allocation!$A$6:$P$93,13,FALSE),0)</f>
        <v>181722</v>
      </c>
      <c r="N23" s="564">
        <f>VLOOKUP($A23,'[14]MFP by School System_MER'!$A$5:$M$208,13,FALSE)</f>
        <v>16368</v>
      </c>
      <c r="O23" s="639">
        <f t="shared" si="7"/>
        <v>965712</v>
      </c>
      <c r="P23" s="622">
        <v>0</v>
      </c>
      <c r="Q23" s="640">
        <f t="shared" si="8"/>
        <v>965712</v>
      </c>
      <c r="R23" s="641">
        <f t="shared" si="3"/>
        <v>2221815</v>
      </c>
      <c r="T23" s="564">
        <f>VLOOKUP($A23,'[15]9-12_MER'!$B$7:$I$194,8,FALSE)</f>
        <v>10962</v>
      </c>
    </row>
    <row r="24" spans="1:20" ht="15" customHeight="1" x14ac:dyDescent="0.2">
      <c r="A24" s="565">
        <v>18</v>
      </c>
      <c r="B24" s="253">
        <v>18</v>
      </c>
      <c r="C24" s="563" t="s">
        <v>22</v>
      </c>
      <c r="D24" s="564">
        <f>VLOOKUP($A24,[10]Template!$A$3:$G$138,7,FALSE)</f>
        <v>2</v>
      </c>
      <c r="E24" s="618">
        <f t="shared" si="1"/>
        <v>42000</v>
      </c>
      <c r="F24" s="570">
        <f>VLOOKUP(A24,[11]Stipends!$A$3:$D$131,4,FALSE)</f>
        <v>0</v>
      </c>
      <c r="G24" s="622">
        <f t="shared" si="4"/>
        <v>0</v>
      </c>
      <c r="H24" s="564"/>
      <c r="I24" s="622">
        <f t="shared" si="5"/>
        <v>0</v>
      </c>
      <c r="J24" s="622">
        <f t="shared" si="6"/>
        <v>0</v>
      </c>
      <c r="K24" s="1216">
        <f>VLOOKUP($A24,'[12]4_Level 4'!$A$7:$D$137,4,FALSE)</f>
        <v>137</v>
      </c>
      <c r="L24" s="626">
        <f t="shared" si="2"/>
        <v>33017</v>
      </c>
      <c r="M24" s="627">
        <f>IFERROR(VLOOKUP($A24,[13]Allocation!$A$6:$P$93,13,FALSE),0)</f>
        <v>0</v>
      </c>
      <c r="N24" s="564">
        <f>VLOOKUP($A24,'[14]MFP by School System_MER'!$A$5:$M$208,13,FALSE)</f>
        <v>401</v>
      </c>
      <c r="O24" s="639">
        <f t="shared" si="7"/>
        <v>23659</v>
      </c>
      <c r="P24" s="622">
        <v>0</v>
      </c>
      <c r="Q24" s="640">
        <f t="shared" si="8"/>
        <v>23659</v>
      </c>
      <c r="R24" s="641">
        <f t="shared" si="3"/>
        <v>98676</v>
      </c>
      <c r="T24" s="564">
        <f>VLOOKUP($A24,'[15]9-12_MER'!$B$7:$I$194,8,FALSE)</f>
        <v>285</v>
      </c>
    </row>
    <row r="25" spans="1:20" ht="15" customHeight="1" x14ac:dyDescent="0.2">
      <c r="A25" s="565">
        <v>19</v>
      </c>
      <c r="B25" s="253">
        <v>19</v>
      </c>
      <c r="C25" s="563" t="s">
        <v>23</v>
      </c>
      <c r="D25" s="564">
        <f>VLOOKUP($A25,[10]Template!$A$3:$G$138,7,FALSE)</f>
        <v>0</v>
      </c>
      <c r="E25" s="618">
        <f t="shared" si="1"/>
        <v>0</v>
      </c>
      <c r="F25" s="570">
        <f>VLOOKUP(A25,[11]Stipends!$A$3:$D$131,4,FALSE)</f>
        <v>0</v>
      </c>
      <c r="G25" s="622">
        <f t="shared" si="4"/>
        <v>0</v>
      </c>
      <c r="H25" s="564"/>
      <c r="I25" s="622">
        <f t="shared" si="5"/>
        <v>0</v>
      </c>
      <c r="J25" s="622">
        <f t="shared" si="6"/>
        <v>0</v>
      </c>
      <c r="K25" s="1216">
        <f>VLOOKUP($A25,'[12]4_Level 4'!$A$7:$D$137,4,FALSE)</f>
        <v>95</v>
      </c>
      <c r="L25" s="626">
        <f t="shared" si="2"/>
        <v>25000</v>
      </c>
      <c r="M25" s="627">
        <f>IFERROR(VLOOKUP($A25,[13]Allocation!$A$6:$P$93,13,FALSE),0)</f>
        <v>56885</v>
      </c>
      <c r="N25" s="564">
        <f>VLOOKUP($A25,'[14]MFP by School System_MER'!$A$5:$M$208,13,FALSE)</f>
        <v>814</v>
      </c>
      <c r="O25" s="639">
        <f t="shared" si="7"/>
        <v>48026</v>
      </c>
      <c r="P25" s="622">
        <v>0</v>
      </c>
      <c r="Q25" s="640">
        <f t="shared" si="8"/>
        <v>48026</v>
      </c>
      <c r="R25" s="641">
        <f t="shared" si="3"/>
        <v>129911</v>
      </c>
      <c r="T25" s="564">
        <f>VLOOKUP($A25,'[15]9-12_MER'!$B$7:$I$194,8,FALSE)</f>
        <v>523</v>
      </c>
    </row>
    <row r="26" spans="1:20" ht="15" customHeight="1" x14ac:dyDescent="0.2">
      <c r="A26" s="566">
        <v>20</v>
      </c>
      <c r="B26" s="567">
        <v>20</v>
      </c>
      <c r="C26" s="568" t="s">
        <v>24</v>
      </c>
      <c r="D26" s="569">
        <f>VLOOKUP($A26,[10]Template!$A$3:$G$138,7,FALSE)</f>
        <v>5</v>
      </c>
      <c r="E26" s="619">
        <f t="shared" si="1"/>
        <v>105000</v>
      </c>
      <c r="F26" s="571">
        <f>VLOOKUP(A26,[11]Stipends!$A$3:$D$131,4,FALSE)</f>
        <v>2</v>
      </c>
      <c r="G26" s="623">
        <f t="shared" si="4"/>
        <v>12000</v>
      </c>
      <c r="H26" s="569"/>
      <c r="I26" s="623">
        <f t="shared" si="5"/>
        <v>0</v>
      </c>
      <c r="J26" s="623">
        <f t="shared" si="6"/>
        <v>12000</v>
      </c>
      <c r="K26" s="1217">
        <f>VLOOKUP($A26,'[12]4_Level 4'!$A$7:$D$137,4,FALSE)</f>
        <v>725</v>
      </c>
      <c r="L26" s="628">
        <f t="shared" si="2"/>
        <v>174725</v>
      </c>
      <c r="M26" s="629">
        <f>IFERROR(VLOOKUP($A26,[13]Allocation!$A$6:$P$93,13,FALSE),0)</f>
        <v>373668</v>
      </c>
      <c r="N26" s="569">
        <f>VLOOKUP($A26,'[14]MFP by School System_MER'!$A$5:$M$208,13,FALSE)</f>
        <v>2357</v>
      </c>
      <c r="O26" s="642">
        <f t="shared" si="7"/>
        <v>139063</v>
      </c>
      <c r="P26" s="623">
        <v>0</v>
      </c>
      <c r="Q26" s="643">
        <f t="shared" si="8"/>
        <v>139063</v>
      </c>
      <c r="R26" s="644">
        <f t="shared" si="3"/>
        <v>804456</v>
      </c>
      <c r="T26" s="569">
        <f>VLOOKUP($A26,'[15]9-12_MER'!$B$7:$I$194,8,FALSE)</f>
        <v>1503</v>
      </c>
    </row>
    <row r="27" spans="1:20" ht="15" customHeight="1" x14ac:dyDescent="0.2">
      <c r="A27" s="559">
        <v>21</v>
      </c>
      <c r="B27" s="560">
        <v>21</v>
      </c>
      <c r="C27" s="561" t="s">
        <v>25</v>
      </c>
      <c r="D27" s="562">
        <f>VLOOKUP($A27,[10]Template!$A$3:$G$138,7,FALSE)</f>
        <v>0</v>
      </c>
      <c r="E27" s="617">
        <f t="shared" si="1"/>
        <v>0</v>
      </c>
      <c r="F27" s="572">
        <f>VLOOKUP(A27,[11]Stipends!$A$3:$D$131,4,FALSE)</f>
        <v>0</v>
      </c>
      <c r="G27" s="621">
        <f t="shared" si="4"/>
        <v>0</v>
      </c>
      <c r="H27" s="562"/>
      <c r="I27" s="621">
        <f t="shared" si="5"/>
        <v>0</v>
      </c>
      <c r="J27" s="621">
        <f t="shared" si="6"/>
        <v>0</v>
      </c>
      <c r="K27" s="1215">
        <f>VLOOKUP($A27,'[12]4_Level 4'!$A$7:$D$137,4,FALSE)</f>
        <v>72</v>
      </c>
      <c r="L27" s="630">
        <f t="shared" si="2"/>
        <v>25000</v>
      </c>
      <c r="M27" s="631">
        <f>IFERROR(VLOOKUP($A27,[13]Allocation!$A$6:$P$93,13,FALSE),0)</f>
        <v>0</v>
      </c>
      <c r="N27" s="562">
        <f>VLOOKUP($A27,'[14]MFP by School System_MER'!$A$5:$M$208,13,FALSE)</f>
        <v>1205</v>
      </c>
      <c r="O27" s="636">
        <f t="shared" si="7"/>
        <v>71095</v>
      </c>
      <c r="P27" s="621">
        <v>0</v>
      </c>
      <c r="Q27" s="637">
        <f t="shared" si="8"/>
        <v>71095</v>
      </c>
      <c r="R27" s="638">
        <f t="shared" si="3"/>
        <v>96095</v>
      </c>
      <c r="T27" s="562">
        <f>VLOOKUP($A27,'[15]9-12_MER'!$B$7:$I$194,8,FALSE)</f>
        <v>786</v>
      </c>
    </row>
    <row r="28" spans="1:20" ht="15" customHeight="1" x14ac:dyDescent="0.2">
      <c r="A28" s="565">
        <v>22</v>
      </c>
      <c r="B28" s="253">
        <v>22</v>
      </c>
      <c r="C28" s="563" t="s">
        <v>26</v>
      </c>
      <c r="D28" s="564">
        <f>VLOOKUP($A28,[10]Template!$A$3:$G$138,7,FALSE)</f>
        <v>0</v>
      </c>
      <c r="E28" s="618">
        <f t="shared" si="1"/>
        <v>0</v>
      </c>
      <c r="F28" s="570">
        <f>VLOOKUP(A28,[11]Stipends!$A$3:$D$131,4,FALSE)</f>
        <v>0</v>
      </c>
      <c r="G28" s="622">
        <f t="shared" si="4"/>
        <v>0</v>
      </c>
      <c r="H28" s="564"/>
      <c r="I28" s="622">
        <f t="shared" si="5"/>
        <v>0</v>
      </c>
      <c r="J28" s="622">
        <f t="shared" si="6"/>
        <v>0</v>
      </c>
      <c r="K28" s="1216">
        <f>VLOOKUP($A28,'[12]4_Level 4'!$A$7:$D$137,4,FALSE)</f>
        <v>461</v>
      </c>
      <c r="L28" s="626">
        <f t="shared" si="2"/>
        <v>111101</v>
      </c>
      <c r="M28" s="627">
        <f>IFERROR(VLOOKUP($A28,[13]Allocation!$A$6:$P$93,13,FALSE),0)</f>
        <v>0</v>
      </c>
      <c r="N28" s="564">
        <f>VLOOKUP($A28,'[14]MFP by School System_MER'!$A$5:$M$208,13,FALSE)</f>
        <v>1265</v>
      </c>
      <c r="O28" s="639">
        <f t="shared" si="7"/>
        <v>74635</v>
      </c>
      <c r="P28" s="622">
        <v>0</v>
      </c>
      <c r="Q28" s="640">
        <f t="shared" si="8"/>
        <v>74635</v>
      </c>
      <c r="R28" s="641">
        <f t="shared" si="3"/>
        <v>185736</v>
      </c>
      <c r="T28" s="564">
        <f>VLOOKUP($A28,'[15]9-12_MER'!$B$7:$I$194,8,FALSE)</f>
        <v>802</v>
      </c>
    </row>
    <row r="29" spans="1:20" ht="15" customHeight="1" x14ac:dyDescent="0.2">
      <c r="A29" s="565">
        <v>23</v>
      </c>
      <c r="B29" s="253">
        <v>23</v>
      </c>
      <c r="C29" s="563" t="s">
        <v>27</v>
      </c>
      <c r="D29" s="564">
        <f>VLOOKUP($A29,[10]Template!$A$3:$G$138,7,FALSE)</f>
        <v>15</v>
      </c>
      <c r="E29" s="618">
        <f t="shared" si="1"/>
        <v>315000</v>
      </c>
      <c r="F29" s="570">
        <f>VLOOKUP(A29,[11]Stipends!$A$3:$D$131,4,FALSE)</f>
        <v>3</v>
      </c>
      <c r="G29" s="622">
        <f t="shared" si="4"/>
        <v>18000</v>
      </c>
      <c r="H29" s="564"/>
      <c r="I29" s="622">
        <f t="shared" si="5"/>
        <v>0</v>
      </c>
      <c r="J29" s="622">
        <f t="shared" si="6"/>
        <v>18000</v>
      </c>
      <c r="K29" s="1216">
        <f>VLOOKUP($A29,'[12]4_Level 4'!$A$7:$D$137,4,FALSE)</f>
        <v>1895</v>
      </c>
      <c r="L29" s="626">
        <f t="shared" si="2"/>
        <v>456695</v>
      </c>
      <c r="M29" s="627">
        <f>IFERROR(VLOOKUP($A29,[13]Allocation!$A$6:$P$93,13,FALSE),0)</f>
        <v>246656</v>
      </c>
      <c r="N29" s="564">
        <f>VLOOKUP($A29,'[14]MFP by School System_MER'!$A$5:$M$208,13,FALSE)</f>
        <v>5177</v>
      </c>
      <c r="O29" s="639">
        <f t="shared" si="7"/>
        <v>305443</v>
      </c>
      <c r="P29" s="622">
        <v>0</v>
      </c>
      <c r="Q29" s="640">
        <f t="shared" si="8"/>
        <v>305443</v>
      </c>
      <c r="R29" s="641">
        <f t="shared" si="3"/>
        <v>1341794</v>
      </c>
      <c r="T29" s="564">
        <f>VLOOKUP($A29,'[15]9-12_MER'!$B$7:$I$194,8,FALSE)</f>
        <v>3405</v>
      </c>
    </row>
    <row r="30" spans="1:20" ht="15" customHeight="1" x14ac:dyDescent="0.2">
      <c r="A30" s="565">
        <v>24</v>
      </c>
      <c r="B30" s="253">
        <v>24</v>
      </c>
      <c r="C30" s="563" t="s">
        <v>28</v>
      </c>
      <c r="D30" s="564">
        <f>VLOOKUP($A30,[10]Template!$A$3:$G$138,7,FALSE)</f>
        <v>0</v>
      </c>
      <c r="E30" s="618">
        <f t="shared" si="1"/>
        <v>0</v>
      </c>
      <c r="F30" s="570">
        <f>VLOOKUP(A30,[11]Stipends!$A$3:$D$131,4,FALSE)</f>
        <v>0</v>
      </c>
      <c r="G30" s="622">
        <f t="shared" si="4"/>
        <v>0</v>
      </c>
      <c r="H30" s="564"/>
      <c r="I30" s="622">
        <f t="shared" si="5"/>
        <v>0</v>
      </c>
      <c r="J30" s="622">
        <f t="shared" si="6"/>
        <v>0</v>
      </c>
      <c r="K30" s="1216">
        <f>VLOOKUP($A30,'[12]4_Level 4'!$A$7:$D$137,4,FALSE)</f>
        <v>404</v>
      </c>
      <c r="L30" s="626">
        <f t="shared" si="2"/>
        <v>97364</v>
      </c>
      <c r="M30" s="627">
        <f>IFERROR(VLOOKUP($A30,[13]Allocation!$A$6:$P$93,13,FALSE),0)</f>
        <v>68261</v>
      </c>
      <c r="N30" s="564">
        <f>VLOOKUP($A30,'[14]MFP by School System_MER'!$A$5:$M$208,13,FALSE)</f>
        <v>1975</v>
      </c>
      <c r="O30" s="639">
        <f t="shared" si="7"/>
        <v>116525</v>
      </c>
      <c r="P30" s="622">
        <v>0</v>
      </c>
      <c r="Q30" s="640">
        <f t="shared" si="8"/>
        <v>116525</v>
      </c>
      <c r="R30" s="641">
        <f t="shared" si="3"/>
        <v>282150</v>
      </c>
      <c r="T30" s="564">
        <f>VLOOKUP($A30,'[15]9-12_MER'!$B$7:$I$194,8,FALSE)</f>
        <v>1249</v>
      </c>
    </row>
    <row r="31" spans="1:20" ht="15" customHeight="1" x14ac:dyDescent="0.2">
      <c r="A31" s="566">
        <v>25</v>
      </c>
      <c r="B31" s="567">
        <v>25</v>
      </c>
      <c r="C31" s="568" t="s">
        <v>29</v>
      </c>
      <c r="D31" s="569">
        <f>VLOOKUP($A31,[10]Template!$A$3:$G$138,7,FALSE)</f>
        <v>0</v>
      </c>
      <c r="E31" s="619">
        <f t="shared" si="1"/>
        <v>0</v>
      </c>
      <c r="F31" s="571">
        <f>VLOOKUP(A31,[11]Stipends!$A$3:$D$131,4,FALSE)</f>
        <v>0</v>
      </c>
      <c r="G31" s="623">
        <f t="shared" si="4"/>
        <v>0</v>
      </c>
      <c r="H31" s="569"/>
      <c r="I31" s="623">
        <f t="shared" si="5"/>
        <v>0</v>
      </c>
      <c r="J31" s="623">
        <f t="shared" si="6"/>
        <v>0</v>
      </c>
      <c r="K31" s="1217">
        <f>VLOOKUP($A31,'[12]4_Level 4'!$A$7:$D$137,4,FALSE)</f>
        <v>334</v>
      </c>
      <c r="L31" s="628">
        <f t="shared" si="2"/>
        <v>80494</v>
      </c>
      <c r="M31" s="629">
        <f>IFERROR(VLOOKUP($A31,[13]Allocation!$A$6:$P$93,13,FALSE),0)</f>
        <v>0</v>
      </c>
      <c r="N31" s="569">
        <f>VLOOKUP($A31,'[14]MFP by School System_MER'!$A$5:$M$208,13,FALSE)</f>
        <v>985</v>
      </c>
      <c r="O31" s="642">
        <f t="shared" si="7"/>
        <v>58115</v>
      </c>
      <c r="P31" s="623">
        <v>0</v>
      </c>
      <c r="Q31" s="643">
        <f t="shared" si="8"/>
        <v>58115</v>
      </c>
      <c r="R31" s="644">
        <f t="shared" si="3"/>
        <v>138609</v>
      </c>
      <c r="T31" s="569">
        <f>VLOOKUP($A31,'[15]9-12_MER'!$B$7:$I$194,8,FALSE)</f>
        <v>649</v>
      </c>
    </row>
    <row r="32" spans="1:20" ht="15" customHeight="1" x14ac:dyDescent="0.2">
      <c r="A32" s="559">
        <v>26</v>
      </c>
      <c r="B32" s="560">
        <v>26</v>
      </c>
      <c r="C32" s="561" t="s">
        <v>30</v>
      </c>
      <c r="D32" s="562">
        <f>VLOOKUP($A32,[10]Template!$A$3:$G$138,7,FALSE)</f>
        <v>22</v>
      </c>
      <c r="E32" s="617">
        <f t="shared" si="1"/>
        <v>462000</v>
      </c>
      <c r="F32" s="572">
        <f>VLOOKUP(A32,[11]Stipends!$A$3:$D$131,4,FALSE)</f>
        <v>7</v>
      </c>
      <c r="G32" s="621">
        <f t="shared" si="4"/>
        <v>42000</v>
      </c>
      <c r="H32" s="562"/>
      <c r="I32" s="621">
        <f t="shared" si="5"/>
        <v>0</v>
      </c>
      <c r="J32" s="621">
        <f t="shared" si="6"/>
        <v>42000</v>
      </c>
      <c r="K32" s="1215">
        <f>VLOOKUP($A32,'[12]4_Level 4'!$A$7:$D$137,4,FALSE)</f>
        <v>4740</v>
      </c>
      <c r="L32" s="630">
        <f t="shared" si="2"/>
        <v>1142340</v>
      </c>
      <c r="M32" s="631">
        <f>IFERROR(VLOOKUP($A32,[13]Allocation!$A$6:$P$93,13,FALSE),0)</f>
        <v>292109</v>
      </c>
      <c r="N32" s="562">
        <f>VLOOKUP($A32,'[14]MFP by School System_MER'!$A$5:$M$208,13,FALSE)</f>
        <v>19622</v>
      </c>
      <c r="O32" s="636">
        <f t="shared" si="7"/>
        <v>1157698</v>
      </c>
      <c r="P32" s="621">
        <v>0</v>
      </c>
      <c r="Q32" s="637">
        <f t="shared" si="8"/>
        <v>1157698</v>
      </c>
      <c r="R32" s="638">
        <f t="shared" si="3"/>
        <v>3096147</v>
      </c>
      <c r="T32" s="562">
        <f>VLOOKUP($A32,'[15]9-12_MER'!$B$7:$I$194,8,FALSE)</f>
        <v>13313</v>
      </c>
    </row>
    <row r="33" spans="1:20" ht="15" customHeight="1" x14ac:dyDescent="0.2">
      <c r="A33" s="565">
        <v>27</v>
      </c>
      <c r="B33" s="253">
        <v>27</v>
      </c>
      <c r="C33" s="563" t="s">
        <v>31</v>
      </c>
      <c r="D33" s="564">
        <f>VLOOKUP($A33,[10]Template!$A$3:$G$138,7,FALSE)</f>
        <v>0</v>
      </c>
      <c r="E33" s="618">
        <f t="shared" si="1"/>
        <v>0</v>
      </c>
      <c r="F33" s="570">
        <f>VLOOKUP(A33,[11]Stipends!$A$3:$D$131,4,FALSE)</f>
        <v>0</v>
      </c>
      <c r="G33" s="622">
        <f t="shared" si="4"/>
        <v>0</v>
      </c>
      <c r="H33" s="564"/>
      <c r="I33" s="622">
        <f t="shared" si="5"/>
        <v>0</v>
      </c>
      <c r="J33" s="622">
        <f t="shared" si="6"/>
        <v>0</v>
      </c>
      <c r="K33" s="1216">
        <f>VLOOKUP($A33,'[12]4_Level 4'!$A$7:$D$137,4,FALSE)</f>
        <v>527</v>
      </c>
      <c r="L33" s="626">
        <f t="shared" si="2"/>
        <v>127007</v>
      </c>
      <c r="M33" s="627">
        <f>IFERROR(VLOOKUP($A33,[13]Allocation!$A$6:$P$93,13,FALSE),0)</f>
        <v>0</v>
      </c>
      <c r="N33" s="564">
        <f>VLOOKUP($A33,'[14]MFP by School System_MER'!$A$5:$M$208,13,FALSE)</f>
        <v>2473</v>
      </c>
      <c r="O33" s="639">
        <f t="shared" si="7"/>
        <v>145907</v>
      </c>
      <c r="P33" s="622">
        <v>0</v>
      </c>
      <c r="Q33" s="640">
        <f t="shared" si="8"/>
        <v>145907</v>
      </c>
      <c r="R33" s="641">
        <f t="shared" si="3"/>
        <v>272914</v>
      </c>
      <c r="T33" s="564">
        <f>VLOOKUP($A33,'[15]9-12_MER'!$B$7:$I$194,8,FALSE)</f>
        <v>1636</v>
      </c>
    </row>
    <row r="34" spans="1:20" ht="15" customHeight="1" x14ac:dyDescent="0.2">
      <c r="A34" s="565">
        <v>28</v>
      </c>
      <c r="B34" s="253">
        <v>28</v>
      </c>
      <c r="C34" s="563" t="s">
        <v>32</v>
      </c>
      <c r="D34" s="564">
        <f>VLOOKUP($A34,[10]Template!$A$3:$G$138,7,FALSE)</f>
        <v>42</v>
      </c>
      <c r="E34" s="618">
        <f t="shared" si="1"/>
        <v>882000</v>
      </c>
      <c r="F34" s="570">
        <f>VLOOKUP(A34,[11]Stipends!$A$3:$D$131,4,FALSE)</f>
        <v>12</v>
      </c>
      <c r="G34" s="622">
        <f t="shared" si="4"/>
        <v>72000</v>
      </c>
      <c r="H34" s="564"/>
      <c r="I34" s="622">
        <f t="shared" si="5"/>
        <v>0</v>
      </c>
      <c r="J34" s="622">
        <f t="shared" si="6"/>
        <v>72000</v>
      </c>
      <c r="K34" s="1216">
        <f>VLOOKUP($A34,'[12]4_Level 4'!$A$7:$D$137,4,FALSE)</f>
        <v>3594</v>
      </c>
      <c r="L34" s="626">
        <f t="shared" si="2"/>
        <v>866154</v>
      </c>
      <c r="M34" s="627">
        <f>IFERROR(VLOOKUP($A34,[13]Allocation!$A$6:$P$93,13,FALSE),0)</f>
        <v>0</v>
      </c>
      <c r="N34" s="564">
        <f>VLOOKUP($A34,'[14]MFP by School System_MER'!$A$5:$M$208,13,FALSE)</f>
        <v>13597</v>
      </c>
      <c r="O34" s="639">
        <f t="shared" si="7"/>
        <v>802223</v>
      </c>
      <c r="P34" s="622">
        <v>0</v>
      </c>
      <c r="Q34" s="640">
        <f t="shared" si="8"/>
        <v>802223</v>
      </c>
      <c r="R34" s="641">
        <f t="shared" si="3"/>
        <v>2622377</v>
      </c>
      <c r="T34" s="564">
        <f>VLOOKUP($A34,'[15]9-12_MER'!$B$7:$I$194,8,FALSE)</f>
        <v>9446</v>
      </c>
    </row>
    <row r="35" spans="1:20" ht="15" customHeight="1" x14ac:dyDescent="0.2">
      <c r="A35" s="565">
        <v>29</v>
      </c>
      <c r="B35" s="253">
        <v>29</v>
      </c>
      <c r="C35" s="563" t="s">
        <v>33</v>
      </c>
      <c r="D35" s="570">
        <f>VLOOKUP($A35,[10]Template!$A$3:$G$138,7,FALSE)</f>
        <v>13</v>
      </c>
      <c r="E35" s="618">
        <f t="shared" si="1"/>
        <v>273000</v>
      </c>
      <c r="F35" s="570">
        <f>VLOOKUP(A35,[11]Stipends!$A$3:$D$131,4,FALSE)</f>
        <v>5</v>
      </c>
      <c r="G35" s="622">
        <f t="shared" si="4"/>
        <v>30000</v>
      </c>
      <c r="H35" s="564"/>
      <c r="I35" s="622">
        <f t="shared" si="5"/>
        <v>0</v>
      </c>
      <c r="J35" s="622">
        <f t="shared" si="6"/>
        <v>30000</v>
      </c>
      <c r="K35" s="1216">
        <f>VLOOKUP($A35,'[12]4_Level 4'!$A$7:$D$137,4,FALSE)</f>
        <v>2684</v>
      </c>
      <c r="L35" s="626">
        <f t="shared" si="2"/>
        <v>646844</v>
      </c>
      <c r="M35" s="627">
        <f>IFERROR(VLOOKUP($A35,[13]Allocation!$A$6:$P$93,13,FALSE),0)</f>
        <v>0</v>
      </c>
      <c r="N35" s="564">
        <f>VLOOKUP($A35,'[14]MFP by School System_MER'!$A$5:$M$208,13,FALSE)</f>
        <v>5986</v>
      </c>
      <c r="O35" s="639">
        <f t="shared" si="7"/>
        <v>353174</v>
      </c>
      <c r="P35" s="622">
        <v>0</v>
      </c>
      <c r="Q35" s="640">
        <f t="shared" si="8"/>
        <v>353174</v>
      </c>
      <c r="R35" s="641">
        <f t="shared" si="3"/>
        <v>1303018</v>
      </c>
      <c r="T35" s="564">
        <f>VLOOKUP($A35,'[15]9-12_MER'!$B$7:$I$194,8,FALSE)</f>
        <v>4039</v>
      </c>
    </row>
    <row r="36" spans="1:20" ht="15" customHeight="1" x14ac:dyDescent="0.2">
      <c r="A36" s="566">
        <v>30</v>
      </c>
      <c r="B36" s="567">
        <v>30</v>
      </c>
      <c r="C36" s="568" t="s">
        <v>34</v>
      </c>
      <c r="D36" s="569">
        <f>VLOOKUP($A36,[10]Template!$A$3:$G$138,7,FALSE)</f>
        <v>0</v>
      </c>
      <c r="E36" s="619">
        <f t="shared" si="1"/>
        <v>0</v>
      </c>
      <c r="F36" s="571">
        <f>VLOOKUP(A36,[11]Stipends!$A$3:$D$131,4,FALSE)</f>
        <v>0</v>
      </c>
      <c r="G36" s="623">
        <f t="shared" si="4"/>
        <v>0</v>
      </c>
      <c r="H36" s="569"/>
      <c r="I36" s="623">
        <f t="shared" si="5"/>
        <v>0</v>
      </c>
      <c r="J36" s="623">
        <f t="shared" si="6"/>
        <v>0</v>
      </c>
      <c r="K36" s="1217">
        <f>VLOOKUP($A36,'[12]4_Level 4'!$A$7:$D$137,4,FALSE)</f>
        <v>202</v>
      </c>
      <c r="L36" s="628">
        <f t="shared" si="2"/>
        <v>48682</v>
      </c>
      <c r="M36" s="629">
        <f>IFERROR(VLOOKUP($A36,[13]Allocation!$A$6:$P$93,13,FALSE),0)</f>
        <v>0</v>
      </c>
      <c r="N36" s="569">
        <f>VLOOKUP($A36,'[14]MFP by School System_MER'!$A$5:$M$208,13,FALSE)</f>
        <v>1118</v>
      </c>
      <c r="O36" s="642">
        <f t="shared" si="7"/>
        <v>65962</v>
      </c>
      <c r="P36" s="623">
        <v>0</v>
      </c>
      <c r="Q36" s="643">
        <f t="shared" si="8"/>
        <v>65962</v>
      </c>
      <c r="R36" s="644">
        <f t="shared" si="3"/>
        <v>114644</v>
      </c>
      <c r="T36" s="569">
        <f>VLOOKUP($A36,'[15]9-12_MER'!$B$7:$I$194,8,FALSE)</f>
        <v>738</v>
      </c>
    </row>
    <row r="37" spans="1:20" ht="15" customHeight="1" x14ac:dyDescent="0.2">
      <c r="A37" s="559">
        <v>31</v>
      </c>
      <c r="B37" s="560">
        <v>31</v>
      </c>
      <c r="C37" s="561" t="s">
        <v>35</v>
      </c>
      <c r="D37" s="562">
        <f>VLOOKUP($A37,[10]Template!$A$3:$G$138,7,FALSE)</f>
        <v>2</v>
      </c>
      <c r="E37" s="617">
        <f t="shared" si="1"/>
        <v>42000</v>
      </c>
      <c r="F37" s="572">
        <f>VLOOKUP(A37,[11]Stipends!$A$3:$D$131,4,FALSE)</f>
        <v>3</v>
      </c>
      <c r="G37" s="621">
        <f t="shared" si="4"/>
        <v>18000</v>
      </c>
      <c r="H37" s="562"/>
      <c r="I37" s="621">
        <f t="shared" si="5"/>
        <v>0</v>
      </c>
      <c r="J37" s="621">
        <f t="shared" si="6"/>
        <v>18000</v>
      </c>
      <c r="K37" s="1215">
        <f>VLOOKUP($A37,'[12]4_Level 4'!$A$7:$D$137,4,FALSE)</f>
        <v>332</v>
      </c>
      <c r="L37" s="630">
        <f t="shared" si="2"/>
        <v>80012</v>
      </c>
      <c r="M37" s="631">
        <f>IFERROR(VLOOKUP($A37,[13]Allocation!$A$6:$P$93,13,FALSE),0)</f>
        <v>0</v>
      </c>
      <c r="N37" s="562">
        <f>VLOOKUP($A37,'[14]MFP by School System_MER'!$A$5:$M$208,13,FALSE)</f>
        <v>2588</v>
      </c>
      <c r="O37" s="636">
        <f t="shared" si="7"/>
        <v>152692</v>
      </c>
      <c r="P37" s="621">
        <v>0</v>
      </c>
      <c r="Q37" s="637">
        <f t="shared" si="8"/>
        <v>152692</v>
      </c>
      <c r="R37" s="638">
        <f t="shared" si="3"/>
        <v>292704</v>
      </c>
      <c r="T37" s="562">
        <f>VLOOKUP($A37,'[15]9-12_MER'!$B$7:$I$194,8,FALSE)</f>
        <v>1691</v>
      </c>
    </row>
    <row r="38" spans="1:20" ht="15" customHeight="1" x14ac:dyDescent="0.2">
      <c r="A38" s="565">
        <v>32</v>
      </c>
      <c r="B38" s="253">
        <v>32</v>
      </c>
      <c r="C38" s="563" t="s">
        <v>36</v>
      </c>
      <c r="D38" s="564">
        <f>VLOOKUP($A38,[10]Template!$A$3:$G$138,7,FALSE)</f>
        <v>0</v>
      </c>
      <c r="E38" s="618">
        <f t="shared" si="1"/>
        <v>0</v>
      </c>
      <c r="F38" s="570">
        <f>VLOOKUP(A38,[11]Stipends!$A$3:$D$131,4,FALSE)</f>
        <v>0</v>
      </c>
      <c r="G38" s="622">
        <f t="shared" si="4"/>
        <v>0</v>
      </c>
      <c r="H38" s="564"/>
      <c r="I38" s="622">
        <f t="shared" si="5"/>
        <v>0</v>
      </c>
      <c r="J38" s="622">
        <f t="shared" si="6"/>
        <v>0</v>
      </c>
      <c r="K38" s="1216">
        <f>VLOOKUP($A38,'[12]4_Level 4'!$A$7:$D$137,4,FALSE)</f>
        <v>4900</v>
      </c>
      <c r="L38" s="626">
        <f t="shared" si="2"/>
        <v>1180900</v>
      </c>
      <c r="M38" s="627">
        <f>IFERROR(VLOOKUP($A38,[13]Allocation!$A$6:$P$93,13,FALSE),0)</f>
        <v>148331</v>
      </c>
      <c r="N38" s="564">
        <f>VLOOKUP($A38,'[14]MFP by School System_MER'!$A$5:$M$208,13,FALSE)</f>
        <v>10897</v>
      </c>
      <c r="O38" s="639">
        <f t="shared" si="7"/>
        <v>642923</v>
      </c>
      <c r="P38" s="622">
        <v>0</v>
      </c>
      <c r="Q38" s="640">
        <f t="shared" si="8"/>
        <v>642923</v>
      </c>
      <c r="R38" s="641">
        <f t="shared" si="3"/>
        <v>1972154</v>
      </c>
      <c r="T38" s="564">
        <f>VLOOKUP($A38,'[15]9-12_MER'!$B$7:$I$194,8,FALSE)</f>
        <v>7188</v>
      </c>
    </row>
    <row r="39" spans="1:20" ht="15" customHeight="1" x14ac:dyDescent="0.2">
      <c r="A39" s="565">
        <v>33</v>
      </c>
      <c r="B39" s="253">
        <v>33</v>
      </c>
      <c r="C39" s="563" t="s">
        <v>37</v>
      </c>
      <c r="D39" s="564">
        <f>VLOOKUP($A39,[10]Template!$A$3:$G$138,7,FALSE)</f>
        <v>0</v>
      </c>
      <c r="E39" s="618">
        <f t="shared" si="1"/>
        <v>0</v>
      </c>
      <c r="F39" s="570">
        <f>VLOOKUP(A39,[11]Stipends!$A$3:$D$131,4,FALSE)</f>
        <v>0</v>
      </c>
      <c r="G39" s="622">
        <f t="shared" si="4"/>
        <v>0</v>
      </c>
      <c r="H39" s="564"/>
      <c r="I39" s="622">
        <f t="shared" si="5"/>
        <v>0</v>
      </c>
      <c r="J39" s="622">
        <f t="shared" si="6"/>
        <v>0</v>
      </c>
      <c r="K39" s="1216">
        <f>VLOOKUP($A39,'[12]4_Level 4'!$A$7:$D$137,4,FALSE)</f>
        <v>284</v>
      </c>
      <c r="L39" s="626">
        <f t="shared" si="2"/>
        <v>68444</v>
      </c>
      <c r="M39" s="627">
        <f>IFERROR(VLOOKUP($A39,[13]Allocation!$A$6:$P$93,13,FALSE),0)</f>
        <v>0</v>
      </c>
      <c r="N39" s="564">
        <f>VLOOKUP($A39,'[14]MFP by School System_MER'!$A$5:$M$208,13,FALSE)</f>
        <v>587</v>
      </c>
      <c r="O39" s="639">
        <f t="shared" si="7"/>
        <v>34633</v>
      </c>
      <c r="P39" s="622">
        <v>0</v>
      </c>
      <c r="Q39" s="640">
        <f t="shared" si="8"/>
        <v>34633</v>
      </c>
      <c r="R39" s="641">
        <f t="shared" ref="R39:R70" si="9">L39+J39+E39+M39+Q39</f>
        <v>103077</v>
      </c>
      <c r="T39" s="564">
        <f>VLOOKUP($A39,'[15]9-12_MER'!$B$7:$I$194,8,FALSE)</f>
        <v>391</v>
      </c>
    </row>
    <row r="40" spans="1:20" ht="15" customHeight="1" x14ac:dyDescent="0.2">
      <c r="A40" s="565">
        <v>34</v>
      </c>
      <c r="B40" s="253">
        <v>34</v>
      </c>
      <c r="C40" s="563" t="s">
        <v>38</v>
      </c>
      <c r="D40" s="564">
        <f>VLOOKUP($A40,[10]Template!$A$3:$G$138,7,FALSE)</f>
        <v>0</v>
      </c>
      <c r="E40" s="618">
        <f t="shared" si="1"/>
        <v>0</v>
      </c>
      <c r="F40" s="570">
        <f>VLOOKUP(A40,[11]Stipends!$A$3:$D$131,4,FALSE)</f>
        <v>0</v>
      </c>
      <c r="G40" s="622">
        <f t="shared" si="4"/>
        <v>0</v>
      </c>
      <c r="H40" s="564"/>
      <c r="I40" s="622">
        <f t="shared" si="5"/>
        <v>0</v>
      </c>
      <c r="J40" s="622">
        <f t="shared" si="6"/>
        <v>0</v>
      </c>
      <c r="K40" s="1216">
        <f>VLOOKUP($A40,'[12]4_Level 4'!$A$7:$D$137,4,FALSE)</f>
        <v>522</v>
      </c>
      <c r="L40" s="626">
        <f t="shared" si="2"/>
        <v>125802</v>
      </c>
      <c r="M40" s="627">
        <f>IFERROR(VLOOKUP($A40,[13]Allocation!$A$6:$P$93,13,FALSE),0)</f>
        <v>0</v>
      </c>
      <c r="N40" s="564">
        <f>VLOOKUP($A40,'[14]MFP by School System_MER'!$A$5:$M$208,13,FALSE)</f>
        <v>1612</v>
      </c>
      <c r="O40" s="639">
        <f t="shared" si="7"/>
        <v>95108</v>
      </c>
      <c r="P40" s="622">
        <v>0</v>
      </c>
      <c r="Q40" s="640">
        <f t="shared" si="8"/>
        <v>95108</v>
      </c>
      <c r="R40" s="641">
        <f t="shared" si="9"/>
        <v>220910</v>
      </c>
      <c r="T40" s="564">
        <f>VLOOKUP($A40,'[15]9-12_MER'!$B$7:$I$194,8,FALSE)</f>
        <v>1042</v>
      </c>
    </row>
    <row r="41" spans="1:20" ht="15" customHeight="1" x14ac:dyDescent="0.2">
      <c r="A41" s="566">
        <v>35</v>
      </c>
      <c r="B41" s="567">
        <v>35</v>
      </c>
      <c r="C41" s="568" t="s">
        <v>39</v>
      </c>
      <c r="D41" s="569">
        <f>VLOOKUP($A41,[10]Template!$A$3:$G$138,7,FALSE)</f>
        <v>0</v>
      </c>
      <c r="E41" s="619">
        <f t="shared" si="1"/>
        <v>0</v>
      </c>
      <c r="F41" s="571">
        <f>VLOOKUP(A41,[11]Stipends!$A$3:$D$131,4,FALSE)</f>
        <v>0</v>
      </c>
      <c r="G41" s="623">
        <f t="shared" si="4"/>
        <v>0</v>
      </c>
      <c r="H41" s="569"/>
      <c r="I41" s="623">
        <f t="shared" si="5"/>
        <v>0</v>
      </c>
      <c r="J41" s="623">
        <f t="shared" si="6"/>
        <v>0</v>
      </c>
      <c r="K41" s="1217">
        <f>VLOOKUP($A41,'[12]4_Level 4'!$A$7:$D$137,4,FALSE)</f>
        <v>632</v>
      </c>
      <c r="L41" s="628">
        <f t="shared" si="2"/>
        <v>152312</v>
      </c>
      <c r="M41" s="629">
        <f>IFERROR(VLOOKUP($A41,[13]Allocation!$A$6:$P$93,13,FALSE),0)</f>
        <v>0</v>
      </c>
      <c r="N41" s="569">
        <f>VLOOKUP($A41,'[14]MFP by School System_MER'!$A$5:$M$208,13,FALSE)</f>
        <v>2674</v>
      </c>
      <c r="O41" s="642">
        <f t="shared" si="7"/>
        <v>157766</v>
      </c>
      <c r="P41" s="623">
        <v>0</v>
      </c>
      <c r="Q41" s="643">
        <f t="shared" si="8"/>
        <v>157766</v>
      </c>
      <c r="R41" s="644">
        <f t="shared" si="9"/>
        <v>310078</v>
      </c>
      <c r="T41" s="569">
        <f>VLOOKUP($A41,'[15]9-12_MER'!$B$7:$I$194,8,FALSE)</f>
        <v>1729</v>
      </c>
    </row>
    <row r="42" spans="1:20" ht="15" customHeight="1" x14ac:dyDescent="0.2">
      <c r="A42" s="559">
        <v>36</v>
      </c>
      <c r="B42" s="560">
        <v>36</v>
      </c>
      <c r="C42" s="561" t="s">
        <v>40</v>
      </c>
      <c r="D42" s="562">
        <v>25</v>
      </c>
      <c r="E42" s="617">
        <f t="shared" si="1"/>
        <v>525000</v>
      </c>
      <c r="F42" s="572">
        <f>VLOOKUP(A42,[11]Stipends!$A$3:$D$131,4,FALSE)</f>
        <v>8</v>
      </c>
      <c r="G42" s="621">
        <f t="shared" si="4"/>
        <v>48000</v>
      </c>
      <c r="H42" s="562"/>
      <c r="I42" s="621">
        <f t="shared" si="5"/>
        <v>0</v>
      </c>
      <c r="J42" s="621">
        <f t="shared" si="6"/>
        <v>48000</v>
      </c>
      <c r="K42" s="1215">
        <v>5108</v>
      </c>
      <c r="L42" s="630">
        <v>1265122</v>
      </c>
      <c r="M42" s="631">
        <v>4570870</v>
      </c>
      <c r="N42" s="562">
        <v>19226</v>
      </c>
      <c r="O42" s="636">
        <f t="shared" si="7"/>
        <v>1134334</v>
      </c>
      <c r="P42" s="621">
        <v>0</v>
      </c>
      <c r="Q42" s="637">
        <f t="shared" si="8"/>
        <v>1134334</v>
      </c>
      <c r="R42" s="638">
        <f t="shared" si="9"/>
        <v>7543326</v>
      </c>
      <c r="T42" s="852" t="e">
        <f>#REF!</f>
        <v>#REF!</v>
      </c>
    </row>
    <row r="43" spans="1:20" ht="15" customHeight="1" x14ac:dyDescent="0.2">
      <c r="A43" s="565">
        <v>37</v>
      </c>
      <c r="B43" s="253">
        <v>37</v>
      </c>
      <c r="C43" s="563" t="s">
        <v>41</v>
      </c>
      <c r="D43" s="564">
        <f>VLOOKUP($A43,[10]Template!$A$3:$G$138,7,FALSE)</f>
        <v>0</v>
      </c>
      <c r="E43" s="618">
        <f t="shared" si="1"/>
        <v>0</v>
      </c>
      <c r="F43" s="570">
        <f>VLOOKUP(A43,[11]Stipends!$A$3:$D$131,4,FALSE)</f>
        <v>0</v>
      </c>
      <c r="G43" s="622">
        <f t="shared" si="4"/>
        <v>0</v>
      </c>
      <c r="H43" s="564"/>
      <c r="I43" s="622">
        <f t="shared" si="5"/>
        <v>0</v>
      </c>
      <c r="J43" s="622">
        <f t="shared" si="6"/>
        <v>0</v>
      </c>
      <c r="K43" s="1216">
        <f>VLOOKUP($A43,'[12]4_Level 4'!$A$7:$D$137,4,FALSE)</f>
        <v>1521</v>
      </c>
      <c r="L43" s="626">
        <f t="shared" ref="L43:L75" si="10">IF($T43&gt;0,IF(L$3*K43&lt;25000,25000,L$3*K43),0)</f>
        <v>366561</v>
      </c>
      <c r="M43" s="627">
        <f>IFERROR(VLOOKUP($A43,[13]Allocation!$A$6:$P$93,13,FALSE),0)</f>
        <v>25541</v>
      </c>
      <c r="N43" s="564">
        <f>VLOOKUP($A43,'[14]MFP by School System_MER'!$A$5:$M$208,13,FALSE)</f>
        <v>8326</v>
      </c>
      <c r="O43" s="639">
        <f t="shared" si="7"/>
        <v>491234</v>
      </c>
      <c r="P43" s="622">
        <v>0</v>
      </c>
      <c r="Q43" s="640">
        <f t="shared" si="8"/>
        <v>491234</v>
      </c>
      <c r="R43" s="641">
        <f t="shared" si="9"/>
        <v>883336</v>
      </c>
      <c r="T43" s="564">
        <f>VLOOKUP($A43,'[15]9-12_MER'!$B$7:$I$194,8,FALSE)</f>
        <v>5418</v>
      </c>
    </row>
    <row r="44" spans="1:20" ht="15" customHeight="1" x14ac:dyDescent="0.2">
      <c r="A44" s="565">
        <v>38</v>
      </c>
      <c r="B44" s="253">
        <v>38</v>
      </c>
      <c r="C44" s="563" t="s">
        <v>42</v>
      </c>
      <c r="D44" s="564">
        <f>VLOOKUP($A44,[10]Template!$A$3:$G$138,7,FALSE)</f>
        <v>0</v>
      </c>
      <c r="E44" s="618">
        <f t="shared" si="1"/>
        <v>0</v>
      </c>
      <c r="F44" s="570">
        <f>VLOOKUP(A44,[11]Stipends!$A$3:$D$131,4,FALSE)</f>
        <v>0</v>
      </c>
      <c r="G44" s="622">
        <f t="shared" si="4"/>
        <v>0</v>
      </c>
      <c r="H44" s="564"/>
      <c r="I44" s="622">
        <f t="shared" si="5"/>
        <v>0</v>
      </c>
      <c r="J44" s="622">
        <f t="shared" si="6"/>
        <v>0</v>
      </c>
      <c r="K44" s="1216">
        <f>VLOOKUP($A44,'[12]4_Level 4'!$A$7:$D$137,4,FALSE)</f>
        <v>281</v>
      </c>
      <c r="L44" s="626">
        <f t="shared" si="10"/>
        <v>67721</v>
      </c>
      <c r="M44" s="627">
        <f>IFERROR(VLOOKUP($A44,[13]Allocation!$A$6:$P$93,13,FALSE),0)</f>
        <v>83985</v>
      </c>
      <c r="N44" s="564">
        <f>VLOOKUP($A44,'[14]MFP by School System_MER'!$A$5:$M$208,13,FALSE)</f>
        <v>1868</v>
      </c>
      <c r="O44" s="639">
        <f t="shared" si="7"/>
        <v>110212</v>
      </c>
      <c r="P44" s="622">
        <v>0</v>
      </c>
      <c r="Q44" s="640">
        <f t="shared" si="8"/>
        <v>110212</v>
      </c>
      <c r="R44" s="641">
        <f t="shared" si="9"/>
        <v>261918</v>
      </c>
      <c r="T44" s="564">
        <f>VLOOKUP($A44,'[15]9-12_MER'!$B$7:$I$194,8,FALSE)</f>
        <v>1286</v>
      </c>
    </row>
    <row r="45" spans="1:20" ht="15" customHeight="1" x14ac:dyDescent="0.2">
      <c r="A45" s="565">
        <v>39</v>
      </c>
      <c r="B45" s="253">
        <v>39</v>
      </c>
      <c r="C45" s="563" t="s">
        <v>43</v>
      </c>
      <c r="D45" s="564">
        <f>VLOOKUP($A45,[10]Template!$A$3:$G$138,7,FALSE)</f>
        <v>3</v>
      </c>
      <c r="E45" s="618">
        <f t="shared" si="1"/>
        <v>63000</v>
      </c>
      <c r="F45" s="570">
        <f>VLOOKUP(A45,[11]Stipends!$A$3:$D$131,4,FALSE)</f>
        <v>2</v>
      </c>
      <c r="G45" s="622">
        <f t="shared" si="4"/>
        <v>12000</v>
      </c>
      <c r="H45" s="564"/>
      <c r="I45" s="622">
        <f t="shared" si="5"/>
        <v>0</v>
      </c>
      <c r="J45" s="622">
        <f t="shared" si="6"/>
        <v>12000</v>
      </c>
      <c r="K45" s="1216">
        <f>VLOOKUP($A45,'[12]4_Level 4'!$A$7:$D$137,4,FALSE)</f>
        <v>575</v>
      </c>
      <c r="L45" s="626">
        <f t="shared" si="10"/>
        <v>138575</v>
      </c>
      <c r="M45" s="627">
        <f>IFERROR(VLOOKUP($A45,[13]Allocation!$A$6:$P$93,13,FALSE),0)</f>
        <v>9402</v>
      </c>
      <c r="N45" s="564">
        <f>VLOOKUP($A45,'[14]MFP by School System_MER'!$A$5:$M$208,13,FALSE)</f>
        <v>1079</v>
      </c>
      <c r="O45" s="639">
        <f t="shared" si="7"/>
        <v>63661</v>
      </c>
      <c r="P45" s="622">
        <v>0</v>
      </c>
      <c r="Q45" s="640">
        <f t="shared" si="8"/>
        <v>63661</v>
      </c>
      <c r="R45" s="641">
        <f t="shared" si="9"/>
        <v>286638</v>
      </c>
      <c r="T45" s="564">
        <f>VLOOKUP($A45,'[15]9-12_MER'!$B$7:$I$194,8,FALSE)</f>
        <v>718</v>
      </c>
    </row>
    <row r="46" spans="1:20" ht="15" customHeight="1" x14ac:dyDescent="0.2">
      <c r="A46" s="566">
        <v>40</v>
      </c>
      <c r="B46" s="567">
        <v>40</v>
      </c>
      <c r="C46" s="568" t="s">
        <v>44</v>
      </c>
      <c r="D46" s="569">
        <f>VLOOKUP($A46,[10]Template!$A$3:$G$138,7,FALSE)</f>
        <v>0</v>
      </c>
      <c r="E46" s="619">
        <f t="shared" si="1"/>
        <v>0</v>
      </c>
      <c r="F46" s="571">
        <f>VLOOKUP(A46,[11]Stipends!$A$3:$D$131,4,FALSE)</f>
        <v>0</v>
      </c>
      <c r="G46" s="623">
        <f t="shared" si="4"/>
        <v>0</v>
      </c>
      <c r="H46" s="569"/>
      <c r="I46" s="623">
        <f t="shared" si="5"/>
        <v>0</v>
      </c>
      <c r="J46" s="623">
        <f t="shared" si="6"/>
        <v>0</v>
      </c>
      <c r="K46" s="1217">
        <f>VLOOKUP($A46,'[12]4_Level 4'!$A$7:$D$137,4,FALSE)</f>
        <v>2777</v>
      </c>
      <c r="L46" s="628">
        <f t="shared" si="10"/>
        <v>669257</v>
      </c>
      <c r="M46" s="629">
        <f>IFERROR(VLOOKUP($A46,[13]Allocation!$A$6:$P$93,13,FALSE),0)</f>
        <v>151639</v>
      </c>
      <c r="N46" s="569">
        <f>VLOOKUP($A46,'[14]MFP by School System_MER'!$A$5:$M$208,13,FALSE)</f>
        <v>9969</v>
      </c>
      <c r="O46" s="642">
        <f t="shared" si="7"/>
        <v>588171</v>
      </c>
      <c r="P46" s="623">
        <v>0</v>
      </c>
      <c r="Q46" s="643">
        <f t="shared" si="8"/>
        <v>588171</v>
      </c>
      <c r="R46" s="644">
        <f t="shared" si="9"/>
        <v>1409067</v>
      </c>
      <c r="T46" s="569">
        <f>VLOOKUP($A46,'[15]9-12_MER'!$B$7:$I$194,8,FALSE)</f>
        <v>6644</v>
      </c>
    </row>
    <row r="47" spans="1:20" ht="15" customHeight="1" x14ac:dyDescent="0.2">
      <c r="A47" s="559">
        <v>41</v>
      </c>
      <c r="B47" s="560">
        <v>41</v>
      </c>
      <c r="C47" s="561" t="s">
        <v>45</v>
      </c>
      <c r="D47" s="562">
        <f>VLOOKUP($A47,[10]Template!$A$3:$G$138,7,FALSE)</f>
        <v>0</v>
      </c>
      <c r="E47" s="617">
        <f t="shared" si="1"/>
        <v>0</v>
      </c>
      <c r="F47" s="572">
        <f>VLOOKUP(A47,[11]Stipends!$A$3:$D$131,4,FALSE)</f>
        <v>0</v>
      </c>
      <c r="G47" s="621">
        <f t="shared" si="4"/>
        <v>0</v>
      </c>
      <c r="H47" s="562"/>
      <c r="I47" s="621">
        <f t="shared" si="5"/>
        <v>0</v>
      </c>
      <c r="J47" s="621">
        <f t="shared" si="6"/>
        <v>0</v>
      </c>
      <c r="K47" s="1215">
        <f>VLOOKUP($A47,'[12]4_Level 4'!$A$7:$D$137,4,FALSE)</f>
        <v>180</v>
      </c>
      <c r="L47" s="630">
        <f t="shared" si="10"/>
        <v>43380</v>
      </c>
      <c r="M47" s="631">
        <f>IFERROR(VLOOKUP($A47,[13]Allocation!$A$6:$P$93,13,FALSE),0)</f>
        <v>0</v>
      </c>
      <c r="N47" s="562">
        <f>VLOOKUP($A47,'[14]MFP by School System_MER'!$A$5:$M$208,13,FALSE)</f>
        <v>638</v>
      </c>
      <c r="O47" s="636">
        <f t="shared" si="7"/>
        <v>37642</v>
      </c>
      <c r="P47" s="621">
        <v>0</v>
      </c>
      <c r="Q47" s="637">
        <f t="shared" si="8"/>
        <v>37642</v>
      </c>
      <c r="R47" s="638">
        <f t="shared" si="9"/>
        <v>81022</v>
      </c>
      <c r="T47" s="562">
        <f>VLOOKUP($A47,'[15]9-12_MER'!$B$7:$I$194,8,FALSE)</f>
        <v>409</v>
      </c>
    </row>
    <row r="48" spans="1:20" ht="15" customHeight="1" x14ac:dyDescent="0.2">
      <c r="A48" s="565">
        <v>42</v>
      </c>
      <c r="B48" s="253">
        <v>42</v>
      </c>
      <c r="C48" s="563" t="s">
        <v>46</v>
      </c>
      <c r="D48" s="564">
        <f>VLOOKUP($A48,[10]Template!$A$3:$G$138,7,FALSE)</f>
        <v>0</v>
      </c>
      <c r="E48" s="618">
        <f t="shared" si="1"/>
        <v>0</v>
      </c>
      <c r="F48" s="570">
        <f>VLOOKUP(A48,[11]Stipends!$A$3:$D$131,4,FALSE)</f>
        <v>0</v>
      </c>
      <c r="G48" s="622">
        <f t="shared" si="4"/>
        <v>0</v>
      </c>
      <c r="H48" s="564"/>
      <c r="I48" s="622">
        <f t="shared" si="5"/>
        <v>0</v>
      </c>
      <c r="J48" s="622">
        <f t="shared" si="6"/>
        <v>0</v>
      </c>
      <c r="K48" s="1216">
        <f>VLOOKUP($A48,'[12]4_Level 4'!$A$7:$D$137,4,FALSE)</f>
        <v>353</v>
      </c>
      <c r="L48" s="626">
        <f t="shared" si="10"/>
        <v>85073</v>
      </c>
      <c r="M48" s="627">
        <f>IFERROR(VLOOKUP($A48,[13]Allocation!$A$6:$P$93,13,FALSE),0)</f>
        <v>0</v>
      </c>
      <c r="N48" s="564">
        <f>VLOOKUP($A48,'[14]MFP by School System_MER'!$A$5:$M$208,13,FALSE)</f>
        <v>1201</v>
      </c>
      <c r="O48" s="639">
        <f t="shared" si="7"/>
        <v>70859</v>
      </c>
      <c r="P48" s="622">
        <v>0</v>
      </c>
      <c r="Q48" s="640">
        <f t="shared" si="8"/>
        <v>70859</v>
      </c>
      <c r="R48" s="641">
        <f t="shared" si="9"/>
        <v>155932</v>
      </c>
      <c r="T48" s="564">
        <f>VLOOKUP($A48,'[15]9-12_MER'!$B$7:$I$194,8,FALSE)</f>
        <v>788</v>
      </c>
    </row>
    <row r="49" spans="1:20" ht="15" customHeight="1" x14ac:dyDescent="0.2">
      <c r="A49" s="565">
        <v>43</v>
      </c>
      <c r="B49" s="253">
        <v>43</v>
      </c>
      <c r="C49" s="563" t="s">
        <v>47</v>
      </c>
      <c r="D49" s="564">
        <f>VLOOKUP($A49,[10]Template!$A$3:$G$138,7,FALSE)</f>
        <v>0</v>
      </c>
      <c r="E49" s="618">
        <f t="shared" si="1"/>
        <v>0</v>
      </c>
      <c r="F49" s="570">
        <f>VLOOKUP(A49,[11]Stipends!$A$3:$D$131,4,FALSE)</f>
        <v>0</v>
      </c>
      <c r="G49" s="622">
        <f t="shared" si="4"/>
        <v>0</v>
      </c>
      <c r="H49" s="564"/>
      <c r="I49" s="622">
        <f t="shared" si="5"/>
        <v>0</v>
      </c>
      <c r="J49" s="622">
        <f t="shared" si="6"/>
        <v>0</v>
      </c>
      <c r="K49" s="1216">
        <f>VLOOKUP($A49,'[12]4_Level 4'!$A$7:$D$137,4,FALSE)</f>
        <v>583</v>
      </c>
      <c r="L49" s="626">
        <f t="shared" si="10"/>
        <v>140503</v>
      </c>
      <c r="M49" s="627">
        <f>IFERROR(VLOOKUP($A49,[13]Allocation!$A$6:$P$93,13,FALSE),0)</f>
        <v>103655</v>
      </c>
      <c r="N49" s="564">
        <f>VLOOKUP($A49,'[14]MFP by School System_MER'!$A$5:$M$208,13,FALSE)</f>
        <v>1829</v>
      </c>
      <c r="O49" s="639">
        <f t="shared" si="7"/>
        <v>107911</v>
      </c>
      <c r="P49" s="622">
        <v>0</v>
      </c>
      <c r="Q49" s="640">
        <f t="shared" si="8"/>
        <v>107911</v>
      </c>
      <c r="R49" s="641">
        <f t="shared" si="9"/>
        <v>352069</v>
      </c>
      <c r="T49" s="564">
        <f>VLOOKUP($A49,'[15]9-12_MER'!$B$7:$I$194,8,FALSE)</f>
        <v>1181</v>
      </c>
    </row>
    <row r="50" spans="1:20" ht="15" customHeight="1" x14ac:dyDescent="0.2">
      <c r="A50" s="565">
        <v>44</v>
      </c>
      <c r="B50" s="253">
        <v>44</v>
      </c>
      <c r="C50" s="563" t="s">
        <v>48</v>
      </c>
      <c r="D50" s="564">
        <f>VLOOKUP($A50,[10]Template!$A$3:$G$138,7,FALSE)</f>
        <v>0</v>
      </c>
      <c r="E50" s="618">
        <f t="shared" si="1"/>
        <v>0</v>
      </c>
      <c r="F50" s="570">
        <f>VLOOKUP(A50,[11]Stipends!$A$3:$D$131,4,FALSE)</f>
        <v>0</v>
      </c>
      <c r="G50" s="622">
        <f t="shared" si="4"/>
        <v>0</v>
      </c>
      <c r="H50" s="564"/>
      <c r="I50" s="622">
        <f t="shared" si="5"/>
        <v>0</v>
      </c>
      <c r="J50" s="622">
        <f t="shared" si="6"/>
        <v>0</v>
      </c>
      <c r="K50" s="1216">
        <f>VLOOKUP($A50,'[12]4_Level 4'!$A$7:$D$137,4,FALSE)</f>
        <v>226</v>
      </c>
      <c r="L50" s="626">
        <f t="shared" si="10"/>
        <v>54466</v>
      </c>
      <c r="M50" s="627">
        <f>IFERROR(VLOOKUP($A50,[13]Allocation!$A$6:$P$93,13,FALSE),0)</f>
        <v>184000</v>
      </c>
      <c r="N50" s="564">
        <f>VLOOKUP($A50,'[14]MFP by School System_MER'!$A$5:$M$208,13,FALSE)</f>
        <v>3097</v>
      </c>
      <c r="O50" s="639">
        <f t="shared" si="7"/>
        <v>182723</v>
      </c>
      <c r="P50" s="622">
        <v>0</v>
      </c>
      <c r="Q50" s="640">
        <f t="shared" si="8"/>
        <v>182723</v>
      </c>
      <c r="R50" s="641">
        <f t="shared" si="9"/>
        <v>421189</v>
      </c>
      <c r="T50" s="564">
        <f>VLOOKUP($A50,'[15]9-12_MER'!$B$7:$I$194,8,FALSE)</f>
        <v>2089</v>
      </c>
    </row>
    <row r="51" spans="1:20" ht="15" customHeight="1" x14ac:dyDescent="0.2">
      <c r="A51" s="566">
        <v>45</v>
      </c>
      <c r="B51" s="567">
        <v>45</v>
      </c>
      <c r="C51" s="568" t="s">
        <v>49</v>
      </c>
      <c r="D51" s="569">
        <f>VLOOKUP($A51,[10]Template!$A$3:$G$138,7,FALSE)</f>
        <v>0</v>
      </c>
      <c r="E51" s="619">
        <f t="shared" si="1"/>
        <v>0</v>
      </c>
      <c r="F51" s="571">
        <f>VLOOKUP(A51,[11]Stipends!$A$3:$D$131,4,FALSE)</f>
        <v>0</v>
      </c>
      <c r="G51" s="623">
        <f t="shared" si="4"/>
        <v>0</v>
      </c>
      <c r="H51" s="569"/>
      <c r="I51" s="623">
        <f t="shared" si="5"/>
        <v>0</v>
      </c>
      <c r="J51" s="623">
        <f t="shared" si="6"/>
        <v>0</v>
      </c>
      <c r="K51" s="1217">
        <f>VLOOKUP($A51,'[12]4_Level 4'!$A$7:$D$137,4,FALSE)</f>
        <v>1047</v>
      </c>
      <c r="L51" s="628">
        <f t="shared" si="10"/>
        <v>252327</v>
      </c>
      <c r="M51" s="629">
        <f>IFERROR(VLOOKUP($A51,[13]Allocation!$A$6:$P$93,13,FALSE),0)</f>
        <v>73985</v>
      </c>
      <c r="N51" s="569">
        <f>VLOOKUP($A51,'[14]MFP by School System_MER'!$A$5:$M$208,13,FALSE)</f>
        <v>4175</v>
      </c>
      <c r="O51" s="642">
        <f t="shared" si="7"/>
        <v>246325</v>
      </c>
      <c r="P51" s="623">
        <v>0</v>
      </c>
      <c r="Q51" s="643">
        <f t="shared" si="8"/>
        <v>246325</v>
      </c>
      <c r="R51" s="644">
        <f t="shared" si="9"/>
        <v>572637</v>
      </c>
      <c r="T51" s="569">
        <f>VLOOKUP($A51,'[15]9-12_MER'!$B$7:$I$194,8,FALSE)</f>
        <v>2809</v>
      </c>
    </row>
    <row r="52" spans="1:20" ht="15" customHeight="1" x14ac:dyDescent="0.2">
      <c r="A52" s="559">
        <v>46</v>
      </c>
      <c r="B52" s="560">
        <v>46</v>
      </c>
      <c r="C52" s="561" t="s">
        <v>50</v>
      </c>
      <c r="D52" s="562">
        <f>VLOOKUP($A52,[10]Template!$A$3:$G$138,7,FALSE)</f>
        <v>0</v>
      </c>
      <c r="E52" s="617">
        <f t="shared" si="1"/>
        <v>0</v>
      </c>
      <c r="F52" s="572">
        <f>VLOOKUP(A52,[11]Stipends!$A$3:$D$131,4,FALSE)</f>
        <v>0</v>
      </c>
      <c r="G52" s="621">
        <f t="shared" si="4"/>
        <v>0</v>
      </c>
      <c r="H52" s="562"/>
      <c r="I52" s="621">
        <f t="shared" si="5"/>
        <v>0</v>
      </c>
      <c r="J52" s="621">
        <f t="shared" si="6"/>
        <v>0</v>
      </c>
      <c r="K52" s="1215">
        <f>VLOOKUP($A52,'[12]4_Level 4'!$A$7:$D$137,4,FALSE)</f>
        <v>102</v>
      </c>
      <c r="L52" s="630">
        <f t="shared" si="10"/>
        <v>25000</v>
      </c>
      <c r="M52" s="631">
        <f>IFERROR(VLOOKUP($A52,[13]Allocation!$A$6:$P$93,13,FALSE),0)</f>
        <v>0</v>
      </c>
      <c r="N52" s="562">
        <f>VLOOKUP($A52,'[14]MFP by School System_MER'!$A$5:$M$208,13,FALSE)</f>
        <v>508</v>
      </c>
      <c r="O52" s="636">
        <f t="shared" si="7"/>
        <v>29972</v>
      </c>
      <c r="P52" s="621">
        <v>0</v>
      </c>
      <c r="Q52" s="637">
        <f t="shared" si="8"/>
        <v>29972</v>
      </c>
      <c r="R52" s="638">
        <f t="shared" si="9"/>
        <v>54972</v>
      </c>
      <c r="T52" s="562">
        <f>VLOOKUP($A52,'[15]9-12_MER'!$B$7:$I$194,8,FALSE)</f>
        <v>340</v>
      </c>
    </row>
    <row r="53" spans="1:20" ht="15" customHeight="1" x14ac:dyDescent="0.2">
      <c r="A53" s="565">
        <v>47</v>
      </c>
      <c r="B53" s="253">
        <v>47</v>
      </c>
      <c r="C53" s="563" t="s">
        <v>51</v>
      </c>
      <c r="D53" s="564">
        <f>VLOOKUP($A53,[10]Template!$A$3:$G$138,7,FALSE)</f>
        <v>0</v>
      </c>
      <c r="E53" s="618">
        <f t="shared" si="1"/>
        <v>0</v>
      </c>
      <c r="F53" s="570">
        <f>VLOOKUP(A53,[11]Stipends!$A$3:$D$131,4,FALSE)</f>
        <v>0</v>
      </c>
      <c r="G53" s="622">
        <f t="shared" si="4"/>
        <v>0</v>
      </c>
      <c r="H53" s="564"/>
      <c r="I53" s="622">
        <f t="shared" si="5"/>
        <v>0</v>
      </c>
      <c r="J53" s="622">
        <f t="shared" si="6"/>
        <v>0</v>
      </c>
      <c r="K53" s="1216">
        <f>VLOOKUP($A53,'[12]4_Level 4'!$A$7:$D$137,4,FALSE)</f>
        <v>698</v>
      </c>
      <c r="L53" s="626">
        <f t="shared" si="10"/>
        <v>168218</v>
      </c>
      <c r="M53" s="627">
        <f>IFERROR(VLOOKUP($A53,[13]Allocation!$A$6:$P$93,13,FALSE),0)</f>
        <v>60973</v>
      </c>
      <c r="N53" s="564">
        <f>VLOOKUP($A53,'[14]MFP by School System_MER'!$A$5:$M$208,13,FALSE)</f>
        <v>1610</v>
      </c>
      <c r="O53" s="639">
        <f t="shared" si="7"/>
        <v>94990</v>
      </c>
      <c r="P53" s="622">
        <v>0</v>
      </c>
      <c r="Q53" s="640">
        <f t="shared" si="8"/>
        <v>94990</v>
      </c>
      <c r="R53" s="641">
        <f t="shared" si="9"/>
        <v>324181</v>
      </c>
      <c r="T53" s="564">
        <f>VLOOKUP($A53,'[15]9-12_MER'!$B$7:$I$194,8,FALSE)</f>
        <v>1088</v>
      </c>
    </row>
    <row r="54" spans="1:20" ht="15" customHeight="1" x14ac:dyDescent="0.2">
      <c r="A54" s="565">
        <v>48</v>
      </c>
      <c r="B54" s="253">
        <v>48</v>
      </c>
      <c r="C54" s="563" t="s">
        <v>73</v>
      </c>
      <c r="D54" s="564">
        <f>VLOOKUP($A54,[10]Template!$A$3:$G$138,7,FALSE)</f>
        <v>0</v>
      </c>
      <c r="E54" s="618">
        <f t="shared" si="1"/>
        <v>0</v>
      </c>
      <c r="F54" s="570">
        <f>VLOOKUP(A54,[11]Stipends!$A$3:$D$131,4,FALSE)</f>
        <v>0</v>
      </c>
      <c r="G54" s="622">
        <f t="shared" si="4"/>
        <v>0</v>
      </c>
      <c r="H54" s="564"/>
      <c r="I54" s="622">
        <f t="shared" si="5"/>
        <v>0</v>
      </c>
      <c r="J54" s="622">
        <f t="shared" si="6"/>
        <v>0</v>
      </c>
      <c r="K54" s="1216">
        <f>VLOOKUP($A54,'[12]4_Level 4'!$A$7:$D$137,4,FALSE)</f>
        <v>546</v>
      </c>
      <c r="L54" s="626">
        <f t="shared" si="10"/>
        <v>131586</v>
      </c>
      <c r="M54" s="627">
        <f>IFERROR(VLOOKUP($A54,[13]Allocation!$A$6:$P$93,13,FALSE),0)</f>
        <v>0</v>
      </c>
      <c r="N54" s="564">
        <f>VLOOKUP($A54,'[14]MFP by School System_MER'!$A$5:$M$208,13,FALSE)</f>
        <v>2495</v>
      </c>
      <c r="O54" s="639">
        <f t="shared" si="7"/>
        <v>147205</v>
      </c>
      <c r="P54" s="622">
        <v>0</v>
      </c>
      <c r="Q54" s="640">
        <f t="shared" si="8"/>
        <v>147205</v>
      </c>
      <c r="R54" s="641">
        <f t="shared" si="9"/>
        <v>278791</v>
      </c>
      <c r="T54" s="564">
        <f>VLOOKUP($A54,'[15]9-12_MER'!$B$7:$I$194,8,FALSE)</f>
        <v>1654</v>
      </c>
    </row>
    <row r="55" spans="1:20" ht="15" customHeight="1" x14ac:dyDescent="0.2">
      <c r="A55" s="565">
        <v>49</v>
      </c>
      <c r="B55" s="253">
        <v>49</v>
      </c>
      <c r="C55" s="563" t="s">
        <v>52</v>
      </c>
      <c r="D55" s="564">
        <f>VLOOKUP($A55,[10]Template!$A$3:$G$138,7,FALSE)</f>
        <v>0</v>
      </c>
      <c r="E55" s="618">
        <f t="shared" si="1"/>
        <v>0</v>
      </c>
      <c r="F55" s="570">
        <f>VLOOKUP(A55,[11]Stipends!$A$3:$D$131,4,FALSE)</f>
        <v>0</v>
      </c>
      <c r="G55" s="622">
        <f t="shared" si="4"/>
        <v>0</v>
      </c>
      <c r="H55" s="564"/>
      <c r="I55" s="622">
        <f t="shared" si="5"/>
        <v>0</v>
      </c>
      <c r="J55" s="622">
        <f t="shared" si="6"/>
        <v>0</v>
      </c>
      <c r="K55" s="1216">
        <f>VLOOKUP($A55,'[12]4_Level 4'!$A$7:$D$137,4,FALSE)</f>
        <v>2935</v>
      </c>
      <c r="L55" s="626">
        <f t="shared" si="10"/>
        <v>707335</v>
      </c>
      <c r="M55" s="627">
        <f>IFERROR(VLOOKUP($A55,[13]Allocation!$A$6:$P$93,13,FALSE),0)</f>
        <v>67035</v>
      </c>
      <c r="N55" s="564">
        <f>VLOOKUP($A55,'[14]MFP by School System_MER'!$A$5:$M$208,13,FALSE)</f>
        <v>5420</v>
      </c>
      <c r="O55" s="639">
        <f t="shared" si="7"/>
        <v>319780</v>
      </c>
      <c r="P55" s="622">
        <v>0</v>
      </c>
      <c r="Q55" s="640">
        <f t="shared" si="8"/>
        <v>319780</v>
      </c>
      <c r="R55" s="641">
        <f t="shared" si="9"/>
        <v>1094150</v>
      </c>
      <c r="T55" s="564">
        <f>VLOOKUP($A55,'[15]9-12_MER'!$B$7:$I$194,8,FALSE)</f>
        <v>3551</v>
      </c>
    </row>
    <row r="56" spans="1:20" ht="15" customHeight="1" x14ac:dyDescent="0.2">
      <c r="A56" s="566">
        <v>50</v>
      </c>
      <c r="B56" s="567">
        <v>50</v>
      </c>
      <c r="C56" s="568" t="s">
        <v>53</v>
      </c>
      <c r="D56" s="569">
        <f>VLOOKUP($A56,[10]Template!$A$3:$G$138,7,FALSE)</f>
        <v>9</v>
      </c>
      <c r="E56" s="619">
        <f t="shared" si="1"/>
        <v>189000</v>
      </c>
      <c r="F56" s="571">
        <f>VLOOKUP(A56,[11]Stipends!$A$3:$D$131,4,FALSE)</f>
        <v>1</v>
      </c>
      <c r="G56" s="623">
        <f t="shared" si="4"/>
        <v>6000</v>
      </c>
      <c r="H56" s="569"/>
      <c r="I56" s="623">
        <f t="shared" si="5"/>
        <v>0</v>
      </c>
      <c r="J56" s="623">
        <f t="shared" si="6"/>
        <v>6000</v>
      </c>
      <c r="K56" s="1217">
        <f>VLOOKUP($A56,'[12]4_Level 4'!$A$7:$D$137,4,FALSE)</f>
        <v>827</v>
      </c>
      <c r="L56" s="628">
        <f t="shared" si="10"/>
        <v>199307</v>
      </c>
      <c r="M56" s="629">
        <f>IFERROR(VLOOKUP($A56,[13]Allocation!$A$6:$P$93,13,FALSE),0)</f>
        <v>0</v>
      </c>
      <c r="N56" s="569">
        <f>VLOOKUP($A56,'[14]MFP by School System_MER'!$A$5:$M$208,13,FALSE)</f>
        <v>3232</v>
      </c>
      <c r="O56" s="642">
        <f t="shared" si="7"/>
        <v>190688</v>
      </c>
      <c r="P56" s="623">
        <v>0</v>
      </c>
      <c r="Q56" s="643">
        <f t="shared" si="8"/>
        <v>190688</v>
      </c>
      <c r="R56" s="644">
        <f t="shared" si="9"/>
        <v>584995</v>
      </c>
      <c r="T56" s="569">
        <f>VLOOKUP($A56,'[15]9-12_MER'!$B$7:$I$194,8,FALSE)</f>
        <v>2106</v>
      </c>
    </row>
    <row r="57" spans="1:20" ht="15" customHeight="1" x14ac:dyDescent="0.2">
      <c r="A57" s="559">
        <v>51</v>
      </c>
      <c r="B57" s="560">
        <v>51</v>
      </c>
      <c r="C57" s="561" t="s">
        <v>54</v>
      </c>
      <c r="D57" s="562">
        <f>VLOOKUP($A57,[10]Template!$A$3:$G$138,7,FALSE)</f>
        <v>0</v>
      </c>
      <c r="E57" s="617">
        <f t="shared" si="1"/>
        <v>0</v>
      </c>
      <c r="F57" s="572">
        <f>VLOOKUP(A57,[11]Stipends!$A$3:$D$131,4,FALSE)</f>
        <v>0</v>
      </c>
      <c r="G57" s="621">
        <f t="shared" si="4"/>
        <v>0</v>
      </c>
      <c r="H57" s="562"/>
      <c r="I57" s="621">
        <f t="shared" si="5"/>
        <v>0</v>
      </c>
      <c r="J57" s="621">
        <f t="shared" si="6"/>
        <v>0</v>
      </c>
      <c r="K57" s="1215">
        <f>VLOOKUP($A57,'[12]4_Level 4'!$A$7:$D$137,4,FALSE)</f>
        <v>1139</v>
      </c>
      <c r="L57" s="630">
        <f t="shared" si="10"/>
        <v>274499</v>
      </c>
      <c r="M57" s="631">
        <f>IFERROR(VLOOKUP($A57,[13]Allocation!$A$6:$P$93,13,FALSE),0)</f>
        <v>12888</v>
      </c>
      <c r="N57" s="562">
        <f>VLOOKUP($A57,'[14]MFP by School System_MER'!$A$5:$M$208,13,FALSE)</f>
        <v>3781</v>
      </c>
      <c r="O57" s="636">
        <f t="shared" si="7"/>
        <v>223079</v>
      </c>
      <c r="P57" s="621">
        <v>0</v>
      </c>
      <c r="Q57" s="637">
        <f t="shared" si="8"/>
        <v>223079</v>
      </c>
      <c r="R57" s="638">
        <f t="shared" si="9"/>
        <v>510466</v>
      </c>
      <c r="T57" s="562">
        <f>VLOOKUP($A57,'[15]9-12_MER'!$B$7:$I$194,8,FALSE)</f>
        <v>2525</v>
      </c>
    </row>
    <row r="58" spans="1:20" ht="15" customHeight="1" x14ac:dyDescent="0.2">
      <c r="A58" s="565">
        <v>52</v>
      </c>
      <c r="B58" s="253">
        <v>52</v>
      </c>
      <c r="C58" s="563" t="s">
        <v>55</v>
      </c>
      <c r="D58" s="564">
        <f>VLOOKUP($A58,[10]Template!$A$3:$G$138,7,FALSE)</f>
        <v>0</v>
      </c>
      <c r="E58" s="618">
        <f t="shared" si="1"/>
        <v>0</v>
      </c>
      <c r="F58" s="570">
        <f>VLOOKUP(A58,[11]Stipends!$A$3:$D$131,4,FALSE)</f>
        <v>0</v>
      </c>
      <c r="G58" s="622">
        <f t="shared" si="4"/>
        <v>0</v>
      </c>
      <c r="H58" s="564"/>
      <c r="I58" s="622">
        <f t="shared" si="5"/>
        <v>0</v>
      </c>
      <c r="J58" s="622">
        <f t="shared" si="6"/>
        <v>0</v>
      </c>
      <c r="K58" s="1216">
        <f>VLOOKUP($A58,'[12]4_Level 4'!$A$7:$D$137,4,FALSE)</f>
        <v>2791</v>
      </c>
      <c r="L58" s="626">
        <f t="shared" si="10"/>
        <v>672631</v>
      </c>
      <c r="M58" s="627">
        <f>IFERROR(VLOOKUP($A58,[13]Allocation!$A$6:$P$93,13,FALSE),0)</f>
        <v>1426270</v>
      </c>
      <c r="N58" s="564">
        <f>VLOOKUP($A58,'[14]MFP by School System_MER'!$A$5:$M$208,13,FALSE)</f>
        <v>16751</v>
      </c>
      <c r="O58" s="639">
        <f t="shared" si="7"/>
        <v>988309</v>
      </c>
      <c r="P58" s="622">
        <v>0</v>
      </c>
      <c r="Q58" s="640">
        <f t="shared" si="8"/>
        <v>988309</v>
      </c>
      <c r="R58" s="641">
        <f t="shared" si="9"/>
        <v>3087210</v>
      </c>
      <c r="T58" s="564">
        <f>VLOOKUP($A58,'[15]9-12_MER'!$B$7:$I$194,8,FALSE)</f>
        <v>11113</v>
      </c>
    </row>
    <row r="59" spans="1:20" ht="15" customHeight="1" x14ac:dyDescent="0.2">
      <c r="A59" s="565">
        <v>53</v>
      </c>
      <c r="B59" s="253">
        <v>53</v>
      </c>
      <c r="C59" s="563" t="s">
        <v>56</v>
      </c>
      <c r="D59" s="564">
        <f>VLOOKUP($A59,[10]Template!$A$3:$G$138,7,FALSE)</f>
        <v>0</v>
      </c>
      <c r="E59" s="618">
        <f t="shared" si="1"/>
        <v>0</v>
      </c>
      <c r="F59" s="564">
        <f>VLOOKUP(A59,[11]Stipends!$A$3:$D$131,4,FALSE)</f>
        <v>0</v>
      </c>
      <c r="G59" s="622">
        <f t="shared" si="4"/>
        <v>0</v>
      </c>
      <c r="H59" s="564"/>
      <c r="I59" s="622">
        <f t="shared" si="5"/>
        <v>0</v>
      </c>
      <c r="J59" s="622">
        <f t="shared" si="6"/>
        <v>0</v>
      </c>
      <c r="K59" s="1216">
        <f>VLOOKUP($A59,'[12]4_Level 4'!$A$7:$D$137,4,FALSE)</f>
        <v>1653</v>
      </c>
      <c r="L59" s="626">
        <f t="shared" si="10"/>
        <v>398373</v>
      </c>
      <c r="M59" s="627">
        <f>IFERROR(VLOOKUP($A59,[13]Allocation!$A$6:$P$93,13,FALSE),0)</f>
        <v>0</v>
      </c>
      <c r="N59" s="564">
        <f>VLOOKUP($A59,'[14]MFP by School System_MER'!$A$5:$M$208,13,FALSE)</f>
        <v>8766</v>
      </c>
      <c r="O59" s="639">
        <f t="shared" si="7"/>
        <v>517194</v>
      </c>
      <c r="P59" s="622">
        <v>0</v>
      </c>
      <c r="Q59" s="640">
        <f t="shared" si="8"/>
        <v>517194</v>
      </c>
      <c r="R59" s="641">
        <f t="shared" si="9"/>
        <v>915567</v>
      </c>
      <c r="T59" s="564">
        <f>VLOOKUP($A59,'[15]9-12_MER'!$B$7:$I$194,8,FALSE)</f>
        <v>5560</v>
      </c>
    </row>
    <row r="60" spans="1:20" ht="15" customHeight="1" x14ac:dyDescent="0.2">
      <c r="A60" s="565">
        <v>54</v>
      </c>
      <c r="B60" s="253">
        <v>54</v>
      </c>
      <c r="C60" s="563" t="s">
        <v>57</v>
      </c>
      <c r="D60" s="564">
        <f>VLOOKUP($A60,[10]Template!$A$3:$G$138,7,FALSE)</f>
        <v>0</v>
      </c>
      <c r="E60" s="618">
        <f t="shared" si="1"/>
        <v>0</v>
      </c>
      <c r="F60" s="564">
        <f>VLOOKUP(A60,[11]Stipends!$A$3:$D$131,4,FALSE)</f>
        <v>0</v>
      </c>
      <c r="G60" s="622">
        <f t="shared" si="4"/>
        <v>0</v>
      </c>
      <c r="H60" s="564"/>
      <c r="I60" s="622">
        <f t="shared" si="5"/>
        <v>0</v>
      </c>
      <c r="J60" s="622">
        <f t="shared" si="6"/>
        <v>0</v>
      </c>
      <c r="K60" s="1216">
        <f>VLOOKUP($A60,'[12]4_Level 4'!$A$7:$D$137,4,FALSE)</f>
        <v>34</v>
      </c>
      <c r="L60" s="626">
        <f t="shared" si="10"/>
        <v>25000</v>
      </c>
      <c r="M60" s="627">
        <f>IFERROR(VLOOKUP($A60,[13]Allocation!$A$6:$P$93,13,FALSE),0)</f>
        <v>0</v>
      </c>
      <c r="N60" s="564">
        <f>VLOOKUP($A60,'[14]MFP by School System_MER'!$A$5:$M$208,13,FALSE)</f>
        <v>212</v>
      </c>
      <c r="O60" s="639">
        <f t="shared" si="7"/>
        <v>12508</v>
      </c>
      <c r="P60" s="622">
        <v>0</v>
      </c>
      <c r="Q60" s="640">
        <f t="shared" si="8"/>
        <v>12508</v>
      </c>
      <c r="R60" s="641">
        <f t="shared" si="9"/>
        <v>37508</v>
      </c>
      <c r="T60" s="564">
        <f>VLOOKUP($A60,'[15]9-12_MER'!$B$7:$I$194,8,FALSE)</f>
        <v>134</v>
      </c>
    </row>
    <row r="61" spans="1:20" ht="15" customHeight="1" x14ac:dyDescent="0.2">
      <c r="A61" s="566">
        <v>55</v>
      </c>
      <c r="B61" s="567">
        <v>55</v>
      </c>
      <c r="C61" s="568" t="s">
        <v>58</v>
      </c>
      <c r="D61" s="569">
        <f>VLOOKUP($A61,[10]Template!$A$3:$G$138,7,FALSE)</f>
        <v>0</v>
      </c>
      <c r="E61" s="619">
        <f t="shared" si="1"/>
        <v>0</v>
      </c>
      <c r="F61" s="569">
        <f>VLOOKUP(A61,[11]Stipends!$A$3:$D$131,4,FALSE)</f>
        <v>0</v>
      </c>
      <c r="G61" s="623">
        <f t="shared" si="4"/>
        <v>0</v>
      </c>
      <c r="H61" s="569"/>
      <c r="I61" s="623">
        <f t="shared" si="5"/>
        <v>0</v>
      </c>
      <c r="J61" s="623">
        <f t="shared" si="6"/>
        <v>0</v>
      </c>
      <c r="K61" s="1217">
        <f>VLOOKUP($A61,'[12]4_Level 4'!$A$7:$D$137,4,FALSE)</f>
        <v>1230</v>
      </c>
      <c r="L61" s="628">
        <f t="shared" si="10"/>
        <v>296430</v>
      </c>
      <c r="M61" s="629">
        <f>IFERROR(VLOOKUP($A61,[13]Allocation!$A$6:$P$93,13,FALSE),0)</f>
        <v>623382</v>
      </c>
      <c r="N61" s="569">
        <f>VLOOKUP($A61,'[14]MFP by School System_MER'!$A$5:$M$208,13,FALSE)</f>
        <v>7165</v>
      </c>
      <c r="O61" s="642">
        <f t="shared" si="7"/>
        <v>422735</v>
      </c>
      <c r="P61" s="623">
        <v>0</v>
      </c>
      <c r="Q61" s="643">
        <f t="shared" si="8"/>
        <v>422735</v>
      </c>
      <c r="R61" s="644">
        <f t="shared" si="9"/>
        <v>1342547</v>
      </c>
      <c r="T61" s="569">
        <f>VLOOKUP($A61,'[15]9-12_MER'!$B$7:$I$194,8,FALSE)</f>
        <v>4677</v>
      </c>
    </row>
    <row r="62" spans="1:20" ht="15" customHeight="1" x14ac:dyDescent="0.2">
      <c r="A62" s="559">
        <v>56</v>
      </c>
      <c r="B62" s="560">
        <v>56</v>
      </c>
      <c r="C62" s="561" t="s">
        <v>59</v>
      </c>
      <c r="D62" s="562">
        <f>VLOOKUP($A62,[10]Template!$A$3:$G$138,7,FALSE)</f>
        <v>0</v>
      </c>
      <c r="E62" s="617">
        <f t="shared" si="1"/>
        <v>0</v>
      </c>
      <c r="F62" s="562">
        <f>VLOOKUP(A62,[11]Stipends!$A$3:$D$131,4,FALSE)</f>
        <v>0</v>
      </c>
      <c r="G62" s="621">
        <f t="shared" si="4"/>
        <v>0</v>
      </c>
      <c r="H62" s="562"/>
      <c r="I62" s="621">
        <f t="shared" si="5"/>
        <v>0</v>
      </c>
      <c r="J62" s="621">
        <f t="shared" si="6"/>
        <v>0</v>
      </c>
      <c r="K62" s="1215">
        <f>VLOOKUP($A62,'[12]4_Level 4'!$A$7:$D$137,4,FALSE)</f>
        <v>315</v>
      </c>
      <c r="L62" s="630">
        <f t="shared" si="10"/>
        <v>75915</v>
      </c>
      <c r="M62" s="631">
        <f>IFERROR(VLOOKUP($A62,[13]Allocation!$A$6:$P$93,13,FALSE),0)</f>
        <v>0</v>
      </c>
      <c r="N62" s="562">
        <f>VLOOKUP($A62,'[14]MFP by School System_MER'!$A$5:$M$208,13,FALSE)</f>
        <v>897</v>
      </c>
      <c r="O62" s="636">
        <f t="shared" si="7"/>
        <v>52923</v>
      </c>
      <c r="P62" s="621">
        <v>0</v>
      </c>
      <c r="Q62" s="637">
        <f t="shared" si="8"/>
        <v>52923</v>
      </c>
      <c r="R62" s="638">
        <f t="shared" si="9"/>
        <v>128838</v>
      </c>
      <c r="T62" s="562">
        <f>VLOOKUP($A62,'[15]9-12_MER'!$B$7:$I$194,8,FALSE)</f>
        <v>605</v>
      </c>
    </row>
    <row r="63" spans="1:20" ht="15" customHeight="1" x14ac:dyDescent="0.2">
      <c r="A63" s="565">
        <v>57</v>
      </c>
      <c r="B63" s="253">
        <v>57</v>
      </c>
      <c r="C63" s="563" t="s">
        <v>60</v>
      </c>
      <c r="D63" s="564">
        <f>VLOOKUP($A63,[10]Template!$A$3:$G$138,7,FALSE)</f>
        <v>0</v>
      </c>
      <c r="E63" s="618">
        <f t="shared" si="1"/>
        <v>0</v>
      </c>
      <c r="F63" s="564">
        <f>VLOOKUP(A63,[11]Stipends!$A$3:$D$131,4,FALSE)</f>
        <v>1</v>
      </c>
      <c r="G63" s="622">
        <f t="shared" si="4"/>
        <v>6000</v>
      </c>
      <c r="H63" s="564"/>
      <c r="I63" s="622">
        <f t="shared" si="5"/>
        <v>0</v>
      </c>
      <c r="J63" s="622">
        <f t="shared" si="6"/>
        <v>6000</v>
      </c>
      <c r="K63" s="1216">
        <f>VLOOKUP($A63,'[12]4_Level 4'!$A$7:$D$137,4,FALSE)</f>
        <v>830</v>
      </c>
      <c r="L63" s="626">
        <f t="shared" si="10"/>
        <v>200030</v>
      </c>
      <c r="M63" s="627">
        <f>IFERROR(VLOOKUP($A63,[13]Allocation!$A$6:$P$93,13,FALSE),0)</f>
        <v>226616</v>
      </c>
      <c r="N63" s="564">
        <f>VLOOKUP($A63,'[14]MFP by School System_MER'!$A$5:$M$208,13,FALSE)</f>
        <v>3902</v>
      </c>
      <c r="O63" s="639">
        <f t="shared" si="7"/>
        <v>230218</v>
      </c>
      <c r="P63" s="622">
        <v>0</v>
      </c>
      <c r="Q63" s="640">
        <f t="shared" si="8"/>
        <v>230218</v>
      </c>
      <c r="R63" s="641">
        <f t="shared" si="9"/>
        <v>662864</v>
      </c>
      <c r="T63" s="564">
        <f>VLOOKUP($A63,'[15]9-12_MER'!$B$7:$I$194,8,FALSE)</f>
        <v>2556</v>
      </c>
    </row>
    <row r="64" spans="1:20" ht="15" customHeight="1" x14ac:dyDescent="0.2">
      <c r="A64" s="565">
        <v>58</v>
      </c>
      <c r="B64" s="253">
        <v>58</v>
      </c>
      <c r="C64" s="563" t="s">
        <v>61</v>
      </c>
      <c r="D64" s="564">
        <f>VLOOKUP($A64,[10]Template!$A$3:$G$138,7,FALSE)</f>
        <v>0</v>
      </c>
      <c r="E64" s="618">
        <f t="shared" si="1"/>
        <v>0</v>
      </c>
      <c r="F64" s="564">
        <f>VLOOKUP(A64,[11]Stipends!$A$3:$D$131,4,FALSE)</f>
        <v>0</v>
      </c>
      <c r="G64" s="622">
        <f t="shared" si="4"/>
        <v>0</v>
      </c>
      <c r="H64" s="564"/>
      <c r="I64" s="622">
        <f t="shared" si="5"/>
        <v>0</v>
      </c>
      <c r="J64" s="622">
        <f t="shared" si="6"/>
        <v>0</v>
      </c>
      <c r="K64" s="1216">
        <f>VLOOKUP($A64,'[12]4_Level 4'!$A$7:$D$137,4,FALSE)</f>
        <v>530.5</v>
      </c>
      <c r="L64" s="626">
        <f t="shared" si="10"/>
        <v>127850.5</v>
      </c>
      <c r="M64" s="627">
        <f>IFERROR(VLOOKUP($A64,[13]Allocation!$A$6:$P$93,13,FALSE),0)</f>
        <v>37354</v>
      </c>
      <c r="N64" s="564">
        <f>VLOOKUP($A64,'[14]MFP by School System_MER'!$A$5:$M$208,13,FALSE)</f>
        <v>3208</v>
      </c>
      <c r="O64" s="639">
        <f t="shared" si="7"/>
        <v>189272</v>
      </c>
      <c r="P64" s="622">
        <v>0</v>
      </c>
      <c r="Q64" s="640">
        <f t="shared" si="8"/>
        <v>189272</v>
      </c>
      <c r="R64" s="641">
        <f t="shared" si="9"/>
        <v>354476.5</v>
      </c>
      <c r="T64" s="564">
        <f>VLOOKUP($A64,'[15]9-12_MER'!$B$7:$I$194,8,FALSE)</f>
        <v>2034</v>
      </c>
    </row>
    <row r="65" spans="1:20" ht="15" customHeight="1" x14ac:dyDescent="0.2">
      <c r="A65" s="565">
        <v>59</v>
      </c>
      <c r="B65" s="253">
        <v>59</v>
      </c>
      <c r="C65" s="563" t="s">
        <v>62</v>
      </c>
      <c r="D65" s="564">
        <f>VLOOKUP($A65,[10]Template!$A$3:$G$138,7,FALSE)</f>
        <v>0</v>
      </c>
      <c r="E65" s="618">
        <f t="shared" si="1"/>
        <v>0</v>
      </c>
      <c r="F65" s="564">
        <f>VLOOKUP(A65,[11]Stipends!$A$3:$D$131,4,FALSE)</f>
        <v>0</v>
      </c>
      <c r="G65" s="622">
        <f t="shared" si="4"/>
        <v>0</v>
      </c>
      <c r="H65" s="564"/>
      <c r="I65" s="622">
        <f t="shared" si="5"/>
        <v>0</v>
      </c>
      <c r="J65" s="622">
        <f t="shared" si="6"/>
        <v>0</v>
      </c>
      <c r="K65" s="1216">
        <f>VLOOKUP($A65,'[12]4_Level 4'!$A$7:$D$137,4,FALSE)</f>
        <v>952</v>
      </c>
      <c r="L65" s="626">
        <f t="shared" si="10"/>
        <v>229432</v>
      </c>
      <c r="M65" s="627">
        <f>IFERROR(VLOOKUP($A65,[13]Allocation!$A$6:$P$93,13,FALSE),0)</f>
        <v>0</v>
      </c>
      <c r="N65" s="564">
        <f>VLOOKUP($A65,'[14]MFP by School System_MER'!$A$5:$M$208,13,FALSE)</f>
        <v>2384</v>
      </c>
      <c r="O65" s="639">
        <f t="shared" si="7"/>
        <v>140656</v>
      </c>
      <c r="P65" s="622">
        <v>0</v>
      </c>
      <c r="Q65" s="640">
        <f t="shared" si="8"/>
        <v>140656</v>
      </c>
      <c r="R65" s="641">
        <f t="shared" si="9"/>
        <v>370088</v>
      </c>
      <c r="T65" s="564">
        <f>VLOOKUP($A65,'[15]9-12_MER'!$B$7:$I$194,8,FALSE)</f>
        <v>1568</v>
      </c>
    </row>
    <row r="66" spans="1:20" ht="15" customHeight="1" x14ac:dyDescent="0.2">
      <c r="A66" s="566">
        <v>60</v>
      </c>
      <c r="B66" s="567">
        <v>60</v>
      </c>
      <c r="C66" s="568" t="s">
        <v>63</v>
      </c>
      <c r="D66" s="569">
        <f>VLOOKUP($A66,[10]Template!$A$3:$G$138,7,FALSE)</f>
        <v>0</v>
      </c>
      <c r="E66" s="619">
        <f t="shared" si="1"/>
        <v>0</v>
      </c>
      <c r="F66" s="569">
        <f>VLOOKUP(A66,[11]Stipends!$A$3:$D$131,4,FALSE)</f>
        <v>0</v>
      </c>
      <c r="G66" s="623">
        <f t="shared" si="4"/>
        <v>0</v>
      </c>
      <c r="H66" s="569"/>
      <c r="I66" s="623">
        <f t="shared" si="5"/>
        <v>0</v>
      </c>
      <c r="J66" s="623">
        <f t="shared" si="6"/>
        <v>0</v>
      </c>
      <c r="K66" s="1217">
        <f>VLOOKUP($A66,'[12]4_Level 4'!$A$7:$D$137,4,FALSE)</f>
        <v>687</v>
      </c>
      <c r="L66" s="628">
        <f t="shared" si="10"/>
        <v>165567</v>
      </c>
      <c r="M66" s="629">
        <f>IFERROR(VLOOKUP($A66,[13]Allocation!$A$6:$P$93,13,FALSE),0)</f>
        <v>0</v>
      </c>
      <c r="N66" s="569">
        <f>VLOOKUP($A66,'[14]MFP by School System_MER'!$A$5:$M$208,13,FALSE)</f>
        <v>2637</v>
      </c>
      <c r="O66" s="642">
        <f t="shared" si="7"/>
        <v>155583</v>
      </c>
      <c r="P66" s="623">
        <v>0</v>
      </c>
      <c r="Q66" s="643">
        <f t="shared" si="8"/>
        <v>155583</v>
      </c>
      <c r="R66" s="644">
        <f t="shared" si="9"/>
        <v>321150</v>
      </c>
      <c r="T66" s="569">
        <f>VLOOKUP($A66,'[15]9-12_MER'!$B$7:$I$194,8,FALSE)</f>
        <v>1732</v>
      </c>
    </row>
    <row r="67" spans="1:20" ht="15" customHeight="1" x14ac:dyDescent="0.2">
      <c r="A67" s="559">
        <v>61</v>
      </c>
      <c r="B67" s="560">
        <v>61</v>
      </c>
      <c r="C67" s="561" t="s">
        <v>64</v>
      </c>
      <c r="D67" s="562">
        <f>VLOOKUP($A67,[10]Template!$A$3:$G$138,7,FALSE)</f>
        <v>0</v>
      </c>
      <c r="E67" s="617">
        <f t="shared" si="1"/>
        <v>0</v>
      </c>
      <c r="F67" s="562">
        <f>VLOOKUP(A67,[11]Stipends!$A$3:$D$131,4,FALSE)</f>
        <v>0</v>
      </c>
      <c r="G67" s="621">
        <f t="shared" si="4"/>
        <v>0</v>
      </c>
      <c r="H67" s="562"/>
      <c r="I67" s="621">
        <f t="shared" si="5"/>
        <v>0</v>
      </c>
      <c r="J67" s="621">
        <f t="shared" si="6"/>
        <v>0</v>
      </c>
      <c r="K67" s="1215">
        <f>VLOOKUP($A67,'[12]4_Level 4'!$A$7:$D$137,4,FALSE)</f>
        <v>567</v>
      </c>
      <c r="L67" s="630">
        <f t="shared" si="10"/>
        <v>136647</v>
      </c>
      <c r="M67" s="631">
        <f>IFERROR(VLOOKUP($A67,[13]Allocation!$A$6:$P$93,13,FALSE),0)</f>
        <v>41860</v>
      </c>
      <c r="N67" s="562">
        <f>VLOOKUP($A67,'[14]MFP by School System_MER'!$A$5:$M$208,13,FALSE)</f>
        <v>1519</v>
      </c>
      <c r="O67" s="636">
        <f t="shared" si="7"/>
        <v>89621</v>
      </c>
      <c r="P67" s="621">
        <v>0</v>
      </c>
      <c r="Q67" s="637">
        <f t="shared" si="8"/>
        <v>89621</v>
      </c>
      <c r="R67" s="638">
        <f t="shared" si="9"/>
        <v>268128</v>
      </c>
      <c r="T67" s="562">
        <f>VLOOKUP($A67,'[15]9-12_MER'!$B$7:$I$194,8,FALSE)</f>
        <v>1013</v>
      </c>
    </row>
    <row r="68" spans="1:20" ht="15" customHeight="1" x14ac:dyDescent="0.2">
      <c r="A68" s="565">
        <v>62</v>
      </c>
      <c r="B68" s="253">
        <v>62</v>
      </c>
      <c r="C68" s="563" t="s">
        <v>65</v>
      </c>
      <c r="D68" s="564">
        <f>VLOOKUP($A68,[10]Template!$A$3:$G$138,7,FALSE)</f>
        <v>0</v>
      </c>
      <c r="E68" s="618">
        <f t="shared" si="1"/>
        <v>0</v>
      </c>
      <c r="F68" s="564">
        <f>VLOOKUP(A68,[11]Stipends!$A$3:$D$131,4,FALSE)</f>
        <v>0</v>
      </c>
      <c r="G68" s="622">
        <f t="shared" si="4"/>
        <v>0</v>
      </c>
      <c r="H68" s="564"/>
      <c r="I68" s="622">
        <f t="shared" si="5"/>
        <v>0</v>
      </c>
      <c r="J68" s="622">
        <f t="shared" si="6"/>
        <v>0</v>
      </c>
      <c r="K68" s="1216">
        <f>VLOOKUP($A68,'[12]4_Level 4'!$A$7:$D$137,4,FALSE)</f>
        <v>216</v>
      </c>
      <c r="L68" s="626">
        <f t="shared" si="10"/>
        <v>52056</v>
      </c>
      <c r="M68" s="627">
        <f>IFERROR(VLOOKUP($A68,[13]Allocation!$A$6:$P$93,13,FALSE),0)</f>
        <v>0</v>
      </c>
      <c r="N68" s="564">
        <f>VLOOKUP($A68,'[14]MFP by School System_MER'!$A$5:$M$208,13,FALSE)</f>
        <v>880</v>
      </c>
      <c r="O68" s="639">
        <f t="shared" si="7"/>
        <v>51920</v>
      </c>
      <c r="P68" s="622">
        <v>0</v>
      </c>
      <c r="Q68" s="640">
        <f t="shared" si="8"/>
        <v>51920</v>
      </c>
      <c r="R68" s="641">
        <f t="shared" si="9"/>
        <v>103976</v>
      </c>
      <c r="T68" s="564">
        <f>VLOOKUP($A68,'[15]9-12_MER'!$B$7:$I$194,8,FALSE)</f>
        <v>552</v>
      </c>
    </row>
    <row r="69" spans="1:20" ht="15" customHeight="1" x14ac:dyDescent="0.2">
      <c r="A69" s="565">
        <v>63</v>
      </c>
      <c r="B69" s="253">
        <v>63</v>
      </c>
      <c r="C69" s="563" t="s">
        <v>66</v>
      </c>
      <c r="D69" s="564">
        <f>VLOOKUP($A69,[10]Template!$A$3:$G$138,7,FALSE)</f>
        <v>0</v>
      </c>
      <c r="E69" s="618">
        <f t="shared" si="1"/>
        <v>0</v>
      </c>
      <c r="F69" s="564">
        <f>VLOOKUP(A69,[11]Stipends!$A$3:$D$131,4,FALSE)</f>
        <v>0</v>
      </c>
      <c r="G69" s="622">
        <f t="shared" si="4"/>
        <v>0</v>
      </c>
      <c r="H69" s="564"/>
      <c r="I69" s="622">
        <f t="shared" si="5"/>
        <v>0</v>
      </c>
      <c r="J69" s="622">
        <f t="shared" si="6"/>
        <v>0</v>
      </c>
      <c r="K69" s="1216">
        <f>VLOOKUP($A69,'[12]4_Level 4'!$A$7:$D$137,4,FALSE)</f>
        <v>404</v>
      </c>
      <c r="L69" s="626">
        <f t="shared" si="10"/>
        <v>97364</v>
      </c>
      <c r="M69" s="627">
        <f>IFERROR(VLOOKUP($A69,[13]Allocation!$A$6:$P$93,13,FALSE),0)</f>
        <v>0</v>
      </c>
      <c r="N69" s="564">
        <f>VLOOKUP($A69,'[14]MFP by School System_MER'!$A$5:$M$208,13,FALSE)</f>
        <v>949</v>
      </c>
      <c r="O69" s="639">
        <f t="shared" si="7"/>
        <v>55991</v>
      </c>
      <c r="P69" s="622">
        <v>0</v>
      </c>
      <c r="Q69" s="640">
        <f t="shared" si="8"/>
        <v>55991</v>
      </c>
      <c r="R69" s="641">
        <f t="shared" si="9"/>
        <v>153355</v>
      </c>
      <c r="T69" s="564">
        <f>VLOOKUP($A69,'[15]9-12_MER'!$B$7:$I$194,8,FALSE)</f>
        <v>650</v>
      </c>
    </row>
    <row r="70" spans="1:20" ht="15" customHeight="1" x14ac:dyDescent="0.2">
      <c r="A70" s="565">
        <v>64</v>
      </c>
      <c r="B70" s="253">
        <v>64</v>
      </c>
      <c r="C70" s="563" t="s">
        <v>67</v>
      </c>
      <c r="D70" s="564">
        <f>VLOOKUP($A70,[10]Template!$A$3:$G$138,7,FALSE)</f>
        <v>0</v>
      </c>
      <c r="E70" s="618">
        <f t="shared" si="1"/>
        <v>0</v>
      </c>
      <c r="F70" s="564">
        <f>VLOOKUP(A70,[11]Stipends!$A$3:$D$131,4,FALSE)</f>
        <v>0</v>
      </c>
      <c r="G70" s="622">
        <f t="shared" si="4"/>
        <v>0</v>
      </c>
      <c r="H70" s="564"/>
      <c r="I70" s="622">
        <f t="shared" si="5"/>
        <v>0</v>
      </c>
      <c r="J70" s="622">
        <f t="shared" si="6"/>
        <v>0</v>
      </c>
      <c r="K70" s="1216">
        <f>VLOOKUP($A70,'[12]4_Level 4'!$A$7:$D$137,4,FALSE)</f>
        <v>785</v>
      </c>
      <c r="L70" s="626">
        <f t="shared" si="10"/>
        <v>189185</v>
      </c>
      <c r="M70" s="627">
        <f>IFERROR(VLOOKUP($A70,[13]Allocation!$A$6:$P$93,13,FALSE),0)</f>
        <v>0</v>
      </c>
      <c r="N70" s="564">
        <f>VLOOKUP($A70,'[14]MFP by School System_MER'!$A$5:$M$208,13,FALSE)</f>
        <v>964</v>
      </c>
      <c r="O70" s="639">
        <f t="shared" si="7"/>
        <v>56876</v>
      </c>
      <c r="P70" s="622">
        <v>0</v>
      </c>
      <c r="Q70" s="640">
        <f t="shared" si="8"/>
        <v>56876</v>
      </c>
      <c r="R70" s="641">
        <f t="shared" si="9"/>
        <v>246061</v>
      </c>
      <c r="T70" s="564">
        <f>VLOOKUP($A70,'[15]9-12_MER'!$B$7:$I$194,8,FALSE)</f>
        <v>628</v>
      </c>
    </row>
    <row r="71" spans="1:20" ht="15" customHeight="1" x14ac:dyDescent="0.2">
      <c r="A71" s="566">
        <v>65</v>
      </c>
      <c r="B71" s="567">
        <v>65</v>
      </c>
      <c r="C71" s="568" t="s">
        <v>68</v>
      </c>
      <c r="D71" s="569">
        <f>VLOOKUP($A71,[10]Template!$A$3:$G$138,7,FALSE)</f>
        <v>0</v>
      </c>
      <c r="E71" s="619">
        <f>ROUND($E$3*D71,0)</f>
        <v>0</v>
      </c>
      <c r="F71" s="569">
        <f>VLOOKUP(A71,[11]Stipends!$A$3:$D$131,4,FALSE)</f>
        <v>0</v>
      </c>
      <c r="G71" s="623">
        <f t="shared" si="4"/>
        <v>0</v>
      </c>
      <c r="H71" s="569"/>
      <c r="I71" s="623">
        <f t="shared" si="5"/>
        <v>0</v>
      </c>
      <c r="J71" s="623">
        <f t="shared" si="6"/>
        <v>0</v>
      </c>
      <c r="K71" s="1217">
        <f>VLOOKUP($A71,'[12]4_Level 4'!$A$7:$D$137,4,FALSE)</f>
        <v>714</v>
      </c>
      <c r="L71" s="628">
        <f t="shared" si="10"/>
        <v>172074</v>
      </c>
      <c r="M71" s="629">
        <f>IFERROR(VLOOKUP($A71,[13]Allocation!$A$6:$P$93,13,FALSE),0)</f>
        <v>42841</v>
      </c>
      <c r="N71" s="569">
        <f>VLOOKUP($A71,'[14]MFP by School System_MER'!$A$5:$M$208,13,FALSE)</f>
        <v>3210</v>
      </c>
      <c r="O71" s="642">
        <f t="shared" si="7"/>
        <v>189390</v>
      </c>
      <c r="P71" s="623">
        <v>0</v>
      </c>
      <c r="Q71" s="643">
        <f t="shared" si="8"/>
        <v>189390</v>
      </c>
      <c r="R71" s="644">
        <f>L71+J71+E71+M71+Q71</f>
        <v>404305</v>
      </c>
      <c r="T71" s="569">
        <f>VLOOKUP($A71,'[15]9-12_MER'!$B$7:$I$194,8,FALSE)</f>
        <v>2203</v>
      </c>
    </row>
    <row r="72" spans="1:20" ht="15" customHeight="1" x14ac:dyDescent="0.2">
      <c r="A72" s="559">
        <v>66</v>
      </c>
      <c r="B72" s="560">
        <v>66</v>
      </c>
      <c r="C72" s="561" t="s">
        <v>69</v>
      </c>
      <c r="D72" s="562">
        <f>VLOOKUP($A72,[10]Template!$A$3:$G$138,7,FALSE)</f>
        <v>0</v>
      </c>
      <c r="E72" s="573">
        <f>ROUND($E$3*D72,0)</f>
        <v>0</v>
      </c>
      <c r="F72" s="562">
        <f>VLOOKUP(A72,[11]Stipends!$A$3:$D$131,4,FALSE)</f>
        <v>0</v>
      </c>
      <c r="G72" s="621">
        <f>ROUND($G$3*F72,0)</f>
        <v>0</v>
      </c>
      <c r="H72" s="562"/>
      <c r="I72" s="621">
        <f>ROUND($I$3*H72,0)</f>
        <v>0</v>
      </c>
      <c r="J72" s="621">
        <f>G72+I72</f>
        <v>0</v>
      </c>
      <c r="K72" s="1215">
        <f>VLOOKUP($A72,'[12]4_Level 4'!$A$7:$D$137,4,FALSE)</f>
        <v>163</v>
      </c>
      <c r="L72" s="630">
        <f t="shared" si="10"/>
        <v>39283</v>
      </c>
      <c r="M72" s="631">
        <f>IFERROR(VLOOKUP($A72,[13]Allocation!$A$6:$P$93,13,FALSE),0)</f>
        <v>0</v>
      </c>
      <c r="N72" s="562">
        <f>VLOOKUP($A72,'[14]MFP by School System_MER'!$A$5:$M$208,13,FALSE)</f>
        <v>730</v>
      </c>
      <c r="O72" s="636">
        <f>N72*$O$3</f>
        <v>43070</v>
      </c>
      <c r="P72" s="621">
        <v>0</v>
      </c>
      <c r="Q72" s="637">
        <f>O72+P72</f>
        <v>43070</v>
      </c>
      <c r="R72" s="638">
        <f>L72+J72+E72+M72+Q72</f>
        <v>82353</v>
      </c>
      <c r="T72" s="562">
        <f>VLOOKUP($A72,'[15]9-12_MER'!$B$7:$I$194,8,FALSE)</f>
        <v>456</v>
      </c>
    </row>
    <row r="73" spans="1:20" ht="15" customHeight="1" x14ac:dyDescent="0.2">
      <c r="A73" s="43">
        <v>67</v>
      </c>
      <c r="B73" s="43">
        <v>67</v>
      </c>
      <c r="C73" s="106" t="s">
        <v>2</v>
      </c>
      <c r="D73" s="44">
        <f>VLOOKUP($A73,[10]Template!$A$3:$G$138,7,FALSE)</f>
        <v>0</v>
      </c>
      <c r="E73" s="102">
        <f>ROUND($E$3*D73,0)</f>
        <v>0</v>
      </c>
      <c r="F73" s="44">
        <f>VLOOKUP(A73,[11]Stipends!$A$3:$D$131,4,FALSE)</f>
        <v>0</v>
      </c>
      <c r="G73" s="624">
        <f>ROUND($G$3*F73,0)</f>
        <v>0</v>
      </c>
      <c r="H73" s="44"/>
      <c r="I73" s="624">
        <f>ROUND($I$3*H73,0)</f>
        <v>0</v>
      </c>
      <c r="J73" s="624">
        <f>G73+I73</f>
        <v>0</v>
      </c>
      <c r="K73" s="1218">
        <f>VLOOKUP($A73,'[12]4_Level 4'!$A$7:$D$137,4,FALSE)</f>
        <v>170</v>
      </c>
      <c r="L73" s="632">
        <f t="shared" si="10"/>
        <v>40970</v>
      </c>
      <c r="M73" s="633">
        <f>IFERROR(VLOOKUP($A73,[13]Allocation!$A$6:$P$93,13,FALSE),0)</f>
        <v>0</v>
      </c>
      <c r="N73" s="44">
        <f>VLOOKUP($A73,'[14]MFP by School System_MER'!$A$5:$M$208,13,FALSE)</f>
        <v>2390</v>
      </c>
      <c r="O73" s="645">
        <f>N73*$O$3</f>
        <v>141010</v>
      </c>
      <c r="P73" s="624">
        <v>0</v>
      </c>
      <c r="Q73" s="646">
        <f>O73+P73</f>
        <v>141010</v>
      </c>
      <c r="R73" s="647">
        <f>L73+J73+E73+M73+Q73</f>
        <v>181980</v>
      </c>
      <c r="T73" s="44">
        <f>VLOOKUP($A73,'[15]9-12_MER'!$B$7:$I$194,8,FALSE)</f>
        <v>1581</v>
      </c>
    </row>
    <row r="74" spans="1:20" ht="15" customHeight="1" x14ac:dyDescent="0.2">
      <c r="A74" s="574">
        <v>68</v>
      </c>
      <c r="B74" s="254">
        <v>68</v>
      </c>
      <c r="C74" s="563" t="s">
        <v>1</v>
      </c>
      <c r="D74" s="564">
        <f>VLOOKUP($A74,[10]Template!$A$3:$G$138,7,FALSE)</f>
        <v>0</v>
      </c>
      <c r="E74" s="575">
        <f>ROUND($E$3*D74,0)</f>
        <v>0</v>
      </c>
      <c r="F74" s="564">
        <f>VLOOKUP(A74,[11]Stipends!$A$3:$D$131,4,FALSE)</f>
        <v>0</v>
      </c>
      <c r="G74" s="622">
        <f>ROUND($G$3*F74,0)</f>
        <v>0</v>
      </c>
      <c r="H74" s="564"/>
      <c r="I74" s="622">
        <f>ROUND($I$3*H74,0)</f>
        <v>0</v>
      </c>
      <c r="J74" s="622">
        <f>G74+I74</f>
        <v>0</v>
      </c>
      <c r="K74" s="1216">
        <f>VLOOKUP($A74,'[12]4_Level 4'!$A$7:$D$137,4,FALSE)</f>
        <v>72</v>
      </c>
      <c r="L74" s="626">
        <f t="shared" si="10"/>
        <v>25000</v>
      </c>
      <c r="M74" s="627">
        <f>IFERROR(VLOOKUP($A74,[13]Allocation!$A$6:$P$93,13,FALSE),0)</f>
        <v>0</v>
      </c>
      <c r="N74" s="564">
        <f>VLOOKUP($A74,'[14]MFP by School System_MER'!$A$5:$M$208,13,FALSE)</f>
        <v>716</v>
      </c>
      <c r="O74" s="639">
        <f>N74*$O$3</f>
        <v>42244</v>
      </c>
      <c r="P74" s="622">
        <v>0</v>
      </c>
      <c r="Q74" s="640">
        <f>O74+P74</f>
        <v>42244</v>
      </c>
      <c r="R74" s="641">
        <f>L74+J74+E74+M74+Q74</f>
        <v>67244</v>
      </c>
      <c r="T74" s="564">
        <f>VLOOKUP($A74,'[15]9-12_MER'!$B$7:$I$194,8,FALSE)</f>
        <v>470</v>
      </c>
    </row>
    <row r="75" spans="1:20" ht="15" customHeight="1" x14ac:dyDescent="0.2">
      <c r="A75" s="576">
        <v>69</v>
      </c>
      <c r="B75" s="577">
        <v>69</v>
      </c>
      <c r="C75" s="568" t="s">
        <v>74</v>
      </c>
      <c r="D75" s="569">
        <f>VLOOKUP($A75,[10]Template!$A$3:$G$138,7,FALSE)</f>
        <v>0</v>
      </c>
      <c r="E75" s="578">
        <f>ROUND($E$3*D75,0)</f>
        <v>0</v>
      </c>
      <c r="F75" s="569">
        <f>VLOOKUP(A75,[11]Stipends!$A$3:$D$131,4,FALSE)</f>
        <v>0</v>
      </c>
      <c r="G75" s="623">
        <f>ROUND($G$3*F75,0)</f>
        <v>0</v>
      </c>
      <c r="H75" s="569"/>
      <c r="I75" s="623">
        <f>ROUND($I$3*H75,0)</f>
        <v>0</v>
      </c>
      <c r="J75" s="623">
        <f>G75+I75</f>
        <v>0</v>
      </c>
      <c r="K75" s="1217">
        <f>VLOOKUP($A75,'[12]4_Level 4'!$A$7:$D$137,4,FALSE)</f>
        <v>850</v>
      </c>
      <c r="L75" s="628">
        <f t="shared" si="10"/>
        <v>204850</v>
      </c>
      <c r="M75" s="629">
        <f>IFERROR(VLOOKUP($A75,[13]Allocation!$A$6:$P$93,13,FALSE),0)</f>
        <v>0</v>
      </c>
      <c r="N75" s="569">
        <f>VLOOKUP($A75,'[14]MFP by School System_MER'!$A$5:$M$208,13,FALSE)</f>
        <v>2100</v>
      </c>
      <c r="O75" s="642">
        <f>N75*$O$3</f>
        <v>123900</v>
      </c>
      <c r="P75" s="623">
        <v>0</v>
      </c>
      <c r="Q75" s="643">
        <f>O75+P75</f>
        <v>123900</v>
      </c>
      <c r="R75" s="644">
        <f>L75+J75+E75+M75+Q75</f>
        <v>328750</v>
      </c>
      <c r="T75" s="569">
        <f>VLOOKUP($A75,'[15]9-12_MER'!$B$7:$I$194,8,FALSE)</f>
        <v>1418</v>
      </c>
    </row>
    <row r="76" spans="1:20" s="103" customFormat="1" ht="15" customHeight="1" thickBot="1" x14ac:dyDescent="0.25">
      <c r="A76" s="579"/>
      <c r="B76" s="580"/>
      <c r="C76" s="581" t="s">
        <v>250</v>
      </c>
      <c r="D76" s="582">
        <f t="shared" ref="D76:R76" si="11">SUM(D7:D75)</f>
        <v>210</v>
      </c>
      <c r="E76" s="620">
        <f t="shared" si="11"/>
        <v>4410000</v>
      </c>
      <c r="F76" s="582">
        <f t="shared" si="11"/>
        <v>73</v>
      </c>
      <c r="G76" s="625">
        <f t="shared" si="11"/>
        <v>438000</v>
      </c>
      <c r="H76" s="582">
        <f t="shared" si="11"/>
        <v>0</v>
      </c>
      <c r="I76" s="625">
        <f t="shared" si="11"/>
        <v>0</v>
      </c>
      <c r="J76" s="625">
        <f t="shared" si="11"/>
        <v>438000</v>
      </c>
      <c r="K76" s="1219">
        <f t="shared" si="11"/>
        <v>70999.5</v>
      </c>
      <c r="L76" s="634">
        <f>SUM(L7:L75)</f>
        <v>17194171.5</v>
      </c>
      <c r="M76" s="635">
        <f t="shared" si="11"/>
        <v>11559348</v>
      </c>
      <c r="N76" s="582">
        <f t="shared" si="11"/>
        <v>288313</v>
      </c>
      <c r="O76" s="648">
        <f t="shared" si="11"/>
        <v>17010467</v>
      </c>
      <c r="P76" s="625">
        <f t="shared" si="11"/>
        <v>0</v>
      </c>
      <c r="Q76" s="649">
        <f t="shared" si="11"/>
        <v>17010467</v>
      </c>
      <c r="R76" s="650">
        <f t="shared" si="11"/>
        <v>50611986.5</v>
      </c>
      <c r="S76"/>
      <c r="T76" s="582" t="e">
        <f>SUM(T7:T75)</f>
        <v>#REF!</v>
      </c>
    </row>
    <row r="77" spans="1:20" s="19" customFormat="1" ht="6.75" customHeight="1" thickTop="1" x14ac:dyDescent="0.2">
      <c r="A77" s="710"/>
      <c r="B77" s="711"/>
      <c r="C77" s="722"/>
      <c r="D77" s="713"/>
      <c r="E77" s="717"/>
      <c r="F77" s="713"/>
      <c r="G77" s="714"/>
      <c r="H77" s="723"/>
      <c r="I77" s="714"/>
      <c r="J77" s="714"/>
      <c r="K77" s="1220"/>
      <c r="L77" s="717"/>
      <c r="M77" s="717"/>
      <c r="N77" s="713"/>
      <c r="O77" s="717"/>
      <c r="P77" s="714"/>
      <c r="Q77" s="718"/>
      <c r="R77" s="717"/>
      <c r="S77"/>
      <c r="T77" s="713"/>
    </row>
    <row r="78" spans="1:20" s="19" customFormat="1" ht="15" customHeight="1" x14ac:dyDescent="0.2">
      <c r="A78" s="559">
        <v>318001</v>
      </c>
      <c r="B78" s="560">
        <v>318001</v>
      </c>
      <c r="C78" s="561" t="s">
        <v>246</v>
      </c>
      <c r="D78" s="562">
        <f>VLOOKUP($A78,[10]Template!$A$3:$G$138,7,FALSE)</f>
        <v>0</v>
      </c>
      <c r="E78" s="617">
        <f t="shared" ref="E78:E83" si="12">ROUND($E$3*D78,0)</f>
        <v>0</v>
      </c>
      <c r="F78" s="562">
        <f>VLOOKUP(A78,[11]Stipends!$A$3:$D$131,4,FALSE)</f>
        <v>0</v>
      </c>
      <c r="G78" s="621">
        <f t="shared" ref="G78:G83" si="13">ROUND($G$3*F78,0)</f>
        <v>0</v>
      </c>
      <c r="H78" s="562"/>
      <c r="I78" s="621">
        <f t="shared" ref="I78:I83" si="14">ROUND($I$3*H78,0)</f>
        <v>0</v>
      </c>
      <c r="J78" s="621">
        <f t="shared" ref="J78:J83" si="15">G78+I78</f>
        <v>0</v>
      </c>
      <c r="K78" s="1215">
        <f>VLOOKUP($A78,'[12]4_Level 4'!$A$7:$D$137,4,FALSE)</f>
        <v>22</v>
      </c>
      <c r="L78" s="630">
        <f t="shared" ref="L78:L83" si="16">IF(AND(L$3*K78&lt;10000,$T78&gt;0),10000,L$3*K78)</f>
        <v>10000</v>
      </c>
      <c r="M78" s="631">
        <f>IFERROR(VLOOKUP($A78,[13]Allocation!$A$6:$P$93,13,FALSE),0)</f>
        <v>0</v>
      </c>
      <c r="N78" s="562">
        <f>VLOOKUP($A78,'[14]MFP by School System_MER'!$A$5:$M$208,13,FALSE)</f>
        <v>696</v>
      </c>
      <c r="O78" s="636">
        <f t="shared" ref="O78:O83" si="17">N78*$O$3</f>
        <v>41064</v>
      </c>
      <c r="P78" s="621">
        <v>0</v>
      </c>
      <c r="Q78" s="637">
        <f t="shared" ref="Q78:Q83" si="18">O78+P78</f>
        <v>41064</v>
      </c>
      <c r="R78" s="638">
        <f t="shared" ref="R78:R83" si="19">L78+J78+E78+M78+Q78</f>
        <v>51064</v>
      </c>
      <c r="S78"/>
      <c r="T78" s="562">
        <f>VLOOKUP($A78,'[15]9-12_MER'!$B$7:$I$194,8,FALSE)</f>
        <v>449</v>
      </c>
    </row>
    <row r="79" spans="1:20" s="19" customFormat="1" ht="15" customHeight="1" x14ac:dyDescent="0.2">
      <c r="A79" s="565">
        <v>319001</v>
      </c>
      <c r="B79" s="253">
        <v>319001</v>
      </c>
      <c r="C79" s="563" t="s">
        <v>247</v>
      </c>
      <c r="D79" s="564">
        <f>VLOOKUP($A79,[10]Template!$A$3:$G$138,7,FALSE)</f>
        <v>0</v>
      </c>
      <c r="E79" s="618">
        <f t="shared" si="12"/>
        <v>0</v>
      </c>
      <c r="F79" s="564">
        <f>VLOOKUP(A79,[11]Stipends!$A$3:$D$131,4,FALSE)</f>
        <v>0</v>
      </c>
      <c r="G79" s="622">
        <f t="shared" si="13"/>
        <v>0</v>
      </c>
      <c r="H79" s="564"/>
      <c r="I79" s="622">
        <f t="shared" si="14"/>
        <v>0</v>
      </c>
      <c r="J79" s="622">
        <f t="shared" si="15"/>
        <v>0</v>
      </c>
      <c r="K79" s="1216">
        <f>VLOOKUP($A79,'[12]4_Level 4'!$A$7:$D$137,4,FALSE)</f>
        <v>0</v>
      </c>
      <c r="L79" s="626">
        <f t="shared" si="16"/>
        <v>10000</v>
      </c>
      <c r="M79" s="627">
        <f>IFERROR(VLOOKUP($A79,[13]Allocation!$A$6:$P$93,13,FALSE),0)</f>
        <v>0</v>
      </c>
      <c r="N79" s="564">
        <f>VLOOKUP($A79,'[14]MFP by School System_MER'!$A$5:$M$208,13,FALSE)</f>
        <v>354</v>
      </c>
      <c r="O79" s="639">
        <f t="shared" si="17"/>
        <v>20886</v>
      </c>
      <c r="P79" s="622">
        <v>0</v>
      </c>
      <c r="Q79" s="640">
        <f t="shared" si="18"/>
        <v>20886</v>
      </c>
      <c r="R79" s="641">
        <f t="shared" si="19"/>
        <v>30886</v>
      </c>
      <c r="S79"/>
      <c r="T79" s="564">
        <f>VLOOKUP($A79,'[15]9-12_MER'!$B$7:$I$194,8,FALSE)</f>
        <v>265</v>
      </c>
    </row>
    <row r="80" spans="1:20" ht="15" customHeight="1" x14ac:dyDescent="0.2">
      <c r="A80" s="565">
        <v>302006</v>
      </c>
      <c r="B80" s="253">
        <v>302006</v>
      </c>
      <c r="C80" s="563" t="s">
        <v>334</v>
      </c>
      <c r="D80" s="564">
        <f>VLOOKUP($A80,[10]Template!$A$3:$G$138,7,FALSE)</f>
        <v>0</v>
      </c>
      <c r="E80" s="618">
        <f t="shared" si="12"/>
        <v>0</v>
      </c>
      <c r="F80" s="564">
        <f>VLOOKUP(A80,[11]Stipends!$A$3:$D$131,4,FALSE)</f>
        <v>0</v>
      </c>
      <c r="G80" s="622">
        <f t="shared" si="13"/>
        <v>0</v>
      </c>
      <c r="H80" s="564"/>
      <c r="I80" s="622">
        <f t="shared" si="14"/>
        <v>0</v>
      </c>
      <c r="J80" s="622">
        <f t="shared" si="15"/>
        <v>0</v>
      </c>
      <c r="K80" s="1216">
        <f>VLOOKUP($A80,'[12]4_Level 4'!$A$7:$D$137,4,FALSE)</f>
        <v>0</v>
      </c>
      <c r="L80" s="626">
        <f t="shared" si="16"/>
        <v>10000</v>
      </c>
      <c r="M80" s="627">
        <f>IFERROR(VLOOKUP($A80,[13]Allocation!$A$6:$P$93,13,FALSE),0)</f>
        <v>0</v>
      </c>
      <c r="N80" s="564">
        <f>VLOOKUP($A80,'[14]MFP by School System_MER'!$A$5:$M$208,13,FALSE)</f>
        <v>345</v>
      </c>
      <c r="O80" s="639">
        <f t="shared" si="17"/>
        <v>20355</v>
      </c>
      <c r="P80" s="622">
        <v>0</v>
      </c>
      <c r="Q80" s="640">
        <f t="shared" si="18"/>
        <v>20355</v>
      </c>
      <c r="R80" s="641">
        <f t="shared" si="19"/>
        <v>30355</v>
      </c>
      <c r="T80" s="564">
        <f>VLOOKUP($A80,'[15]9-12_MER'!$B$7:$I$194,8,FALSE)</f>
        <v>358</v>
      </c>
    </row>
    <row r="81" spans="1:20" ht="15" customHeight="1" x14ac:dyDescent="0.2">
      <c r="A81" s="565">
        <v>334001</v>
      </c>
      <c r="B81" s="253">
        <v>334001</v>
      </c>
      <c r="C81" s="563" t="s">
        <v>330</v>
      </c>
      <c r="D81" s="564">
        <f>VLOOKUP($A81,[10]Template!$A$3:$G$138,7,FALSE)</f>
        <v>0</v>
      </c>
      <c r="E81" s="618">
        <f t="shared" si="12"/>
        <v>0</v>
      </c>
      <c r="F81" s="564">
        <f>VLOOKUP(A81,[11]Stipends!$A$3:$D$131,4,FALSE)</f>
        <v>0</v>
      </c>
      <c r="G81" s="622">
        <f t="shared" si="13"/>
        <v>0</v>
      </c>
      <c r="H81" s="564"/>
      <c r="I81" s="622">
        <f t="shared" si="14"/>
        <v>0</v>
      </c>
      <c r="J81" s="622">
        <f t="shared" si="15"/>
        <v>0</v>
      </c>
      <c r="K81" s="1216">
        <f>VLOOKUP($A81,'[12]4_Level 4'!$A$7:$D$137,4,FALSE)</f>
        <v>15</v>
      </c>
      <c r="L81" s="626">
        <f t="shared" si="16"/>
        <v>10000</v>
      </c>
      <c r="M81" s="627">
        <f>IFERROR(VLOOKUP($A81,[13]Allocation!$A$6:$P$93,13,FALSE),0)</f>
        <v>0</v>
      </c>
      <c r="N81" s="564">
        <f>VLOOKUP($A81,'[14]MFP by School System_MER'!$A$5:$M$208,13,FALSE)</f>
        <v>236</v>
      </c>
      <c r="O81" s="639">
        <f t="shared" si="17"/>
        <v>13924</v>
      </c>
      <c r="P81" s="622">
        <v>0</v>
      </c>
      <c r="Q81" s="640">
        <f t="shared" si="18"/>
        <v>13924</v>
      </c>
      <c r="R81" s="641">
        <f t="shared" si="19"/>
        <v>23924</v>
      </c>
      <c r="T81" s="564">
        <f>VLOOKUP($A81,'[15]9-12_MER'!$B$7:$I$194,8,FALSE)</f>
        <v>234</v>
      </c>
    </row>
    <row r="82" spans="1:20" ht="15" customHeight="1" x14ac:dyDescent="0.2">
      <c r="A82" s="566" t="s">
        <v>890</v>
      </c>
      <c r="B82" s="567" t="s">
        <v>890</v>
      </c>
      <c r="C82" s="568" t="s">
        <v>571</v>
      </c>
      <c r="D82" s="569">
        <f>VLOOKUP($A82,[10]Template!$A$3:$G$138,7,FALSE)</f>
        <v>0</v>
      </c>
      <c r="E82" s="619">
        <f t="shared" si="12"/>
        <v>0</v>
      </c>
      <c r="F82" s="569">
        <f>VLOOKUP(A82,[11]Stipends!$A$3:$D$131,4,FALSE)</f>
        <v>0</v>
      </c>
      <c r="G82" s="623">
        <f t="shared" si="13"/>
        <v>0</v>
      </c>
      <c r="H82" s="569"/>
      <c r="I82" s="623">
        <f t="shared" si="14"/>
        <v>0</v>
      </c>
      <c r="J82" s="623">
        <f t="shared" si="15"/>
        <v>0</v>
      </c>
      <c r="K82" s="1217">
        <f>VLOOKUP($A82,'[12]4_Level 4'!$A$7:$D$137,4,FALSE)</f>
        <v>36</v>
      </c>
      <c r="L82" s="628">
        <f t="shared" si="16"/>
        <v>10000</v>
      </c>
      <c r="M82" s="629">
        <f>IFERROR(VLOOKUP($A82,[13]Allocation!$A$6:$P$93,13,FALSE),0)</f>
        <v>0</v>
      </c>
      <c r="N82" s="569">
        <f>VLOOKUP($A82,'[14]MFP by School System_MER'!$A$5:$M$208,13,FALSE)</f>
        <v>158</v>
      </c>
      <c r="O82" s="642">
        <f t="shared" si="17"/>
        <v>9322</v>
      </c>
      <c r="P82" s="623">
        <v>0</v>
      </c>
      <c r="Q82" s="643">
        <f t="shared" si="18"/>
        <v>9322</v>
      </c>
      <c r="R82" s="644">
        <f t="shared" si="19"/>
        <v>19322</v>
      </c>
      <c r="T82" s="569">
        <f>VLOOKUP($A82,'[15]9-12_MER'!$B$7:$I$194,8,FALSE)</f>
        <v>103</v>
      </c>
    </row>
    <row r="83" spans="1:20" s="103" customFormat="1" ht="15" customHeight="1" x14ac:dyDescent="0.2">
      <c r="A83" s="566" t="s">
        <v>282</v>
      </c>
      <c r="B83" s="567" t="s">
        <v>282</v>
      </c>
      <c r="C83" s="568" t="s">
        <v>131</v>
      </c>
      <c r="D83" s="569"/>
      <c r="E83" s="619">
        <f t="shared" si="12"/>
        <v>0</v>
      </c>
      <c r="F83" s="569">
        <v>0</v>
      </c>
      <c r="G83" s="623">
        <f t="shared" si="13"/>
        <v>0</v>
      </c>
      <c r="H83" s="569"/>
      <c r="I83" s="623">
        <f t="shared" si="14"/>
        <v>0</v>
      </c>
      <c r="J83" s="623">
        <f t="shared" si="15"/>
        <v>0</v>
      </c>
      <c r="K83" s="1217">
        <f>VLOOKUP($A83,'[12]4_Level 4'!$A$7:$D$137,4,FALSE)</f>
        <v>89</v>
      </c>
      <c r="L83" s="628">
        <f t="shared" si="16"/>
        <v>21449</v>
      </c>
      <c r="M83" s="629">
        <f>IFERROR(VLOOKUP($A83,[13]Allocation!$A$6:$P$93,13,FALSE),0)</f>
        <v>0</v>
      </c>
      <c r="N83" s="569">
        <f>VLOOKUP($A83,'[14]MFP by School System_MER'!$A$5:$M$208,13,FALSE)</f>
        <v>186</v>
      </c>
      <c r="O83" s="642">
        <f t="shared" si="17"/>
        <v>10974</v>
      </c>
      <c r="P83" s="623">
        <v>0</v>
      </c>
      <c r="Q83" s="643">
        <f t="shared" si="18"/>
        <v>10974</v>
      </c>
      <c r="R83" s="644">
        <f t="shared" si="19"/>
        <v>32423</v>
      </c>
      <c r="S83"/>
      <c r="T83" s="569">
        <f>VLOOKUP($A83,'[15]9-12_MER'!$B$7:$I$194,8,FALSE)</f>
        <v>157</v>
      </c>
    </row>
    <row r="84" spans="1:20" s="103" customFormat="1" ht="15" customHeight="1" thickBot="1" x14ac:dyDescent="0.25">
      <c r="A84" s="579"/>
      <c r="B84" s="580"/>
      <c r="C84" s="581" t="s">
        <v>378</v>
      </c>
      <c r="D84" s="582">
        <f>SUM(D78:D83)</f>
        <v>0</v>
      </c>
      <c r="E84" s="620">
        <f t="shared" ref="E84:R84" si="20">SUM(E78:E83)</f>
        <v>0</v>
      </c>
      <c r="F84" s="582">
        <f>SUM(F78:F83)</f>
        <v>0</v>
      </c>
      <c r="G84" s="625">
        <f t="shared" si="20"/>
        <v>0</v>
      </c>
      <c r="H84" s="582">
        <f>SUM(H78:H83)</f>
        <v>0</v>
      </c>
      <c r="I84" s="625">
        <f t="shared" si="20"/>
        <v>0</v>
      </c>
      <c r="J84" s="625">
        <f t="shared" si="20"/>
        <v>0</v>
      </c>
      <c r="K84" s="1219">
        <f>SUM(K78:K83)</f>
        <v>162</v>
      </c>
      <c r="L84" s="634">
        <f>SUM(L78:L83)</f>
        <v>71449</v>
      </c>
      <c r="M84" s="635">
        <f t="shared" si="20"/>
        <v>0</v>
      </c>
      <c r="N84" s="582">
        <f t="shared" si="20"/>
        <v>1975</v>
      </c>
      <c r="O84" s="648">
        <f t="shared" si="20"/>
        <v>116525</v>
      </c>
      <c r="P84" s="625">
        <f t="shared" si="20"/>
        <v>0</v>
      </c>
      <c r="Q84" s="649">
        <f t="shared" si="20"/>
        <v>116525</v>
      </c>
      <c r="R84" s="650">
        <f t="shared" si="20"/>
        <v>187974</v>
      </c>
      <c r="S84"/>
      <c r="T84" s="582">
        <f>SUM(T78:T83)</f>
        <v>1566</v>
      </c>
    </row>
    <row r="85" spans="1:20" ht="6.75" customHeight="1" thickTop="1" x14ac:dyDescent="0.2">
      <c r="A85" s="719"/>
      <c r="B85" s="720"/>
      <c r="C85" s="721"/>
      <c r="D85" s="713"/>
      <c r="E85" s="714"/>
      <c r="F85" s="715"/>
      <c r="G85" s="714"/>
      <c r="H85" s="716"/>
      <c r="I85" s="714"/>
      <c r="J85" s="714"/>
      <c r="K85" s="1221"/>
      <c r="L85" s="714"/>
      <c r="M85" s="714"/>
      <c r="N85" s="713"/>
      <c r="O85" s="717"/>
      <c r="P85" s="714"/>
      <c r="Q85" s="718"/>
      <c r="R85" s="717"/>
      <c r="T85" s="715"/>
    </row>
    <row r="86" spans="1:20" ht="15" customHeight="1" x14ac:dyDescent="0.2">
      <c r="A86" s="559">
        <v>321001</v>
      </c>
      <c r="B86" s="560">
        <v>321001</v>
      </c>
      <c r="C86" s="561" t="s">
        <v>335</v>
      </c>
      <c r="D86" s="562">
        <f>VLOOKUP($A86,[10]Template!$A$3:$G$138,7,FALSE)</f>
        <v>0</v>
      </c>
      <c r="E86" s="617">
        <f t="shared" ref="E86:E92" si="21">ROUND($E$3*D86,0)</f>
        <v>0</v>
      </c>
      <c r="F86" s="562">
        <f>VLOOKUP(A86,[11]Stipends!$A$3:$D$131,4,FALSE)</f>
        <v>0</v>
      </c>
      <c r="G86" s="621">
        <f t="shared" ref="G86:G92" si="22">ROUND($G$3*F86,0)</f>
        <v>0</v>
      </c>
      <c r="H86" s="562"/>
      <c r="I86" s="621">
        <f t="shared" ref="I86:I92" si="23">ROUND($I$3*H86,0)</f>
        <v>0</v>
      </c>
      <c r="J86" s="621">
        <f t="shared" ref="J86:J92" si="24">G86+I86</f>
        <v>0</v>
      </c>
      <c r="K86" s="1215">
        <f>VLOOKUP($A86,'[12]4_Level 4'!$A$7:$D$137,4,FALSE)</f>
        <v>0</v>
      </c>
      <c r="L86" s="630">
        <f t="shared" ref="L86:L92" si="25">IF(AND(L$3*K86&lt;10000,$T86&gt;0),10000,L$3*K86)</f>
        <v>0</v>
      </c>
      <c r="M86" s="631">
        <f>IFERROR(VLOOKUP($A86,[13]Allocation!$A$6:$P$93,13,FALSE),0)</f>
        <v>0</v>
      </c>
      <c r="N86" s="562">
        <f>VLOOKUP($A86,'[14]MFP by School System_MER'!$A$5:$M$208,13,FALSE)</f>
        <v>0</v>
      </c>
      <c r="O86" s="636">
        <f t="shared" ref="O86:O92" si="26">N86*$O$3</f>
        <v>0</v>
      </c>
      <c r="P86" s="621">
        <v>0</v>
      </c>
      <c r="Q86" s="637">
        <f t="shared" ref="Q86:Q92" si="27">O86+P86</f>
        <v>0</v>
      </c>
      <c r="R86" s="638">
        <f t="shared" ref="R86:R92" si="28">L86+J86+E86+M86+Q86</f>
        <v>0</v>
      </c>
      <c r="T86" s="562">
        <f>VLOOKUP($A86,'[15]9-12_MER'!$B$7:$I$194,8,FALSE)</f>
        <v>0</v>
      </c>
    </row>
    <row r="87" spans="1:20" ht="15" customHeight="1" x14ac:dyDescent="0.2">
      <c r="A87" s="565">
        <v>329001</v>
      </c>
      <c r="B87" s="253">
        <v>329001</v>
      </c>
      <c r="C87" s="563" t="s">
        <v>336</v>
      </c>
      <c r="D87" s="564">
        <f>VLOOKUP($A87,[10]Template!$A$3:$G$138,7,FALSE)</f>
        <v>0</v>
      </c>
      <c r="E87" s="618">
        <f t="shared" si="21"/>
        <v>0</v>
      </c>
      <c r="F87" s="564">
        <f>VLOOKUP(A87,[11]Stipends!$A$3:$D$131,4,FALSE)</f>
        <v>0</v>
      </c>
      <c r="G87" s="622">
        <f t="shared" si="22"/>
        <v>0</v>
      </c>
      <c r="H87" s="564"/>
      <c r="I87" s="622">
        <f t="shared" si="23"/>
        <v>0</v>
      </c>
      <c r="J87" s="622">
        <f t="shared" si="24"/>
        <v>0</v>
      </c>
      <c r="K87" s="1216">
        <f>VLOOKUP($A87,'[12]4_Level 4'!$A$7:$D$137,4,FALSE)</f>
        <v>0</v>
      </c>
      <c r="L87" s="626">
        <f t="shared" si="25"/>
        <v>10000</v>
      </c>
      <c r="M87" s="627">
        <f>IFERROR(VLOOKUP($A87,[13]Allocation!$A$6:$P$93,13,FALSE),0)</f>
        <v>0</v>
      </c>
      <c r="N87" s="564">
        <f>VLOOKUP($A87,'[14]MFP by School System_MER'!$A$5:$M$208,13,FALSE)</f>
        <v>60</v>
      </c>
      <c r="O87" s="639">
        <f t="shared" si="26"/>
        <v>3540</v>
      </c>
      <c r="P87" s="622">
        <v>0</v>
      </c>
      <c r="Q87" s="640">
        <f t="shared" si="27"/>
        <v>3540</v>
      </c>
      <c r="R87" s="641">
        <f t="shared" si="28"/>
        <v>13540</v>
      </c>
      <c r="T87" s="564">
        <f>VLOOKUP($A87,'[15]9-12_MER'!$B$7:$I$194,8,FALSE)</f>
        <v>10</v>
      </c>
    </row>
    <row r="88" spans="1:20" ht="15" customHeight="1" x14ac:dyDescent="0.2">
      <c r="A88" s="565">
        <v>331001</v>
      </c>
      <c r="B88" s="253">
        <v>331001</v>
      </c>
      <c r="C88" s="563" t="s">
        <v>337</v>
      </c>
      <c r="D88" s="564">
        <f>VLOOKUP($A88,[10]Template!$A$3:$G$138,7,FALSE)</f>
        <v>20</v>
      </c>
      <c r="E88" s="618">
        <f t="shared" si="21"/>
        <v>420000</v>
      </c>
      <c r="F88" s="564">
        <f>VLOOKUP(A88,[11]Stipends!$A$3:$D$131,4,FALSE)</f>
        <v>11</v>
      </c>
      <c r="G88" s="622">
        <f t="shared" si="22"/>
        <v>66000</v>
      </c>
      <c r="H88" s="564"/>
      <c r="I88" s="622">
        <f t="shared" si="23"/>
        <v>0</v>
      </c>
      <c r="J88" s="622">
        <f t="shared" si="24"/>
        <v>66000</v>
      </c>
      <c r="K88" s="1216">
        <f>VLOOKUP($A88,'[12]4_Level 4'!$A$7:$D$137,4,FALSE)</f>
        <v>0</v>
      </c>
      <c r="L88" s="626">
        <f t="shared" si="25"/>
        <v>0</v>
      </c>
      <c r="M88" s="627">
        <f>IFERROR(VLOOKUP($A88,[13]Allocation!$A$6:$P$93,13,FALSE),0)</f>
        <v>0</v>
      </c>
      <c r="N88" s="564">
        <f>VLOOKUP($A88,'[14]MFP by School System_MER'!$A$5:$M$208,13,FALSE)</f>
        <v>171</v>
      </c>
      <c r="O88" s="639">
        <f t="shared" si="26"/>
        <v>10089</v>
      </c>
      <c r="P88" s="622">
        <v>0</v>
      </c>
      <c r="Q88" s="640">
        <f t="shared" si="27"/>
        <v>10089</v>
      </c>
      <c r="R88" s="641">
        <f t="shared" si="28"/>
        <v>496089</v>
      </c>
      <c r="T88" s="564">
        <f>VLOOKUP($A88,'[15]9-12_MER'!$B$7:$I$194,8,FALSE)</f>
        <v>0</v>
      </c>
    </row>
    <row r="89" spans="1:20" ht="15" customHeight="1" x14ac:dyDescent="0.2">
      <c r="A89" s="565">
        <v>333001</v>
      </c>
      <c r="B89" s="253">
        <v>333001</v>
      </c>
      <c r="C89" s="563" t="s">
        <v>329</v>
      </c>
      <c r="D89" s="564">
        <f>VLOOKUP($A89,[10]Template!$A$3:$G$138,7,FALSE)</f>
        <v>0</v>
      </c>
      <c r="E89" s="618">
        <f t="shared" si="21"/>
        <v>0</v>
      </c>
      <c r="F89" s="564">
        <f>VLOOKUP(A89,[11]Stipends!$A$3:$D$131,4,FALSE)</f>
        <v>0</v>
      </c>
      <c r="G89" s="622">
        <f t="shared" si="22"/>
        <v>0</v>
      </c>
      <c r="H89" s="564"/>
      <c r="I89" s="622">
        <f t="shared" si="23"/>
        <v>0</v>
      </c>
      <c r="J89" s="622">
        <f t="shared" si="24"/>
        <v>0</v>
      </c>
      <c r="K89" s="1222">
        <f>VLOOKUP($A89,'[12]4_Level 4'!$A$7:$D$137,4,FALSE)</f>
        <v>0</v>
      </c>
      <c r="L89" s="626">
        <f t="shared" si="25"/>
        <v>10000</v>
      </c>
      <c r="M89" s="627">
        <f>IFERROR(VLOOKUP($A89,[13]Allocation!$A$6:$P$93,13,FALSE),0)</f>
        <v>0</v>
      </c>
      <c r="N89" s="564">
        <f>VLOOKUP($A89,'[14]MFP by School System_MER'!$A$5:$M$208,13,FALSE)</f>
        <v>334</v>
      </c>
      <c r="O89" s="639">
        <f t="shared" si="26"/>
        <v>19706</v>
      </c>
      <c r="P89" s="622">
        <v>0</v>
      </c>
      <c r="Q89" s="640">
        <f t="shared" si="27"/>
        <v>19706</v>
      </c>
      <c r="R89" s="641">
        <f t="shared" si="28"/>
        <v>29706</v>
      </c>
      <c r="T89" s="570">
        <f>VLOOKUP($A89,'[15]9-12_MER'!$B$7:$I$194,8,FALSE)</f>
        <v>235</v>
      </c>
    </row>
    <row r="90" spans="1:20" ht="15" customHeight="1" x14ac:dyDescent="0.2">
      <c r="A90" s="566">
        <v>336001</v>
      </c>
      <c r="B90" s="567">
        <v>336001</v>
      </c>
      <c r="C90" s="568" t="s">
        <v>331</v>
      </c>
      <c r="D90" s="569">
        <f>VLOOKUP($A90,[10]Template!$A$3:$G$138,7,FALSE)</f>
        <v>0</v>
      </c>
      <c r="E90" s="619">
        <f t="shared" si="21"/>
        <v>0</v>
      </c>
      <c r="F90" s="569">
        <f>VLOOKUP(A90,[11]Stipends!$A$3:$D$131,4,FALSE)</f>
        <v>0</v>
      </c>
      <c r="G90" s="623">
        <f t="shared" si="22"/>
        <v>0</v>
      </c>
      <c r="H90" s="569"/>
      <c r="I90" s="623">
        <f t="shared" si="23"/>
        <v>0</v>
      </c>
      <c r="J90" s="623">
        <f t="shared" si="24"/>
        <v>0</v>
      </c>
      <c r="K90" s="1217">
        <f>VLOOKUP($A90,'[12]4_Level 4'!$A$7:$D$137,4,FALSE)</f>
        <v>182</v>
      </c>
      <c r="L90" s="628">
        <f t="shared" si="25"/>
        <v>43862</v>
      </c>
      <c r="M90" s="629">
        <f>IFERROR(VLOOKUP($A90,[13]Allocation!$A$6:$P$93,13,FALSE),0)</f>
        <v>0</v>
      </c>
      <c r="N90" s="569">
        <f>VLOOKUP($A90,'[14]MFP by School System_MER'!$A$5:$M$208,13,FALSE)</f>
        <v>394</v>
      </c>
      <c r="O90" s="642">
        <f t="shared" si="26"/>
        <v>23246</v>
      </c>
      <c r="P90" s="623">
        <v>0</v>
      </c>
      <c r="Q90" s="643">
        <f t="shared" si="27"/>
        <v>23246</v>
      </c>
      <c r="R90" s="644">
        <f t="shared" si="28"/>
        <v>67108</v>
      </c>
      <c r="T90" s="569">
        <f>VLOOKUP($A90,'[15]9-12_MER'!$B$7:$I$194,8,FALSE)</f>
        <v>262</v>
      </c>
    </row>
    <row r="91" spans="1:20" ht="15" customHeight="1" x14ac:dyDescent="0.2">
      <c r="A91" s="565">
        <v>337001</v>
      </c>
      <c r="B91" s="253">
        <v>337001</v>
      </c>
      <c r="C91" s="563" t="s">
        <v>338</v>
      </c>
      <c r="D91" s="564">
        <f>VLOOKUP($A91,[10]Template!$A$3:$G$138,7,FALSE)</f>
        <v>0</v>
      </c>
      <c r="E91" s="575">
        <f t="shared" si="21"/>
        <v>0</v>
      </c>
      <c r="F91" s="564">
        <f>VLOOKUP(A91,[11]Stipends!$A$3:$D$131,4,FALSE)</f>
        <v>0</v>
      </c>
      <c r="G91" s="622">
        <f t="shared" si="22"/>
        <v>0</v>
      </c>
      <c r="H91" s="564"/>
      <c r="I91" s="622">
        <f t="shared" si="23"/>
        <v>0</v>
      </c>
      <c r="J91" s="622">
        <f t="shared" si="24"/>
        <v>0</v>
      </c>
      <c r="K91" s="1216">
        <f>VLOOKUP($A91,'[12]4_Level 4'!$A$7:$D$137,4,FALSE)</f>
        <v>0</v>
      </c>
      <c r="L91" s="626">
        <f t="shared" si="25"/>
        <v>0</v>
      </c>
      <c r="M91" s="627">
        <f>IFERROR(VLOOKUP($A91,[13]Allocation!$A$6:$P$93,13,FALSE),0)</f>
        <v>0</v>
      </c>
      <c r="N91" s="564">
        <f>VLOOKUP($A91,'[14]MFP by School System_MER'!$A$5:$M$208,13,FALSE)</f>
        <v>194</v>
      </c>
      <c r="O91" s="639">
        <f t="shared" si="26"/>
        <v>11446</v>
      </c>
      <c r="P91" s="622">
        <v>0</v>
      </c>
      <c r="Q91" s="640">
        <f t="shared" si="27"/>
        <v>11446</v>
      </c>
      <c r="R91" s="641">
        <f t="shared" si="28"/>
        <v>11446</v>
      </c>
      <c r="T91" s="564">
        <f>VLOOKUP($A91,'[15]9-12_MER'!$B$7:$I$194,8,FALSE)</f>
        <v>0</v>
      </c>
    </row>
    <row r="92" spans="1:20" ht="15" customHeight="1" x14ac:dyDescent="0.2">
      <c r="A92" s="566">
        <v>340001</v>
      </c>
      <c r="B92" s="567">
        <v>340001</v>
      </c>
      <c r="C92" s="568" t="s">
        <v>332</v>
      </c>
      <c r="D92" s="569">
        <f>VLOOKUP($A92,[10]Template!$A$3:$G$138,7,FALSE)</f>
        <v>0</v>
      </c>
      <c r="E92" s="578">
        <f t="shared" si="21"/>
        <v>0</v>
      </c>
      <c r="F92" s="569">
        <f>VLOOKUP(A92,[11]Stipends!$A$3:$D$131,4,FALSE)</f>
        <v>0</v>
      </c>
      <c r="G92" s="623">
        <f t="shared" si="22"/>
        <v>0</v>
      </c>
      <c r="H92" s="569"/>
      <c r="I92" s="623">
        <f t="shared" si="23"/>
        <v>0</v>
      </c>
      <c r="J92" s="623">
        <f t="shared" si="24"/>
        <v>0</v>
      </c>
      <c r="K92" s="1217">
        <f>VLOOKUP($A92,'[12]4_Level 4'!$A$7:$D$137,4,FALSE)</f>
        <v>16</v>
      </c>
      <c r="L92" s="628">
        <f t="shared" si="25"/>
        <v>3856</v>
      </c>
      <c r="M92" s="629">
        <f>IFERROR(VLOOKUP($A92,[13]Allocation!$A$6:$P$93,13,FALSE),0)</f>
        <v>0</v>
      </c>
      <c r="N92" s="569">
        <f>VLOOKUP($A92,'[14]MFP by School System_MER'!$A$5:$M$208,13,FALSE)</f>
        <v>38</v>
      </c>
      <c r="O92" s="642">
        <f t="shared" si="26"/>
        <v>2242</v>
      </c>
      <c r="P92" s="623">
        <v>0</v>
      </c>
      <c r="Q92" s="643">
        <f t="shared" si="27"/>
        <v>2242</v>
      </c>
      <c r="R92" s="644">
        <f t="shared" si="28"/>
        <v>6098</v>
      </c>
      <c r="T92" s="569">
        <f>VLOOKUP($A92,'[15]9-12_MER'!$B$7:$I$194,8,FALSE)</f>
        <v>0</v>
      </c>
    </row>
    <row r="93" spans="1:20" s="103" customFormat="1" ht="15" customHeight="1" thickBot="1" x14ac:dyDescent="0.25">
      <c r="A93" s="579"/>
      <c r="B93" s="580"/>
      <c r="C93" s="581" t="s">
        <v>248</v>
      </c>
      <c r="D93" s="582">
        <f>SUM(D86:D92)</f>
        <v>20</v>
      </c>
      <c r="E93" s="620">
        <f>SUM(E86:E92)</f>
        <v>420000</v>
      </c>
      <c r="F93" s="582">
        <f>SUM(F86:F92)</f>
        <v>11</v>
      </c>
      <c r="G93" s="625">
        <f>SUM(G86:G92)</f>
        <v>66000</v>
      </c>
      <c r="H93" s="582">
        <f>SUM(H86:H92)</f>
        <v>0</v>
      </c>
      <c r="I93" s="625">
        <f t="shared" ref="I93:R93" si="29">SUM(I86:I92)</f>
        <v>0</v>
      </c>
      <c r="J93" s="625">
        <f t="shared" si="29"/>
        <v>66000</v>
      </c>
      <c r="K93" s="1219">
        <f t="shared" si="29"/>
        <v>198</v>
      </c>
      <c r="L93" s="634">
        <f>SUM(L86:L92)</f>
        <v>67718</v>
      </c>
      <c r="M93" s="635">
        <f t="shared" si="29"/>
        <v>0</v>
      </c>
      <c r="N93" s="582">
        <f t="shared" si="29"/>
        <v>1191</v>
      </c>
      <c r="O93" s="648">
        <f t="shared" si="29"/>
        <v>70269</v>
      </c>
      <c r="P93" s="625">
        <f t="shared" si="29"/>
        <v>0</v>
      </c>
      <c r="Q93" s="649">
        <f t="shared" si="29"/>
        <v>70269</v>
      </c>
      <c r="R93" s="650">
        <f t="shared" si="29"/>
        <v>623987</v>
      </c>
      <c r="S93"/>
      <c r="T93" s="582">
        <f>SUM(T86:T92)</f>
        <v>507</v>
      </c>
    </row>
    <row r="94" spans="1:20" ht="6.75" customHeight="1" thickTop="1" x14ac:dyDescent="0.2">
      <c r="A94" s="719"/>
      <c r="B94" s="720"/>
      <c r="C94" s="721"/>
      <c r="D94" s="713"/>
      <c r="E94" s="714"/>
      <c r="F94" s="715"/>
      <c r="G94" s="714"/>
      <c r="H94" s="716"/>
      <c r="I94" s="714"/>
      <c r="J94" s="714"/>
      <c r="K94" s="1221"/>
      <c r="L94" s="714"/>
      <c r="M94" s="714"/>
      <c r="N94" s="713"/>
      <c r="O94" s="717"/>
      <c r="P94" s="714"/>
      <c r="Q94" s="718"/>
      <c r="R94" s="717"/>
      <c r="T94" s="715"/>
    </row>
    <row r="95" spans="1:20" ht="15" customHeight="1" x14ac:dyDescent="0.2">
      <c r="A95" s="559">
        <v>341001</v>
      </c>
      <c r="B95" s="560">
        <v>341001</v>
      </c>
      <c r="C95" s="561" t="s">
        <v>255</v>
      </c>
      <c r="D95" s="562">
        <f>VLOOKUP($A95,[10]Template!$A$3:$G$138,7,FALSE)</f>
        <v>0</v>
      </c>
      <c r="E95" s="617">
        <f t="shared" ref="E95:E106" si="30">ROUND($E$3*D95,0)</f>
        <v>0</v>
      </c>
      <c r="F95" s="562">
        <f>VLOOKUP(A95,[11]Stipends!$A$3:$D$131,4,FALSE)</f>
        <v>0</v>
      </c>
      <c r="G95" s="621">
        <f t="shared" ref="G95:G106" si="31">ROUND($G$3*F95,0)</f>
        <v>0</v>
      </c>
      <c r="H95" s="562"/>
      <c r="I95" s="621">
        <f t="shared" ref="I95:I106" si="32">ROUND($I$3*H95,0)</f>
        <v>0</v>
      </c>
      <c r="J95" s="621">
        <f t="shared" ref="J95:J106" si="33">G95+I95</f>
        <v>0</v>
      </c>
      <c r="K95" s="1215">
        <f>VLOOKUP($A95,'[12]4_Level 4'!$A$7:$D$137,4,FALSE)</f>
        <v>231</v>
      </c>
      <c r="L95" s="630">
        <f t="shared" ref="L95:L127" si="34">IF(AND(L$3*K95&lt;10000,$T95&gt;0),10000,L$3*K95)</f>
        <v>55671</v>
      </c>
      <c r="M95" s="631">
        <f>IFERROR(VLOOKUP($A95,[13]Allocation!$A$6:$P$93,13,FALSE),0)</f>
        <v>0</v>
      </c>
      <c r="N95" s="562">
        <f>VLOOKUP($A95,'[14]MFP by School System_MER'!$A$5:$M$208,13,FALSE)</f>
        <v>403</v>
      </c>
      <c r="O95" s="636">
        <f t="shared" ref="O95:O106" si="35">N95*$O$3</f>
        <v>23777</v>
      </c>
      <c r="P95" s="621">
        <v>0</v>
      </c>
      <c r="Q95" s="637">
        <f t="shared" ref="Q95:Q106" si="36">O95+P95</f>
        <v>23777</v>
      </c>
      <c r="R95" s="638">
        <f t="shared" ref="R95:R106" si="37">L95+J95+E95+M95+Q95</f>
        <v>79448</v>
      </c>
      <c r="T95" s="562">
        <f>VLOOKUP($A95,'[15]9-12_MER'!$B$7:$I$194,8,FALSE)</f>
        <v>268</v>
      </c>
    </row>
    <row r="96" spans="1:20" ht="15" customHeight="1" x14ac:dyDescent="0.2">
      <c r="A96" s="565">
        <v>343001</v>
      </c>
      <c r="B96" s="253">
        <v>343001</v>
      </c>
      <c r="C96" s="563" t="s">
        <v>352</v>
      </c>
      <c r="D96" s="564">
        <f>VLOOKUP($A96,[10]Template!$A$3:$G$138,7,FALSE)</f>
        <v>0</v>
      </c>
      <c r="E96" s="618">
        <f t="shared" si="30"/>
        <v>0</v>
      </c>
      <c r="F96" s="564">
        <f>VLOOKUP(A96,[11]Stipends!$A$3:$D$131,4,FALSE)</f>
        <v>0</v>
      </c>
      <c r="G96" s="622">
        <f t="shared" si="31"/>
        <v>0</v>
      </c>
      <c r="H96" s="564"/>
      <c r="I96" s="622">
        <f t="shared" si="32"/>
        <v>0</v>
      </c>
      <c r="J96" s="622">
        <f t="shared" si="33"/>
        <v>0</v>
      </c>
      <c r="K96" s="1216">
        <f>VLOOKUP($A96,'[12]4_Level 4'!$A$7:$D$137,4,FALSE)</f>
        <v>330</v>
      </c>
      <c r="L96" s="626">
        <f t="shared" si="34"/>
        <v>79530</v>
      </c>
      <c r="M96" s="627">
        <f>IFERROR(VLOOKUP($A96,[13]Allocation!$A$6:$P$93,13,FALSE),0)</f>
        <v>0</v>
      </c>
      <c r="N96" s="564">
        <f>VLOOKUP($A96,'[14]MFP by School System_MER'!$A$5:$M$208,13,FALSE)</f>
        <v>552</v>
      </c>
      <c r="O96" s="639">
        <f t="shared" si="35"/>
        <v>32568</v>
      </c>
      <c r="P96" s="622">
        <v>0</v>
      </c>
      <c r="Q96" s="640">
        <f t="shared" si="36"/>
        <v>32568</v>
      </c>
      <c r="R96" s="641">
        <f t="shared" si="37"/>
        <v>112098</v>
      </c>
      <c r="T96" s="564">
        <f>VLOOKUP($A96,'[15]9-12_MER'!$B$7:$I$194,8,FALSE)</f>
        <v>570</v>
      </c>
    </row>
    <row r="97" spans="1:20" ht="15" customHeight="1" x14ac:dyDescent="0.2">
      <c r="A97" s="565">
        <v>344001</v>
      </c>
      <c r="B97" s="253">
        <v>344001</v>
      </c>
      <c r="C97" s="563" t="s">
        <v>256</v>
      </c>
      <c r="D97" s="564">
        <f>VLOOKUP($A97,[10]Template!$A$3:$G$138,7,FALSE)</f>
        <v>0</v>
      </c>
      <c r="E97" s="618">
        <f t="shared" si="30"/>
        <v>0</v>
      </c>
      <c r="F97" s="564">
        <f>VLOOKUP(A97,[11]Stipends!$A$3:$D$131,4,FALSE)</f>
        <v>0</v>
      </c>
      <c r="G97" s="622">
        <f t="shared" si="31"/>
        <v>0</v>
      </c>
      <c r="H97" s="564"/>
      <c r="I97" s="622">
        <f t="shared" si="32"/>
        <v>0</v>
      </c>
      <c r="J97" s="622">
        <f t="shared" si="33"/>
        <v>0</v>
      </c>
      <c r="K97" s="1216">
        <f>VLOOKUP($A97,'[12]4_Level 4'!$A$7:$D$137,4,FALSE)</f>
        <v>0</v>
      </c>
      <c r="L97" s="626">
        <f t="shared" si="34"/>
        <v>10000</v>
      </c>
      <c r="M97" s="627">
        <f>IFERROR(VLOOKUP($A97,[13]Allocation!$A$6:$P$93,13,FALSE),0)</f>
        <v>45836</v>
      </c>
      <c r="N97" s="564">
        <f>VLOOKUP($A97,'[14]MFP by School System_MER'!$A$5:$M$208,13,FALSE)</f>
        <v>508</v>
      </c>
      <c r="O97" s="639">
        <f t="shared" si="35"/>
        <v>29972</v>
      </c>
      <c r="P97" s="622">
        <v>0</v>
      </c>
      <c r="Q97" s="640">
        <f t="shared" si="36"/>
        <v>29972</v>
      </c>
      <c r="R97" s="641">
        <f t="shared" si="37"/>
        <v>85808</v>
      </c>
      <c r="T97" s="564">
        <f>VLOOKUP($A97,'[15]9-12_MER'!$B$7:$I$194,8,FALSE)</f>
        <v>456</v>
      </c>
    </row>
    <row r="98" spans="1:20" ht="15" customHeight="1" x14ac:dyDescent="0.2">
      <c r="A98" s="565">
        <v>345001</v>
      </c>
      <c r="B98" s="253">
        <v>345001</v>
      </c>
      <c r="C98" s="563" t="s">
        <v>557</v>
      </c>
      <c r="D98" s="564">
        <f>VLOOKUP($A98,[10]Template!$A$3:$G$138,7,FALSE)</f>
        <v>0</v>
      </c>
      <c r="E98" s="618">
        <f t="shared" si="30"/>
        <v>0</v>
      </c>
      <c r="F98" s="564">
        <f>VLOOKUP(A98,[11]Stipends!$A$3:$D$131,4,FALSE)</f>
        <v>0</v>
      </c>
      <c r="G98" s="622">
        <f t="shared" si="31"/>
        <v>0</v>
      </c>
      <c r="H98" s="564"/>
      <c r="I98" s="622">
        <f t="shared" si="32"/>
        <v>0</v>
      </c>
      <c r="J98" s="622">
        <f t="shared" si="33"/>
        <v>0</v>
      </c>
      <c r="K98" s="1216">
        <f>VLOOKUP($A98,'[12]4_Level 4'!$A$7:$D$137,4,FALSE)</f>
        <v>242</v>
      </c>
      <c r="L98" s="626">
        <f t="shared" si="34"/>
        <v>58322</v>
      </c>
      <c r="M98" s="627">
        <f>IFERROR(VLOOKUP($A98,[13]Allocation!$A$6:$P$93,13,FALSE),0)</f>
        <v>0</v>
      </c>
      <c r="N98" s="564">
        <f>VLOOKUP($A98,'[14]MFP by School System_MER'!$A$5:$M$208,13,FALSE)</f>
        <v>1959</v>
      </c>
      <c r="O98" s="639">
        <f t="shared" si="35"/>
        <v>115581</v>
      </c>
      <c r="P98" s="622">
        <v>0</v>
      </c>
      <c r="Q98" s="640">
        <f t="shared" si="36"/>
        <v>115581</v>
      </c>
      <c r="R98" s="641">
        <f t="shared" si="37"/>
        <v>173903</v>
      </c>
      <c r="T98" s="564">
        <f>VLOOKUP($A98,'[15]9-12_MER'!$B$7:$I$194,8,FALSE)</f>
        <v>1514</v>
      </c>
    </row>
    <row r="99" spans="1:20" ht="15" customHeight="1" x14ac:dyDescent="0.2">
      <c r="A99" s="566">
        <v>346001</v>
      </c>
      <c r="B99" s="567">
        <v>346001</v>
      </c>
      <c r="C99" s="568" t="s">
        <v>257</v>
      </c>
      <c r="D99" s="569">
        <f>VLOOKUP($A99,[10]Template!$A$3:$G$138,7,FALSE)</f>
        <v>0</v>
      </c>
      <c r="E99" s="619">
        <f t="shared" si="30"/>
        <v>0</v>
      </c>
      <c r="F99" s="569">
        <f>VLOOKUP(A99,[11]Stipends!$A$3:$D$131,4,FALSE)</f>
        <v>0</v>
      </c>
      <c r="G99" s="623">
        <f t="shared" si="31"/>
        <v>0</v>
      </c>
      <c r="H99" s="569"/>
      <c r="I99" s="623">
        <f t="shared" si="32"/>
        <v>0</v>
      </c>
      <c r="J99" s="623">
        <f t="shared" si="33"/>
        <v>0</v>
      </c>
      <c r="K99" s="1217">
        <f>VLOOKUP($A99,'[12]4_Level 4'!$A$7:$D$137,4,FALSE)</f>
        <v>0</v>
      </c>
      <c r="L99" s="628">
        <f t="shared" si="34"/>
        <v>0</v>
      </c>
      <c r="M99" s="629">
        <f>IFERROR(VLOOKUP($A99,[13]Allocation!$A$6:$P$93,13,FALSE),0)</f>
        <v>0</v>
      </c>
      <c r="N99" s="569">
        <f>VLOOKUP($A99,'[14]MFP by School System_MER'!$A$5:$M$208,13,FALSE)</f>
        <v>206</v>
      </c>
      <c r="O99" s="642">
        <f t="shared" si="35"/>
        <v>12154</v>
      </c>
      <c r="P99" s="623">
        <v>0</v>
      </c>
      <c r="Q99" s="643">
        <f t="shared" si="36"/>
        <v>12154</v>
      </c>
      <c r="R99" s="644">
        <f t="shared" si="37"/>
        <v>12154</v>
      </c>
      <c r="T99" s="569">
        <f>VLOOKUP($A99,'[15]9-12_MER'!$B$7:$I$194,8,FALSE)</f>
        <v>0</v>
      </c>
    </row>
    <row r="100" spans="1:20" ht="15" customHeight="1" x14ac:dyDescent="0.2">
      <c r="A100" s="559">
        <v>347001</v>
      </c>
      <c r="B100" s="560">
        <v>347001</v>
      </c>
      <c r="C100" s="561" t="s">
        <v>258</v>
      </c>
      <c r="D100" s="562">
        <f>VLOOKUP($A100,[10]Template!$A$3:$G$138,7,FALSE)</f>
        <v>36</v>
      </c>
      <c r="E100" s="617">
        <f t="shared" si="30"/>
        <v>756000</v>
      </c>
      <c r="F100" s="562">
        <f>VLOOKUP(A100,[11]Stipends!$A$3:$D$131,4,FALSE)</f>
        <v>15</v>
      </c>
      <c r="G100" s="621">
        <f t="shared" si="31"/>
        <v>90000</v>
      </c>
      <c r="H100" s="572"/>
      <c r="I100" s="621">
        <f t="shared" si="32"/>
        <v>0</v>
      </c>
      <c r="J100" s="621">
        <f t="shared" si="33"/>
        <v>90000</v>
      </c>
      <c r="K100" s="1215">
        <f>VLOOKUP($A100,'[12]4_Level 4'!$A$7:$D$137,4,FALSE)</f>
        <v>0</v>
      </c>
      <c r="L100" s="630">
        <f t="shared" si="34"/>
        <v>10000</v>
      </c>
      <c r="M100" s="631">
        <f>IFERROR(VLOOKUP($A100,[13]Allocation!$A$6:$P$93,13,FALSE),0)</f>
        <v>117118</v>
      </c>
      <c r="N100" s="562">
        <f>VLOOKUP($A100,'[14]MFP by School System_MER'!$A$5:$M$208,13,FALSE)</f>
        <v>72</v>
      </c>
      <c r="O100" s="636">
        <f t="shared" si="35"/>
        <v>4248</v>
      </c>
      <c r="P100" s="621">
        <v>0</v>
      </c>
      <c r="Q100" s="637">
        <f t="shared" si="36"/>
        <v>4248</v>
      </c>
      <c r="R100" s="638">
        <f t="shared" si="37"/>
        <v>977366</v>
      </c>
      <c r="T100" s="562">
        <f>VLOOKUP($A100,'[15]9-12_MER'!$B$7:$I$194,8,FALSE)</f>
        <v>16</v>
      </c>
    </row>
    <row r="101" spans="1:20" ht="15" customHeight="1" x14ac:dyDescent="0.2">
      <c r="A101" s="565">
        <v>348001</v>
      </c>
      <c r="B101" s="253">
        <v>348001</v>
      </c>
      <c r="C101" s="563" t="s">
        <v>437</v>
      </c>
      <c r="D101" s="564">
        <f>VLOOKUP($A101,[10]Template!$A$3:$G$138,7,FALSE)</f>
        <v>0</v>
      </c>
      <c r="E101" s="618">
        <f t="shared" si="30"/>
        <v>0</v>
      </c>
      <c r="F101" s="564">
        <f>VLOOKUP(A101,[11]Stipends!$A$3:$D$131,4,FALSE)</f>
        <v>0</v>
      </c>
      <c r="G101" s="622">
        <f t="shared" si="31"/>
        <v>0</v>
      </c>
      <c r="H101" s="564"/>
      <c r="I101" s="622">
        <f t="shared" si="32"/>
        <v>0</v>
      </c>
      <c r="J101" s="622">
        <f t="shared" si="33"/>
        <v>0</v>
      </c>
      <c r="K101" s="1216">
        <f>VLOOKUP($A101,'[12]4_Level 4'!$A$7:$D$137,4,FALSE)</f>
        <v>85</v>
      </c>
      <c r="L101" s="626">
        <f t="shared" si="34"/>
        <v>20485</v>
      </c>
      <c r="M101" s="627">
        <f>IFERROR(VLOOKUP($A101,[13]Allocation!$A$6:$P$93,13,FALSE),0)</f>
        <v>106429</v>
      </c>
      <c r="N101" s="564">
        <f>VLOOKUP($A101,'[14]MFP by School System_MER'!$A$5:$M$208,13,FALSE)</f>
        <v>870</v>
      </c>
      <c r="O101" s="639">
        <f t="shared" si="35"/>
        <v>51330</v>
      </c>
      <c r="P101" s="622">
        <v>0</v>
      </c>
      <c r="Q101" s="640">
        <f t="shared" si="36"/>
        <v>51330</v>
      </c>
      <c r="R101" s="641">
        <f t="shared" si="37"/>
        <v>178244</v>
      </c>
      <c r="T101" s="564">
        <f>VLOOKUP($A101,'[15]9-12_MER'!$B$7:$I$194,8,FALSE)</f>
        <v>772</v>
      </c>
    </row>
    <row r="102" spans="1:20" ht="15" customHeight="1" x14ac:dyDescent="0.2">
      <c r="A102" s="565" t="s">
        <v>695</v>
      </c>
      <c r="B102" s="253" t="s">
        <v>695</v>
      </c>
      <c r="C102" s="563" t="s">
        <v>573</v>
      </c>
      <c r="D102" s="564">
        <f>VLOOKUP($A102,[10]Template!$A$3:$G$138,7,FALSE)</f>
        <v>0</v>
      </c>
      <c r="E102" s="618">
        <f t="shared" si="30"/>
        <v>0</v>
      </c>
      <c r="F102" s="564">
        <f>VLOOKUP(A102,[11]Stipends!$A$3:$D$131,4,FALSE)</f>
        <v>0</v>
      </c>
      <c r="G102" s="622">
        <f t="shared" si="31"/>
        <v>0</v>
      </c>
      <c r="H102" s="564"/>
      <c r="I102" s="622">
        <f t="shared" si="32"/>
        <v>0</v>
      </c>
      <c r="J102" s="622">
        <f t="shared" si="33"/>
        <v>0</v>
      </c>
      <c r="K102" s="1216">
        <f>VLOOKUP($A102,'[12]4_Level 4'!$A$7:$D$137,4,FALSE)</f>
        <v>0</v>
      </c>
      <c r="L102" s="626">
        <f t="shared" si="34"/>
        <v>0</v>
      </c>
      <c r="M102" s="627">
        <f>IFERROR(VLOOKUP($A102,[13]Allocation!$A$6:$P$93,13,FALSE),0)</f>
        <v>28271</v>
      </c>
      <c r="N102" s="564">
        <f>VLOOKUP($A102,'[14]MFP by School System_MER'!$A$5:$M$208,13,FALSE)</f>
        <v>0</v>
      </c>
      <c r="O102" s="639">
        <f t="shared" si="35"/>
        <v>0</v>
      </c>
      <c r="P102" s="622">
        <v>0</v>
      </c>
      <c r="Q102" s="640">
        <f t="shared" si="36"/>
        <v>0</v>
      </c>
      <c r="R102" s="641">
        <f t="shared" si="37"/>
        <v>28271</v>
      </c>
      <c r="T102" s="564">
        <f>VLOOKUP($A102,'[15]9-12_MER'!$B$7:$I$194,8,FALSE)</f>
        <v>0</v>
      </c>
    </row>
    <row r="103" spans="1:20" ht="15" customHeight="1" x14ac:dyDescent="0.2">
      <c r="A103" s="565" t="s">
        <v>452</v>
      </c>
      <c r="B103" s="253" t="s">
        <v>283</v>
      </c>
      <c r="C103" s="563" t="s">
        <v>906</v>
      </c>
      <c r="D103" s="564">
        <f>VLOOKUP($A103,[10]Template!$A$3:$G$138,7,FALSE)</f>
        <v>0</v>
      </c>
      <c r="E103" s="618">
        <f t="shared" si="30"/>
        <v>0</v>
      </c>
      <c r="F103" s="564">
        <f>VLOOKUP(A103,[11]Stipends!$A$3:$D$131,4,FALSE)</f>
        <v>0</v>
      </c>
      <c r="G103" s="622">
        <f t="shared" si="31"/>
        <v>0</v>
      </c>
      <c r="H103" s="564"/>
      <c r="I103" s="622">
        <f t="shared" si="32"/>
        <v>0</v>
      </c>
      <c r="J103" s="622">
        <f t="shared" si="33"/>
        <v>0</v>
      </c>
      <c r="K103" s="1216">
        <f>VLOOKUP($A103,'[12]4_Level 4'!$A$7:$D$137,4,FALSE)</f>
        <v>112</v>
      </c>
      <c r="L103" s="626">
        <f t="shared" si="34"/>
        <v>26992</v>
      </c>
      <c r="M103" s="627">
        <f>IFERROR(VLOOKUP($A103,[13]Allocation!$A$6:$P$93,13,FALSE),0)</f>
        <v>0</v>
      </c>
      <c r="N103" s="564">
        <f>VLOOKUP($A103,'[14]MFP by School System_MER'!$A$5:$M$208,13,FALSE)</f>
        <v>264</v>
      </c>
      <c r="O103" s="639">
        <f t="shared" si="35"/>
        <v>15576</v>
      </c>
      <c r="P103" s="622">
        <v>0</v>
      </c>
      <c r="Q103" s="640">
        <f t="shared" si="36"/>
        <v>15576</v>
      </c>
      <c r="R103" s="641">
        <f t="shared" si="37"/>
        <v>42568</v>
      </c>
      <c r="T103" s="564">
        <f>VLOOKUP($A103,'[15]9-12_MER'!$B$7:$I$194,8,FALSE)</f>
        <v>227</v>
      </c>
    </row>
    <row r="104" spans="1:20" ht="15" customHeight="1" x14ac:dyDescent="0.2">
      <c r="A104" s="566" t="s">
        <v>453</v>
      </c>
      <c r="B104" s="567" t="s">
        <v>292</v>
      </c>
      <c r="C104" s="568" t="s">
        <v>261</v>
      </c>
      <c r="D104" s="569">
        <f>VLOOKUP($A104,[10]Template!$A$3:$G$138,7,FALSE)</f>
        <v>0</v>
      </c>
      <c r="E104" s="619">
        <f t="shared" si="30"/>
        <v>0</v>
      </c>
      <c r="F104" s="569">
        <f>VLOOKUP(A104,[11]Stipends!$A$3:$D$131,4,FALSE)</f>
        <v>0</v>
      </c>
      <c r="G104" s="623">
        <f t="shared" si="31"/>
        <v>0</v>
      </c>
      <c r="H104" s="569"/>
      <c r="I104" s="623">
        <f t="shared" si="32"/>
        <v>0</v>
      </c>
      <c r="J104" s="623">
        <f t="shared" si="33"/>
        <v>0</v>
      </c>
      <c r="K104" s="1217">
        <f>VLOOKUP($A104,'[12]4_Level 4'!$A$7:$D$137,4,FALSE)</f>
        <v>0</v>
      </c>
      <c r="L104" s="628">
        <f t="shared" si="34"/>
        <v>0</v>
      </c>
      <c r="M104" s="629">
        <f>IFERROR(VLOOKUP($A104,[13]Allocation!$A$6:$P$93,13,FALSE),0)</f>
        <v>0</v>
      </c>
      <c r="N104" s="569">
        <f>VLOOKUP($A104,'[14]MFP by School System_MER'!$A$5:$M$208,13,FALSE)</f>
        <v>106</v>
      </c>
      <c r="O104" s="642">
        <f t="shared" si="35"/>
        <v>6254</v>
      </c>
      <c r="P104" s="623">
        <v>0</v>
      </c>
      <c r="Q104" s="643">
        <f t="shared" si="36"/>
        <v>6254</v>
      </c>
      <c r="R104" s="644">
        <f t="shared" si="37"/>
        <v>6254</v>
      </c>
      <c r="T104" s="569">
        <f>VLOOKUP($A104,'[15]9-12_MER'!$B$7:$I$194,8,FALSE)</f>
        <v>0</v>
      </c>
    </row>
    <row r="105" spans="1:20" ht="15" customHeight="1" x14ac:dyDescent="0.2">
      <c r="A105" s="559" t="s">
        <v>697</v>
      </c>
      <c r="B105" s="560" t="s">
        <v>697</v>
      </c>
      <c r="C105" s="561" t="s">
        <v>891</v>
      </c>
      <c r="D105" s="562">
        <f>VLOOKUP($A105,[10]Template!$A$3:$G$138,7,FALSE)</f>
        <v>0</v>
      </c>
      <c r="E105" s="617">
        <f t="shared" si="30"/>
        <v>0</v>
      </c>
      <c r="F105" s="562">
        <f>VLOOKUP(A105,[11]Stipends!$A$3:$D$131,4,FALSE)</f>
        <v>0</v>
      </c>
      <c r="G105" s="621">
        <f t="shared" si="31"/>
        <v>0</v>
      </c>
      <c r="H105" s="562"/>
      <c r="I105" s="621">
        <f t="shared" si="32"/>
        <v>0</v>
      </c>
      <c r="J105" s="621">
        <f t="shared" si="33"/>
        <v>0</v>
      </c>
      <c r="K105" s="1215">
        <f>VLOOKUP($A105,'[12]4_Level 4'!$A$7:$D$137,4,FALSE)</f>
        <v>0</v>
      </c>
      <c r="L105" s="630">
        <f t="shared" si="34"/>
        <v>10000</v>
      </c>
      <c r="M105" s="631">
        <f>IFERROR(VLOOKUP($A105,[13]Allocation!$A$6:$P$93,13,FALSE),0)</f>
        <v>0</v>
      </c>
      <c r="N105" s="562">
        <f>VLOOKUP($A105,'[14]MFP by School System_MER'!$A$5:$M$208,13,FALSE)</f>
        <v>64</v>
      </c>
      <c r="O105" s="636">
        <f t="shared" si="35"/>
        <v>3776</v>
      </c>
      <c r="P105" s="621">
        <v>0</v>
      </c>
      <c r="Q105" s="637">
        <f t="shared" si="36"/>
        <v>3776</v>
      </c>
      <c r="R105" s="638">
        <f t="shared" si="37"/>
        <v>13776</v>
      </c>
      <c r="T105" s="562">
        <f>VLOOKUP($A105,'[15]9-12_MER'!$B$7:$I$194,8,FALSE)</f>
        <v>68</v>
      </c>
    </row>
    <row r="106" spans="1:20" ht="15" customHeight="1" x14ac:dyDescent="0.2">
      <c r="A106" s="565" t="s">
        <v>454</v>
      </c>
      <c r="B106" s="253" t="s">
        <v>301</v>
      </c>
      <c r="C106" s="563" t="s">
        <v>345</v>
      </c>
      <c r="D106" s="564">
        <f>VLOOKUP($A106,[10]Template!$A$3:$G$138,7,FALSE)</f>
        <v>0</v>
      </c>
      <c r="E106" s="618">
        <f t="shared" si="30"/>
        <v>0</v>
      </c>
      <c r="F106" s="564">
        <f>VLOOKUP(A106,[11]Stipends!$A$3:$D$131,4,FALSE)</f>
        <v>0</v>
      </c>
      <c r="G106" s="622">
        <f t="shared" si="31"/>
        <v>0</v>
      </c>
      <c r="H106" s="564"/>
      <c r="I106" s="622">
        <f t="shared" si="32"/>
        <v>0</v>
      </c>
      <c r="J106" s="622">
        <f t="shared" si="33"/>
        <v>0</v>
      </c>
      <c r="K106" s="1216">
        <f>VLOOKUP($A106,'[12]4_Level 4'!$A$7:$D$137,4,FALSE)</f>
        <v>0</v>
      </c>
      <c r="L106" s="626">
        <f t="shared" si="34"/>
        <v>0</v>
      </c>
      <c r="M106" s="627">
        <f>IFERROR(VLOOKUP($A106,[13]Allocation!$A$6:$P$93,13,FALSE),0)</f>
        <v>0</v>
      </c>
      <c r="N106" s="564">
        <f>VLOOKUP($A106,'[14]MFP by School System_MER'!$A$5:$M$208,13,FALSE)</f>
        <v>86</v>
      </c>
      <c r="O106" s="639">
        <f t="shared" si="35"/>
        <v>5074</v>
      </c>
      <c r="P106" s="622">
        <v>0</v>
      </c>
      <c r="Q106" s="640">
        <f t="shared" si="36"/>
        <v>5074</v>
      </c>
      <c r="R106" s="641">
        <f t="shared" si="37"/>
        <v>5074</v>
      </c>
      <c r="T106" s="564">
        <f>VLOOKUP($A106,'[15]9-12_MER'!$B$7:$I$194,8,FALSE)</f>
        <v>0</v>
      </c>
    </row>
    <row r="107" spans="1:20" ht="15" customHeight="1" x14ac:dyDescent="0.2">
      <c r="A107" s="565" t="s">
        <v>505</v>
      </c>
      <c r="B107" s="253" t="s">
        <v>505</v>
      </c>
      <c r="C107" s="563" t="s">
        <v>506</v>
      </c>
      <c r="D107" s="564">
        <f>VLOOKUP($A107,[10]Template!$A$3:$G$138,7,FALSE)</f>
        <v>0</v>
      </c>
      <c r="E107" s="618">
        <f t="shared" ref="E107:E127" si="38">ROUND($E$3*D107,0)</f>
        <v>0</v>
      </c>
      <c r="F107" s="564">
        <f>VLOOKUP(A107,[11]Stipends!$A$3:$D$131,4,FALSE)</f>
        <v>0</v>
      </c>
      <c r="G107" s="622">
        <f t="shared" ref="G107:G127" si="39">ROUND($G$3*F107,0)</f>
        <v>0</v>
      </c>
      <c r="H107" s="564"/>
      <c r="I107" s="622">
        <f t="shared" ref="I107:I127" si="40">ROUND($I$3*H107,0)</f>
        <v>0</v>
      </c>
      <c r="J107" s="622">
        <f t="shared" ref="J107:J127" si="41">G107+I107</f>
        <v>0</v>
      </c>
      <c r="K107" s="1216">
        <f>VLOOKUP($A107,'[12]4_Level 4'!$A$7:$D$137,4,FALSE)</f>
        <v>55</v>
      </c>
      <c r="L107" s="626">
        <f t="shared" si="34"/>
        <v>13255</v>
      </c>
      <c r="M107" s="627">
        <f>IFERROR(VLOOKUP($A107,[13]Allocation!$A$6:$P$93,13,FALSE),0)</f>
        <v>0</v>
      </c>
      <c r="N107" s="564">
        <f>VLOOKUP($A107,'[14]MFP by School System_MER'!$A$5:$M$208,13,FALSE)</f>
        <v>228</v>
      </c>
      <c r="O107" s="639">
        <f t="shared" ref="O107:O127" si="42">N107*$O$3</f>
        <v>13452</v>
      </c>
      <c r="P107" s="622">
        <v>0</v>
      </c>
      <c r="Q107" s="640">
        <f t="shared" ref="Q107:Q127" si="43">O107+P107</f>
        <v>13452</v>
      </c>
      <c r="R107" s="641">
        <f t="shared" ref="R107:R127" si="44">L107+J107+E107+M107+Q107</f>
        <v>26707</v>
      </c>
      <c r="T107" s="564">
        <f>VLOOKUP($A107,'[15]9-12_MER'!$B$7:$I$194,8,FALSE)</f>
        <v>167</v>
      </c>
    </row>
    <row r="108" spans="1:20" ht="15" customHeight="1" x14ac:dyDescent="0.2">
      <c r="A108" s="565" t="s">
        <v>546</v>
      </c>
      <c r="B108" s="253" t="s">
        <v>546</v>
      </c>
      <c r="C108" s="563" t="s">
        <v>547</v>
      </c>
      <c r="D108" s="564">
        <f>VLOOKUP($A108,[10]Template!$A$3:$G$138,7,FALSE)</f>
        <v>0</v>
      </c>
      <c r="E108" s="618">
        <f t="shared" si="38"/>
        <v>0</v>
      </c>
      <c r="F108" s="564">
        <f>VLOOKUP(A108,[11]Stipends!$A$3:$D$131,4,FALSE)</f>
        <v>0</v>
      </c>
      <c r="G108" s="622">
        <f t="shared" si="39"/>
        <v>0</v>
      </c>
      <c r="H108" s="564"/>
      <c r="I108" s="622">
        <f t="shared" si="40"/>
        <v>0</v>
      </c>
      <c r="J108" s="622">
        <f t="shared" si="41"/>
        <v>0</v>
      </c>
      <c r="K108" s="1216">
        <f>VLOOKUP($A108,'[12]4_Level 4'!$A$7:$D$137,4,FALSE)</f>
        <v>0</v>
      </c>
      <c r="L108" s="626">
        <f t="shared" si="34"/>
        <v>0</v>
      </c>
      <c r="M108" s="627">
        <f>IFERROR(VLOOKUP($A108,[13]Allocation!$A$6:$P$93,13,FALSE),0)</f>
        <v>0</v>
      </c>
      <c r="N108" s="564">
        <f>VLOOKUP($A108,'[14]MFP by School System_MER'!$A$5:$M$208,13,FALSE)</f>
        <v>12</v>
      </c>
      <c r="O108" s="639">
        <f t="shared" si="42"/>
        <v>708</v>
      </c>
      <c r="P108" s="622">
        <v>0</v>
      </c>
      <c r="Q108" s="640">
        <f t="shared" si="43"/>
        <v>708</v>
      </c>
      <c r="R108" s="641">
        <f t="shared" si="44"/>
        <v>708</v>
      </c>
      <c r="T108" s="564">
        <f>VLOOKUP($A108,'[15]9-12_MER'!$B$7:$I$194,8,FALSE)</f>
        <v>0</v>
      </c>
    </row>
    <row r="109" spans="1:20" ht="15" customHeight="1" x14ac:dyDescent="0.2">
      <c r="A109" s="566" t="s">
        <v>456</v>
      </c>
      <c r="B109" s="567" t="s">
        <v>293</v>
      </c>
      <c r="C109" s="568" t="s">
        <v>274</v>
      </c>
      <c r="D109" s="569">
        <f>VLOOKUP($A109,[10]Template!$A$3:$G$138,7,FALSE)</f>
        <v>0</v>
      </c>
      <c r="E109" s="619">
        <f t="shared" si="38"/>
        <v>0</v>
      </c>
      <c r="F109" s="569">
        <f>VLOOKUP(A109,[11]Stipends!$A$3:$D$131,4,FALSE)</f>
        <v>0</v>
      </c>
      <c r="G109" s="623">
        <f t="shared" si="39"/>
        <v>0</v>
      </c>
      <c r="H109" s="569"/>
      <c r="I109" s="623">
        <f t="shared" si="40"/>
        <v>0</v>
      </c>
      <c r="J109" s="623">
        <f t="shared" si="41"/>
        <v>0</v>
      </c>
      <c r="K109" s="1217">
        <f>VLOOKUP($A109,'[12]4_Level 4'!$A$7:$D$137,4,FALSE)</f>
        <v>0</v>
      </c>
      <c r="L109" s="628">
        <f t="shared" si="34"/>
        <v>0</v>
      </c>
      <c r="M109" s="629">
        <f>IFERROR(VLOOKUP($A109,[13]Allocation!$A$6:$P$93,13,FALSE),0)</f>
        <v>0</v>
      </c>
      <c r="N109" s="569">
        <f>VLOOKUP($A109,'[14]MFP by School System_MER'!$A$5:$M$208,13,FALSE)</f>
        <v>45</v>
      </c>
      <c r="O109" s="642">
        <f t="shared" si="42"/>
        <v>2655</v>
      </c>
      <c r="P109" s="623">
        <v>0</v>
      </c>
      <c r="Q109" s="643">
        <f t="shared" si="43"/>
        <v>2655</v>
      </c>
      <c r="R109" s="644">
        <f t="shared" si="44"/>
        <v>2655</v>
      </c>
      <c r="T109" s="569">
        <f>VLOOKUP($A109,'[15]9-12_MER'!$B$7:$I$194,8,FALSE)</f>
        <v>0</v>
      </c>
    </row>
    <row r="110" spans="1:20" ht="15" customHeight="1" x14ac:dyDescent="0.2">
      <c r="A110" s="559" t="s">
        <v>457</v>
      </c>
      <c r="B110" s="560" t="s">
        <v>285</v>
      </c>
      <c r="C110" s="561" t="s">
        <v>252</v>
      </c>
      <c r="D110" s="562">
        <f>VLOOKUP($A110,[10]Template!$A$3:$G$138,7,FALSE)</f>
        <v>0</v>
      </c>
      <c r="E110" s="617">
        <f t="shared" si="38"/>
        <v>0</v>
      </c>
      <c r="F110" s="562">
        <f>VLOOKUP(A110,[11]Stipends!$A$3:$D$131,4,FALSE)</f>
        <v>0</v>
      </c>
      <c r="G110" s="621">
        <f t="shared" si="39"/>
        <v>0</v>
      </c>
      <c r="H110" s="562"/>
      <c r="I110" s="621">
        <f t="shared" si="40"/>
        <v>0</v>
      </c>
      <c r="J110" s="621">
        <f t="shared" si="41"/>
        <v>0</v>
      </c>
      <c r="K110" s="1215">
        <f>VLOOKUP($A110,'[12]4_Level 4'!$A$7:$D$137,4,FALSE)</f>
        <v>9</v>
      </c>
      <c r="L110" s="630">
        <f t="shared" si="34"/>
        <v>10000</v>
      </c>
      <c r="M110" s="631">
        <f>IFERROR(VLOOKUP($A110,[13]Allocation!$A$6:$P$93,13,FALSE),0)</f>
        <v>0</v>
      </c>
      <c r="N110" s="562">
        <f>VLOOKUP($A110,'[14]MFP by School System_MER'!$A$5:$M$208,13,FALSE)</f>
        <v>210</v>
      </c>
      <c r="O110" s="636">
        <f t="shared" si="42"/>
        <v>12390</v>
      </c>
      <c r="P110" s="621">
        <v>0</v>
      </c>
      <c r="Q110" s="637">
        <f t="shared" si="43"/>
        <v>12390</v>
      </c>
      <c r="R110" s="638">
        <f t="shared" si="44"/>
        <v>22390</v>
      </c>
      <c r="T110" s="562">
        <f>VLOOKUP($A110,'[15]9-12_MER'!$B$7:$I$194,8,FALSE)</f>
        <v>140</v>
      </c>
    </row>
    <row r="111" spans="1:20" ht="15" customHeight="1" x14ac:dyDescent="0.2">
      <c r="A111" s="565" t="s">
        <v>458</v>
      </c>
      <c r="B111" s="253">
        <v>328002</v>
      </c>
      <c r="C111" s="563" t="s">
        <v>262</v>
      </c>
      <c r="D111" s="564">
        <f>VLOOKUP($A111,[10]Template!$A$3:$G$138,7,FALSE)</f>
        <v>0</v>
      </c>
      <c r="E111" s="618">
        <f t="shared" si="38"/>
        <v>0</v>
      </c>
      <c r="F111" s="564">
        <f>VLOOKUP(A111,[11]Stipends!$A$3:$D$131,4,FALSE)</f>
        <v>0</v>
      </c>
      <c r="G111" s="622">
        <f t="shared" si="39"/>
        <v>0</v>
      </c>
      <c r="H111" s="564"/>
      <c r="I111" s="622">
        <f t="shared" si="40"/>
        <v>0</v>
      </c>
      <c r="J111" s="622">
        <f t="shared" si="41"/>
        <v>0</v>
      </c>
      <c r="K111" s="1216">
        <f>VLOOKUP($A111,'[12]4_Level 4'!$A$7:$D$137,4,FALSE)</f>
        <v>178</v>
      </c>
      <c r="L111" s="626">
        <f t="shared" si="34"/>
        <v>42898</v>
      </c>
      <c r="M111" s="627">
        <f>IFERROR(VLOOKUP($A111,[13]Allocation!$A$6:$P$93,13,FALSE),0)</f>
        <v>0</v>
      </c>
      <c r="N111" s="564">
        <f>VLOOKUP($A111,'[14]MFP by School System_MER'!$A$5:$M$208,13,FALSE)</f>
        <v>453</v>
      </c>
      <c r="O111" s="639">
        <f t="shared" si="42"/>
        <v>26727</v>
      </c>
      <c r="P111" s="622">
        <v>0</v>
      </c>
      <c r="Q111" s="640">
        <f t="shared" si="43"/>
        <v>26727</v>
      </c>
      <c r="R111" s="641">
        <f t="shared" si="44"/>
        <v>69625</v>
      </c>
      <c r="T111" s="564">
        <f>VLOOKUP($A111,'[15]9-12_MER'!$B$7:$I$194,8,FALSE)</f>
        <v>505</v>
      </c>
    </row>
    <row r="112" spans="1:20" ht="15" customHeight="1" x14ac:dyDescent="0.2">
      <c r="A112" s="565" t="s">
        <v>459</v>
      </c>
      <c r="B112" s="253" t="s">
        <v>294</v>
      </c>
      <c r="C112" s="563" t="s">
        <v>263</v>
      </c>
      <c r="D112" s="564">
        <f>VLOOKUP($A112,[10]Template!$A$3:$G$138,7,FALSE)</f>
        <v>0</v>
      </c>
      <c r="E112" s="618">
        <f t="shared" si="38"/>
        <v>0</v>
      </c>
      <c r="F112" s="564">
        <f>VLOOKUP(A112,[11]Stipends!$A$3:$D$131,4,FALSE)</f>
        <v>0</v>
      </c>
      <c r="G112" s="622">
        <f t="shared" si="39"/>
        <v>0</v>
      </c>
      <c r="H112" s="564"/>
      <c r="I112" s="622">
        <f t="shared" si="40"/>
        <v>0</v>
      </c>
      <c r="J112" s="622">
        <f t="shared" si="41"/>
        <v>0</v>
      </c>
      <c r="K112" s="1216">
        <f>VLOOKUP($A112,'[12]4_Level 4'!$A$7:$D$137,4,FALSE)</f>
        <v>14</v>
      </c>
      <c r="L112" s="626">
        <f t="shared" si="34"/>
        <v>10000</v>
      </c>
      <c r="M112" s="627">
        <f>IFERROR(VLOOKUP($A112,[13]Allocation!$A$6:$P$93,13,FALSE),0)</f>
        <v>0</v>
      </c>
      <c r="N112" s="564">
        <f>VLOOKUP($A112,'[14]MFP by School System_MER'!$A$5:$M$208,13,FALSE)</f>
        <v>84</v>
      </c>
      <c r="O112" s="639">
        <f t="shared" si="42"/>
        <v>4956</v>
      </c>
      <c r="P112" s="622">
        <v>0</v>
      </c>
      <c r="Q112" s="640">
        <f t="shared" si="43"/>
        <v>4956</v>
      </c>
      <c r="R112" s="641">
        <f t="shared" si="44"/>
        <v>14956</v>
      </c>
      <c r="T112" s="564">
        <f>VLOOKUP($A112,'[15]9-12_MER'!$B$7:$I$194,8,FALSE)</f>
        <v>48</v>
      </c>
    </row>
    <row r="113" spans="1:20" ht="15" customHeight="1" x14ac:dyDescent="0.2">
      <c r="A113" s="565" t="s">
        <v>460</v>
      </c>
      <c r="B113" s="253" t="s">
        <v>295</v>
      </c>
      <c r="C113" s="563" t="s">
        <v>264</v>
      </c>
      <c r="D113" s="564">
        <f>VLOOKUP($A113,[10]Template!$A$3:$G$138,7,FALSE)</f>
        <v>0</v>
      </c>
      <c r="E113" s="618">
        <f t="shared" si="38"/>
        <v>0</v>
      </c>
      <c r="F113" s="564">
        <f>VLOOKUP(A113,[11]Stipends!$A$3:$D$131,4,FALSE)</f>
        <v>0</v>
      </c>
      <c r="G113" s="622">
        <f t="shared" si="39"/>
        <v>0</v>
      </c>
      <c r="H113" s="564"/>
      <c r="I113" s="622">
        <f t="shared" si="40"/>
        <v>0</v>
      </c>
      <c r="J113" s="622">
        <f t="shared" si="41"/>
        <v>0</v>
      </c>
      <c r="K113" s="1216">
        <f>VLOOKUP($A113,'[12]4_Level 4'!$A$7:$D$137,4,FALSE)</f>
        <v>0</v>
      </c>
      <c r="L113" s="626">
        <f t="shared" si="34"/>
        <v>0</v>
      </c>
      <c r="M113" s="627">
        <f>IFERROR(VLOOKUP($A113,[13]Allocation!$A$6:$P$93,13,FALSE),0)</f>
        <v>0</v>
      </c>
      <c r="N113" s="564">
        <f>VLOOKUP($A113,'[14]MFP by School System_MER'!$A$5:$M$208,13,FALSE)</f>
        <v>190</v>
      </c>
      <c r="O113" s="639">
        <f t="shared" si="42"/>
        <v>11210</v>
      </c>
      <c r="P113" s="622">
        <v>0</v>
      </c>
      <c r="Q113" s="640">
        <f t="shared" si="43"/>
        <v>11210</v>
      </c>
      <c r="R113" s="641">
        <f t="shared" si="44"/>
        <v>11210</v>
      </c>
      <c r="T113" s="564">
        <f>VLOOKUP($A113,'[15]9-12_MER'!$B$7:$I$194,8,FALSE)</f>
        <v>0</v>
      </c>
    </row>
    <row r="114" spans="1:20" ht="15" customHeight="1" x14ac:dyDescent="0.2">
      <c r="A114" s="566" t="s">
        <v>461</v>
      </c>
      <c r="B114" s="567" t="s">
        <v>286</v>
      </c>
      <c r="C114" s="568" t="s">
        <v>251</v>
      </c>
      <c r="D114" s="569">
        <f>VLOOKUP($A114,[10]Template!$A$3:$G$138,7,FALSE)</f>
        <v>0</v>
      </c>
      <c r="E114" s="619">
        <f t="shared" si="38"/>
        <v>0</v>
      </c>
      <c r="F114" s="569">
        <f>VLOOKUP(A114,[11]Stipends!$A$3:$D$131,4,FALSE)</f>
        <v>0</v>
      </c>
      <c r="G114" s="623">
        <f t="shared" si="39"/>
        <v>0</v>
      </c>
      <c r="H114" s="569"/>
      <c r="I114" s="623">
        <f t="shared" si="40"/>
        <v>0</v>
      </c>
      <c r="J114" s="623">
        <f t="shared" si="41"/>
        <v>0</v>
      </c>
      <c r="K114" s="1217">
        <f>VLOOKUP($A114,'[12]4_Level 4'!$A$7:$D$137,4,FALSE)</f>
        <v>0</v>
      </c>
      <c r="L114" s="628">
        <f t="shared" si="34"/>
        <v>0</v>
      </c>
      <c r="M114" s="629">
        <f>IFERROR(VLOOKUP($A114,[13]Allocation!$A$6:$P$93,13,FALSE),0)</f>
        <v>0</v>
      </c>
      <c r="N114" s="569">
        <f>VLOOKUP($A114,'[14]MFP by School System_MER'!$A$5:$M$208,13,FALSE)</f>
        <v>41</v>
      </c>
      <c r="O114" s="642">
        <f t="shared" si="42"/>
        <v>2419</v>
      </c>
      <c r="P114" s="623">
        <v>0</v>
      </c>
      <c r="Q114" s="643">
        <f t="shared" si="43"/>
        <v>2419</v>
      </c>
      <c r="R114" s="644">
        <f t="shared" si="44"/>
        <v>2419</v>
      </c>
      <c r="T114" s="569">
        <f>VLOOKUP($A114,'[15]9-12_MER'!$B$7:$I$194,8,FALSE)</f>
        <v>0</v>
      </c>
    </row>
    <row r="115" spans="1:20" ht="15" customHeight="1" x14ac:dyDescent="0.2">
      <c r="A115" s="559" t="s">
        <v>462</v>
      </c>
      <c r="B115" s="560" t="s">
        <v>296</v>
      </c>
      <c r="C115" s="561" t="s">
        <v>265</v>
      </c>
      <c r="D115" s="562">
        <f>VLOOKUP($A115,[10]Template!$A$3:$G$138,7,FALSE)</f>
        <v>0</v>
      </c>
      <c r="E115" s="617">
        <f t="shared" si="38"/>
        <v>0</v>
      </c>
      <c r="F115" s="562">
        <f>VLOOKUP(A115,[11]Stipends!$A$3:$D$131,4,FALSE)</f>
        <v>0</v>
      </c>
      <c r="G115" s="621">
        <f t="shared" si="39"/>
        <v>0</v>
      </c>
      <c r="H115" s="562"/>
      <c r="I115" s="621">
        <f t="shared" si="40"/>
        <v>0</v>
      </c>
      <c r="J115" s="621">
        <f t="shared" si="41"/>
        <v>0</v>
      </c>
      <c r="K115" s="1215">
        <f>VLOOKUP($A115,'[12]4_Level 4'!$A$7:$D$137,4,FALSE)</f>
        <v>0</v>
      </c>
      <c r="L115" s="630">
        <f t="shared" si="34"/>
        <v>0</v>
      </c>
      <c r="M115" s="631">
        <f>IFERROR(VLOOKUP($A115,[13]Allocation!$A$6:$P$93,13,FALSE),0)</f>
        <v>0</v>
      </c>
      <c r="N115" s="562">
        <f>VLOOKUP($A115,'[14]MFP by School System_MER'!$A$5:$M$208,13,FALSE)</f>
        <v>196</v>
      </c>
      <c r="O115" s="636">
        <f t="shared" si="42"/>
        <v>11564</v>
      </c>
      <c r="P115" s="621">
        <v>0</v>
      </c>
      <c r="Q115" s="637">
        <f t="shared" si="43"/>
        <v>11564</v>
      </c>
      <c r="R115" s="638">
        <f t="shared" si="44"/>
        <v>11564</v>
      </c>
      <c r="T115" s="562">
        <f>VLOOKUP($A115,'[15]9-12_MER'!$B$7:$I$194,8,FALSE)</f>
        <v>0</v>
      </c>
    </row>
    <row r="116" spans="1:20" ht="15" customHeight="1" x14ac:dyDescent="0.2">
      <c r="A116" s="565" t="s">
        <v>463</v>
      </c>
      <c r="B116" s="253" t="s">
        <v>291</v>
      </c>
      <c r="C116" s="563" t="s">
        <v>260</v>
      </c>
      <c r="D116" s="564">
        <f>VLOOKUP($A116,[10]Template!$A$3:$G$138,7,FALSE)</f>
        <v>0</v>
      </c>
      <c r="E116" s="618">
        <f t="shared" si="38"/>
        <v>0</v>
      </c>
      <c r="F116" s="564">
        <f>VLOOKUP(A116,[11]Stipends!$A$3:$D$131,4,FALSE)</f>
        <v>0</v>
      </c>
      <c r="G116" s="622">
        <f t="shared" si="39"/>
        <v>0</v>
      </c>
      <c r="H116" s="564"/>
      <c r="I116" s="622">
        <f t="shared" si="40"/>
        <v>0</v>
      </c>
      <c r="J116" s="622">
        <f t="shared" si="41"/>
        <v>0</v>
      </c>
      <c r="K116" s="1216">
        <f>VLOOKUP($A116,'[12]4_Level 4'!$A$7:$D$137,4,FALSE)</f>
        <v>16</v>
      </c>
      <c r="L116" s="626">
        <f t="shared" si="34"/>
        <v>3856</v>
      </c>
      <c r="M116" s="627">
        <f>IFERROR(VLOOKUP($A116,[13]Allocation!$A$6:$P$93,13,FALSE),0)</f>
        <v>0</v>
      </c>
      <c r="N116" s="564">
        <f>VLOOKUP($A116,'[14]MFP by School System_MER'!$A$5:$M$208,13,FALSE)</f>
        <v>27</v>
      </c>
      <c r="O116" s="639">
        <f t="shared" si="42"/>
        <v>1593</v>
      </c>
      <c r="P116" s="622">
        <v>0</v>
      </c>
      <c r="Q116" s="640">
        <f t="shared" si="43"/>
        <v>1593</v>
      </c>
      <c r="R116" s="641">
        <f t="shared" si="44"/>
        <v>5449</v>
      </c>
      <c r="T116" s="564">
        <f>VLOOKUP($A116,'[15]9-12_MER'!$B$7:$I$194,8,FALSE)</f>
        <v>0</v>
      </c>
    </row>
    <row r="117" spans="1:20" ht="15" customHeight="1" x14ac:dyDescent="0.2">
      <c r="A117" s="565" t="s">
        <v>464</v>
      </c>
      <c r="B117" s="253">
        <v>343002</v>
      </c>
      <c r="C117" s="563" t="s">
        <v>333</v>
      </c>
      <c r="D117" s="564">
        <f>VLOOKUP($A117,[10]Template!$A$3:$G$138,7,FALSE)</f>
        <v>0</v>
      </c>
      <c r="E117" s="618">
        <f t="shared" si="38"/>
        <v>0</v>
      </c>
      <c r="F117" s="564">
        <f>VLOOKUP(A117,[11]Stipends!$A$3:$D$131,4,FALSE)</f>
        <v>0</v>
      </c>
      <c r="G117" s="622">
        <f t="shared" si="39"/>
        <v>0</v>
      </c>
      <c r="H117" s="564"/>
      <c r="I117" s="622">
        <f t="shared" si="40"/>
        <v>0</v>
      </c>
      <c r="J117" s="622">
        <f t="shared" si="41"/>
        <v>0</v>
      </c>
      <c r="K117" s="1216">
        <f>VLOOKUP($A117,'[12]4_Level 4'!$A$7:$D$137,4,FALSE)</f>
        <v>36</v>
      </c>
      <c r="L117" s="626">
        <f t="shared" si="34"/>
        <v>10000</v>
      </c>
      <c r="M117" s="627">
        <f>IFERROR(VLOOKUP($A117,[13]Allocation!$A$6:$P$93,13,FALSE),0)</f>
        <v>0</v>
      </c>
      <c r="N117" s="564">
        <f>VLOOKUP($A117,'[14]MFP by School System_MER'!$A$5:$M$208,13,FALSE)</f>
        <v>1061</v>
      </c>
      <c r="O117" s="639">
        <f t="shared" si="42"/>
        <v>62599</v>
      </c>
      <c r="P117" s="622">
        <v>0</v>
      </c>
      <c r="Q117" s="640">
        <f t="shared" si="43"/>
        <v>62599</v>
      </c>
      <c r="R117" s="641">
        <f t="shared" si="44"/>
        <v>72599</v>
      </c>
      <c r="T117" s="564">
        <f>VLOOKUP($A117,'[15]9-12_MER'!$B$7:$I$194,8,FALSE)</f>
        <v>670</v>
      </c>
    </row>
    <row r="118" spans="1:20" ht="15" customHeight="1" x14ac:dyDescent="0.2">
      <c r="A118" s="565" t="s">
        <v>465</v>
      </c>
      <c r="B118" s="253">
        <v>328001</v>
      </c>
      <c r="C118" s="563" t="s">
        <v>254</v>
      </c>
      <c r="D118" s="564">
        <f>VLOOKUP($A118,[10]Template!$A$3:$G$138,7,FALSE)</f>
        <v>0</v>
      </c>
      <c r="E118" s="618">
        <f t="shared" si="38"/>
        <v>0</v>
      </c>
      <c r="F118" s="564">
        <f>VLOOKUP(A118,[11]Stipends!$A$3:$D$131,4,FALSE)</f>
        <v>0</v>
      </c>
      <c r="G118" s="622">
        <f t="shared" si="39"/>
        <v>0</v>
      </c>
      <c r="H118" s="564"/>
      <c r="I118" s="622">
        <f t="shared" si="40"/>
        <v>0</v>
      </c>
      <c r="J118" s="622">
        <f t="shared" si="41"/>
        <v>0</v>
      </c>
      <c r="K118" s="1216">
        <f>VLOOKUP($A118,'[12]4_Level 4'!$A$7:$D$137,4,FALSE)</f>
        <v>0</v>
      </c>
      <c r="L118" s="626">
        <f t="shared" si="34"/>
        <v>0</v>
      </c>
      <c r="M118" s="627">
        <f>IFERROR(VLOOKUP($A118,[13]Allocation!$A$6:$P$93,13,FALSE),0)</f>
        <v>0</v>
      </c>
      <c r="N118" s="564">
        <f>VLOOKUP($A118,'[14]MFP by School System_MER'!$A$5:$M$208,13,FALSE)</f>
        <v>157</v>
      </c>
      <c r="O118" s="639">
        <f t="shared" si="42"/>
        <v>9263</v>
      </c>
      <c r="P118" s="622">
        <v>0</v>
      </c>
      <c r="Q118" s="640">
        <f t="shared" si="43"/>
        <v>9263</v>
      </c>
      <c r="R118" s="641">
        <f t="shared" si="44"/>
        <v>9263</v>
      </c>
      <c r="T118" s="564">
        <f>VLOOKUP($A118,'[15]9-12_MER'!$B$7:$I$194,8,FALSE)</f>
        <v>0</v>
      </c>
    </row>
    <row r="119" spans="1:20" ht="15" customHeight="1" x14ac:dyDescent="0.2">
      <c r="A119" s="566" t="s">
        <v>466</v>
      </c>
      <c r="B119" s="567">
        <v>349001</v>
      </c>
      <c r="C119" s="568" t="s">
        <v>259</v>
      </c>
      <c r="D119" s="569">
        <f>VLOOKUP($A119,[10]Template!$A$3:$G$138,7,FALSE)</f>
        <v>0</v>
      </c>
      <c r="E119" s="619">
        <f t="shared" si="38"/>
        <v>0</v>
      </c>
      <c r="F119" s="569">
        <f>VLOOKUP(A119,[11]Stipends!$A$3:$D$131,4,FALSE)</f>
        <v>0</v>
      </c>
      <c r="G119" s="623">
        <f t="shared" si="39"/>
        <v>0</v>
      </c>
      <c r="H119" s="569"/>
      <c r="I119" s="623">
        <f t="shared" si="40"/>
        <v>0</v>
      </c>
      <c r="J119" s="623">
        <f t="shared" si="41"/>
        <v>0</v>
      </c>
      <c r="K119" s="1217">
        <f>VLOOKUP($A119,'[12]4_Level 4'!$A$7:$D$137,4,FALSE)</f>
        <v>148</v>
      </c>
      <c r="L119" s="628">
        <f t="shared" si="34"/>
        <v>35668</v>
      </c>
      <c r="M119" s="629">
        <f>IFERROR(VLOOKUP($A119,[13]Allocation!$A$6:$P$93,13,FALSE),0)</f>
        <v>0</v>
      </c>
      <c r="N119" s="569">
        <f>VLOOKUP($A119,'[14]MFP by School System_MER'!$A$5:$M$208,13,FALSE)</f>
        <v>186</v>
      </c>
      <c r="O119" s="642">
        <f t="shared" si="42"/>
        <v>10974</v>
      </c>
      <c r="P119" s="623">
        <v>0</v>
      </c>
      <c r="Q119" s="643">
        <f t="shared" si="43"/>
        <v>10974</v>
      </c>
      <c r="R119" s="644">
        <f t="shared" si="44"/>
        <v>46642</v>
      </c>
      <c r="T119" s="569">
        <f>VLOOKUP($A119,'[15]9-12_MER'!$B$7:$I$194,8,FALSE)</f>
        <v>120</v>
      </c>
    </row>
    <row r="120" spans="1:20" ht="15" customHeight="1" x14ac:dyDescent="0.2">
      <c r="A120" s="559" t="s">
        <v>474</v>
      </c>
      <c r="B120" s="560" t="s">
        <v>300</v>
      </c>
      <c r="C120" s="561" t="s">
        <v>354</v>
      </c>
      <c r="D120" s="562">
        <f>VLOOKUP($A120,[10]Template!$A$3:$G$138,7,FALSE)</f>
        <v>0</v>
      </c>
      <c r="E120" s="617">
        <f t="shared" si="38"/>
        <v>0</v>
      </c>
      <c r="F120" s="562">
        <f>VLOOKUP(A120,[11]Stipends!$A$3:$D$131,4,FALSE)</f>
        <v>0</v>
      </c>
      <c r="G120" s="621">
        <f t="shared" si="39"/>
        <v>0</v>
      </c>
      <c r="H120" s="562"/>
      <c r="I120" s="621">
        <f t="shared" si="40"/>
        <v>0</v>
      </c>
      <c r="J120" s="621">
        <f t="shared" si="41"/>
        <v>0</v>
      </c>
      <c r="K120" s="1215">
        <f>VLOOKUP($A120,'[12]4_Level 4'!$A$7:$D$137,4,FALSE)</f>
        <v>0</v>
      </c>
      <c r="L120" s="630">
        <f t="shared" si="34"/>
        <v>0</v>
      </c>
      <c r="M120" s="631">
        <f>IFERROR(VLOOKUP($A120,[13]Allocation!$A$6:$P$93,13,FALSE),0)</f>
        <v>0</v>
      </c>
      <c r="N120" s="562">
        <f>VLOOKUP($A120,'[14]MFP by School System_MER'!$A$5:$M$208,13,FALSE)</f>
        <v>0</v>
      </c>
      <c r="O120" s="636">
        <f t="shared" si="42"/>
        <v>0</v>
      </c>
      <c r="P120" s="621">
        <v>0</v>
      </c>
      <c r="Q120" s="637">
        <f t="shared" si="43"/>
        <v>0</v>
      </c>
      <c r="R120" s="638">
        <f t="shared" si="44"/>
        <v>0</v>
      </c>
      <c r="T120" s="562">
        <f>VLOOKUP($A120,'[15]9-12_MER'!$B$7:$I$194,8,FALSE)</f>
        <v>0</v>
      </c>
    </row>
    <row r="121" spans="1:20" ht="15" customHeight="1" x14ac:dyDescent="0.2">
      <c r="A121" s="565" t="s">
        <v>371</v>
      </c>
      <c r="B121" s="253" t="s">
        <v>371</v>
      </c>
      <c r="C121" s="563" t="s">
        <v>476</v>
      </c>
      <c r="D121" s="564">
        <f>VLOOKUP($A121,[10]Template!$A$3:$G$138,7,FALSE)</f>
        <v>0</v>
      </c>
      <c r="E121" s="618">
        <f t="shared" si="38"/>
        <v>0</v>
      </c>
      <c r="F121" s="564">
        <f>VLOOKUP(A121,[11]Stipends!$A$3:$D$131,4,FALSE)</f>
        <v>0</v>
      </c>
      <c r="G121" s="622">
        <f t="shared" si="39"/>
        <v>0</v>
      </c>
      <c r="H121" s="564"/>
      <c r="I121" s="622">
        <f t="shared" si="40"/>
        <v>0</v>
      </c>
      <c r="J121" s="622">
        <f t="shared" si="41"/>
        <v>0</v>
      </c>
      <c r="K121" s="1216">
        <f>VLOOKUP($A121,'[12]4_Level 4'!$A$7:$D$137,4,FALSE)</f>
        <v>0</v>
      </c>
      <c r="L121" s="626">
        <f t="shared" si="34"/>
        <v>0</v>
      </c>
      <c r="M121" s="627">
        <f>IFERROR(VLOOKUP($A121,[13]Allocation!$A$6:$P$93,13,FALSE),0)</f>
        <v>0</v>
      </c>
      <c r="N121" s="564">
        <f>VLOOKUP($A121,'[14]MFP by School System_MER'!$A$5:$M$208,13,FALSE)</f>
        <v>0</v>
      </c>
      <c r="O121" s="639">
        <f t="shared" si="42"/>
        <v>0</v>
      </c>
      <c r="P121" s="622">
        <v>0</v>
      </c>
      <c r="Q121" s="640">
        <f t="shared" si="43"/>
        <v>0</v>
      </c>
      <c r="R121" s="641">
        <f t="shared" si="44"/>
        <v>0</v>
      </c>
      <c r="T121" s="564">
        <f>VLOOKUP($A121,'[15]9-12_MER'!$B$7:$I$194,8,FALSE)</f>
        <v>0</v>
      </c>
    </row>
    <row r="122" spans="1:20" ht="15" customHeight="1" x14ac:dyDescent="0.2">
      <c r="A122" s="565" t="s">
        <v>913</v>
      </c>
      <c r="B122" s="253" t="s">
        <v>913</v>
      </c>
      <c r="C122" s="563" t="s">
        <v>910</v>
      </c>
      <c r="D122" s="564">
        <f>VLOOKUP($A122,[10]Template!$A$3:$G$138,7,FALSE)</f>
        <v>0</v>
      </c>
      <c r="E122" s="618">
        <f t="shared" si="38"/>
        <v>0</v>
      </c>
      <c r="F122" s="564">
        <f>VLOOKUP(A122,[11]Stipends!$A$3:$D$131,4,FALSE)</f>
        <v>0</v>
      </c>
      <c r="G122" s="622">
        <f t="shared" si="39"/>
        <v>0</v>
      </c>
      <c r="H122" s="564"/>
      <c r="I122" s="622">
        <f t="shared" si="40"/>
        <v>0</v>
      </c>
      <c r="J122" s="622">
        <f t="shared" si="41"/>
        <v>0</v>
      </c>
      <c r="K122" s="1216">
        <f>VLOOKUP($A122,'[12]4_Level 4'!$A$7:$D$137,4,FALSE)</f>
        <v>41</v>
      </c>
      <c r="L122" s="626">
        <f t="shared" si="34"/>
        <v>10000</v>
      </c>
      <c r="M122" s="627">
        <f>IFERROR(VLOOKUP($A122,[13]Allocation!$A$6:$P$93,13,FALSE),0)</f>
        <v>0</v>
      </c>
      <c r="N122" s="564">
        <f>VLOOKUP($A122,'[14]MFP by School System_MER'!$A$5:$M$208,13,FALSE)</f>
        <v>45</v>
      </c>
      <c r="O122" s="639">
        <f t="shared" si="42"/>
        <v>2655</v>
      </c>
      <c r="P122" s="622">
        <v>0</v>
      </c>
      <c r="Q122" s="640">
        <f t="shared" si="43"/>
        <v>2655</v>
      </c>
      <c r="R122" s="641">
        <f t="shared" si="44"/>
        <v>12655</v>
      </c>
      <c r="T122" s="564">
        <f>VLOOKUP($A122,'[15]9-12_MER'!$B$7:$I$194,8,FALSE)</f>
        <v>102</v>
      </c>
    </row>
    <row r="123" spans="1:20" ht="15" customHeight="1" x14ac:dyDescent="0.2">
      <c r="A123" s="565" t="s">
        <v>915</v>
      </c>
      <c r="B123" s="253" t="s">
        <v>915</v>
      </c>
      <c r="C123" s="563" t="s">
        <v>1215</v>
      </c>
      <c r="D123" s="564">
        <f>VLOOKUP($A123,[10]Template!$A$3:$G$138,7,FALSE)</f>
        <v>0</v>
      </c>
      <c r="E123" s="618">
        <f t="shared" si="38"/>
        <v>0</v>
      </c>
      <c r="F123" s="564">
        <f>VLOOKUP(A123,[11]Stipends!$A$3:$D$131,4,FALSE)</f>
        <v>0</v>
      </c>
      <c r="G123" s="622">
        <f t="shared" si="39"/>
        <v>0</v>
      </c>
      <c r="H123" s="564"/>
      <c r="I123" s="622">
        <f t="shared" si="40"/>
        <v>0</v>
      </c>
      <c r="J123" s="622">
        <f t="shared" si="41"/>
        <v>0</v>
      </c>
      <c r="K123" s="1216">
        <f>VLOOKUP($A123,'[12]4_Level 4'!$A$7:$D$137,4,FALSE)</f>
        <v>0</v>
      </c>
      <c r="L123" s="626">
        <f t="shared" si="34"/>
        <v>0</v>
      </c>
      <c r="M123" s="627">
        <f>IFERROR(VLOOKUP($A123,[13]Allocation!$A$6:$P$93,13,FALSE),0)</f>
        <v>51145</v>
      </c>
      <c r="N123" s="564">
        <f>VLOOKUP($A123,'[14]MFP by School System_MER'!$A$5:$M$208,13,FALSE)</f>
        <v>0</v>
      </c>
      <c r="O123" s="639">
        <f t="shared" si="42"/>
        <v>0</v>
      </c>
      <c r="P123" s="622">
        <v>0</v>
      </c>
      <c r="Q123" s="640">
        <f t="shared" si="43"/>
        <v>0</v>
      </c>
      <c r="R123" s="641">
        <f t="shared" si="44"/>
        <v>51145</v>
      </c>
      <c r="T123" s="564">
        <f>VLOOKUP($A123,'[15]9-12_MER'!$B$7:$I$194,8,FALSE)</f>
        <v>0</v>
      </c>
    </row>
    <row r="124" spans="1:20" ht="15" customHeight="1" x14ac:dyDescent="0.2">
      <c r="A124" s="566" t="s">
        <v>1377</v>
      </c>
      <c r="B124" s="567" t="s">
        <v>1377</v>
      </c>
      <c r="C124" s="568" t="s">
        <v>1378</v>
      </c>
      <c r="D124" s="569">
        <v>0</v>
      </c>
      <c r="E124" s="619">
        <f t="shared" si="38"/>
        <v>0</v>
      </c>
      <c r="F124" s="569">
        <f>VLOOKUP(A124,[11]Stipends!$A$3:$D$131,4,FALSE)</f>
        <v>0</v>
      </c>
      <c r="G124" s="623">
        <f t="shared" si="39"/>
        <v>0</v>
      </c>
      <c r="H124" s="569"/>
      <c r="I124" s="623">
        <f t="shared" si="40"/>
        <v>0</v>
      </c>
      <c r="J124" s="623">
        <f t="shared" si="41"/>
        <v>0</v>
      </c>
      <c r="K124" s="1217">
        <f>VLOOKUP($A124,'[12]4_Level 4'!$A$7:$D$137,4,FALSE)</f>
        <v>13</v>
      </c>
      <c r="L124" s="628">
        <f t="shared" si="34"/>
        <v>10000</v>
      </c>
      <c r="M124" s="629">
        <f>IFERROR(VLOOKUP($A124,[13]Allocation!$A$6:$P$93,13,FALSE),0)</f>
        <v>0</v>
      </c>
      <c r="N124" s="569">
        <v>0</v>
      </c>
      <c r="O124" s="642">
        <f t="shared" si="42"/>
        <v>0</v>
      </c>
      <c r="P124" s="623">
        <v>0</v>
      </c>
      <c r="Q124" s="643">
        <f t="shared" si="43"/>
        <v>0</v>
      </c>
      <c r="R124" s="644">
        <f t="shared" si="44"/>
        <v>10000</v>
      </c>
      <c r="T124" s="569">
        <f>VLOOKUP($A124,'[15]9-12_MER'!$B$7:$I$194,8,FALSE)</f>
        <v>96</v>
      </c>
    </row>
    <row r="125" spans="1:20" ht="15" customHeight="1" x14ac:dyDescent="0.2">
      <c r="A125" s="559" t="s">
        <v>1379</v>
      </c>
      <c r="B125" s="560" t="s">
        <v>1379</v>
      </c>
      <c r="C125" s="561" t="s">
        <v>1380</v>
      </c>
      <c r="D125" s="562">
        <v>0</v>
      </c>
      <c r="E125" s="617">
        <f t="shared" si="38"/>
        <v>0</v>
      </c>
      <c r="F125" s="562">
        <f>VLOOKUP(A125,[11]Stipends!$A$3:$D$131,4,FALSE)</f>
        <v>0</v>
      </c>
      <c r="G125" s="621">
        <f t="shared" si="39"/>
        <v>0</v>
      </c>
      <c r="H125" s="562"/>
      <c r="I125" s="621">
        <f t="shared" si="40"/>
        <v>0</v>
      </c>
      <c r="J125" s="621">
        <f t="shared" si="41"/>
        <v>0</v>
      </c>
      <c r="K125" s="1215">
        <f>VLOOKUP($A125,'[12]4_Level 4'!$A$7:$D$137,4,FALSE)</f>
        <v>0</v>
      </c>
      <c r="L125" s="630">
        <f t="shared" si="34"/>
        <v>0</v>
      </c>
      <c r="M125" s="631">
        <f>IFERROR(VLOOKUP($A125,[13]Allocation!$A$6:$P$93,13,FALSE),0)</f>
        <v>0</v>
      </c>
      <c r="N125" s="562">
        <v>0</v>
      </c>
      <c r="O125" s="636">
        <f t="shared" si="42"/>
        <v>0</v>
      </c>
      <c r="P125" s="621">
        <v>0</v>
      </c>
      <c r="Q125" s="637">
        <f t="shared" si="43"/>
        <v>0</v>
      </c>
      <c r="R125" s="638">
        <f t="shared" si="44"/>
        <v>0</v>
      </c>
      <c r="T125" s="562">
        <f>VLOOKUP($A125,'[15]9-12_MER'!$B$7:$I$194,8,FALSE)</f>
        <v>0</v>
      </c>
    </row>
    <row r="126" spans="1:20" ht="15" customHeight="1" x14ac:dyDescent="0.2">
      <c r="A126" s="565" t="s">
        <v>698</v>
      </c>
      <c r="B126" s="253" t="s">
        <v>698</v>
      </c>
      <c r="C126" s="563" t="s">
        <v>892</v>
      </c>
      <c r="D126" s="564">
        <f>VLOOKUP($A126,[10]Template!$A$3:$G$138,7,FALSE)</f>
        <v>0</v>
      </c>
      <c r="E126" s="618">
        <f t="shared" si="38"/>
        <v>0</v>
      </c>
      <c r="F126" s="564">
        <f>VLOOKUP(A126,[11]Stipends!$A$3:$D$131,4,FALSE)</f>
        <v>0</v>
      </c>
      <c r="G126" s="622">
        <f t="shared" si="39"/>
        <v>0</v>
      </c>
      <c r="H126" s="564"/>
      <c r="I126" s="622">
        <f t="shared" si="40"/>
        <v>0</v>
      </c>
      <c r="J126" s="622">
        <f t="shared" si="41"/>
        <v>0</v>
      </c>
      <c r="K126" s="1216">
        <f>VLOOKUP($A126,'[12]4_Level 4'!$A$7:$D$137,4,FALSE)</f>
        <v>229</v>
      </c>
      <c r="L126" s="626">
        <f t="shared" si="34"/>
        <v>55189</v>
      </c>
      <c r="M126" s="627">
        <f>IFERROR(VLOOKUP($A126,[13]Allocation!$A$6:$P$93,13,FALSE),0)</f>
        <v>91853</v>
      </c>
      <c r="N126" s="564">
        <f>VLOOKUP($A126,'[14]MFP by School System_MER'!$A$5:$M$208,13,FALSE)</f>
        <v>251</v>
      </c>
      <c r="O126" s="639">
        <f t="shared" si="42"/>
        <v>14809</v>
      </c>
      <c r="P126" s="622">
        <v>0</v>
      </c>
      <c r="Q126" s="640">
        <f t="shared" si="43"/>
        <v>14809</v>
      </c>
      <c r="R126" s="641">
        <f t="shared" si="44"/>
        <v>161851</v>
      </c>
      <c r="T126" s="564">
        <f>VLOOKUP($A126,'[15]9-12_MER'!$B$7:$I$194,8,FALSE)</f>
        <v>419</v>
      </c>
    </row>
    <row r="127" spans="1:20" ht="15" customHeight="1" x14ac:dyDescent="0.2">
      <c r="A127" s="565" t="s">
        <v>699</v>
      </c>
      <c r="B127" s="253" t="s">
        <v>455</v>
      </c>
      <c r="C127" s="563" t="s">
        <v>1116</v>
      </c>
      <c r="D127" s="564">
        <f>VLOOKUP($A127,[10]Template!$A$3:$G$138,7,FALSE)</f>
        <v>0</v>
      </c>
      <c r="E127" s="618">
        <f t="shared" si="38"/>
        <v>0</v>
      </c>
      <c r="F127" s="564">
        <f>VLOOKUP(A127,[11]Stipends!$A$3:$D$131,4,FALSE)</f>
        <v>0</v>
      </c>
      <c r="G127" s="622">
        <f t="shared" si="39"/>
        <v>0</v>
      </c>
      <c r="H127" s="564"/>
      <c r="I127" s="622">
        <f t="shared" si="40"/>
        <v>0</v>
      </c>
      <c r="J127" s="622">
        <f t="shared" si="41"/>
        <v>0</v>
      </c>
      <c r="K127" s="1216">
        <f>VLOOKUP($A127,'[12]4_Level 4'!$A$7:$D$137,4,FALSE)</f>
        <v>0</v>
      </c>
      <c r="L127" s="626">
        <f t="shared" si="34"/>
        <v>0</v>
      </c>
      <c r="M127" s="627">
        <f>IFERROR(VLOOKUP($A127,[13]Allocation!$A$6:$P$93,13,FALSE),0)</f>
        <v>0</v>
      </c>
      <c r="N127" s="564">
        <f>VLOOKUP($A127,'[14]MFP by School System_MER'!$A$5:$M$208,13,FALSE)</f>
        <v>108</v>
      </c>
      <c r="O127" s="639">
        <f t="shared" si="42"/>
        <v>6372</v>
      </c>
      <c r="P127" s="622">
        <v>0</v>
      </c>
      <c r="Q127" s="640">
        <f t="shared" si="43"/>
        <v>6372</v>
      </c>
      <c r="R127" s="641">
        <f t="shared" si="44"/>
        <v>6372</v>
      </c>
      <c r="T127" s="564">
        <f>VLOOKUP($A127,'[15]9-12_MER'!$B$7:$I$194,8,FALSE)</f>
        <v>0</v>
      </c>
    </row>
    <row r="128" spans="1:20" ht="15" customHeight="1" thickBot="1" x14ac:dyDescent="0.25">
      <c r="A128" s="579"/>
      <c r="B128" s="580"/>
      <c r="C128" s="581" t="s">
        <v>339</v>
      </c>
      <c r="D128" s="582">
        <f t="shared" ref="D128:R128" si="45">SUM(D95:D127)</f>
        <v>36</v>
      </c>
      <c r="E128" s="620">
        <f t="shared" si="45"/>
        <v>756000</v>
      </c>
      <c r="F128" s="582">
        <f t="shared" si="45"/>
        <v>15</v>
      </c>
      <c r="G128" s="625">
        <f t="shared" si="45"/>
        <v>90000</v>
      </c>
      <c r="H128" s="582">
        <f t="shared" si="45"/>
        <v>0</v>
      </c>
      <c r="I128" s="625">
        <f t="shared" si="45"/>
        <v>0</v>
      </c>
      <c r="J128" s="625">
        <f t="shared" si="45"/>
        <v>90000</v>
      </c>
      <c r="K128" s="1219">
        <f t="shared" si="45"/>
        <v>1739</v>
      </c>
      <c r="L128" s="634">
        <f>SUM(L95:L127)</f>
        <v>471866</v>
      </c>
      <c r="M128" s="635">
        <f t="shared" si="45"/>
        <v>440652</v>
      </c>
      <c r="N128" s="582">
        <f t="shared" si="45"/>
        <v>8384</v>
      </c>
      <c r="O128" s="648">
        <f t="shared" si="45"/>
        <v>494656</v>
      </c>
      <c r="P128" s="625">
        <f t="shared" si="45"/>
        <v>0</v>
      </c>
      <c r="Q128" s="649">
        <f t="shared" si="45"/>
        <v>494656</v>
      </c>
      <c r="R128" s="650">
        <f t="shared" si="45"/>
        <v>2253174</v>
      </c>
      <c r="T128" s="582">
        <f>SUM(T95:T127)</f>
        <v>6158</v>
      </c>
    </row>
    <row r="129" spans="1:20" s="103" customFormat="1" ht="6.75" customHeight="1" thickTop="1" x14ac:dyDescent="0.2">
      <c r="A129" s="710"/>
      <c r="B129" s="711"/>
      <c r="C129" s="712"/>
      <c r="D129" s="713"/>
      <c r="E129" s="714"/>
      <c r="F129" s="715"/>
      <c r="G129" s="714"/>
      <c r="H129" s="716"/>
      <c r="I129" s="714"/>
      <c r="J129" s="714"/>
      <c r="K129" s="1221"/>
      <c r="L129" s="714"/>
      <c r="M129" s="714"/>
      <c r="N129" s="713"/>
      <c r="O129" s="717"/>
      <c r="P129" s="714"/>
      <c r="Q129" s="718"/>
      <c r="R129" s="717"/>
      <c r="S129"/>
      <c r="T129" s="715"/>
    </row>
    <row r="130" spans="1:20" ht="15" customHeight="1" x14ac:dyDescent="0.2">
      <c r="A130" s="559">
        <v>396211</v>
      </c>
      <c r="B130" s="560" t="s">
        <v>469</v>
      </c>
      <c r="C130" s="561" t="s">
        <v>895</v>
      </c>
      <c r="D130" s="562">
        <f>VLOOKUP($A130,[10]Template!$A$3:$G$138,7,FALSE)</f>
        <v>0</v>
      </c>
      <c r="E130" s="617">
        <f t="shared" ref="E130:E136" si="46">ROUND($E$3*D130,0)</f>
        <v>0</v>
      </c>
      <c r="F130" s="562">
        <f>VLOOKUP(A130,[11]Stipends!$A$3:$D$131,4,FALSE)</f>
        <v>0</v>
      </c>
      <c r="G130" s="621">
        <f t="shared" ref="G130:G136" si="47">ROUND($G$3*F130,0)</f>
        <v>0</v>
      </c>
      <c r="H130" s="562"/>
      <c r="I130" s="621">
        <f t="shared" ref="I130:I136" si="48">ROUND($I$3*H130,0)</f>
        <v>0</v>
      </c>
      <c r="J130" s="621">
        <f t="shared" ref="J130:J136" si="49">G130+I130</f>
        <v>0</v>
      </c>
      <c r="K130" s="1215">
        <f>VLOOKUP($A130,'[12]4_Level 4'!$A$7:$D$137,4,FALSE)</f>
        <v>16</v>
      </c>
      <c r="L130" s="630">
        <f t="shared" ref="L130:L136" si="50">IF(AND(L$3*K130&lt;10000,$T130&gt;0),10000,L$3*K130)</f>
        <v>3856</v>
      </c>
      <c r="M130" s="631">
        <f>IFERROR(VLOOKUP($A130,[13]Allocation!$A$6:$P$93,13,FALSE),0)</f>
        <v>0</v>
      </c>
      <c r="N130" s="562">
        <f>VLOOKUP($A130,'[14]MFP by School System_MER'!$A$5:$M$208,13,FALSE)</f>
        <v>198</v>
      </c>
      <c r="O130" s="636">
        <f t="shared" ref="O130:O136" si="51">N130*$O$3</f>
        <v>11682</v>
      </c>
      <c r="P130" s="621">
        <v>0</v>
      </c>
      <c r="Q130" s="637">
        <f t="shared" ref="Q130:Q136" si="52">O130+P130</f>
        <v>11682</v>
      </c>
      <c r="R130" s="638">
        <f t="shared" ref="R130:R136" si="53">L130+J130+E130+M130+Q130</f>
        <v>15538</v>
      </c>
      <c r="T130" s="562">
        <f>VLOOKUP($A130,'[15]9-12_MER'!$B$7:$I$194,8,FALSE)</f>
        <v>0</v>
      </c>
    </row>
    <row r="131" spans="1:20" ht="15" customHeight="1" x14ac:dyDescent="0.2">
      <c r="A131" s="565" t="s">
        <v>1381</v>
      </c>
      <c r="B131" s="253" t="s">
        <v>475</v>
      </c>
      <c r="C131" s="563" t="s">
        <v>1337</v>
      </c>
      <c r="D131" s="564">
        <f>VLOOKUP($B131,[10]Template!$A$3:$G$138,7,FALSE)</f>
        <v>0</v>
      </c>
      <c r="E131" s="618">
        <f t="shared" si="46"/>
        <v>0</v>
      </c>
      <c r="F131" s="564">
        <f>VLOOKUP(A131,[11]Stipends!$A$3:$D$131,4,FALSE)</f>
        <v>0</v>
      </c>
      <c r="G131" s="622">
        <f t="shared" si="47"/>
        <v>0</v>
      </c>
      <c r="H131" s="564"/>
      <c r="I131" s="622">
        <f t="shared" si="48"/>
        <v>0</v>
      </c>
      <c r="J131" s="622">
        <f t="shared" si="49"/>
        <v>0</v>
      </c>
      <c r="K131" s="1216">
        <f>VLOOKUP($A131,'[12]4_Level 4'!$A$7:$D$137,4,FALSE)</f>
        <v>284</v>
      </c>
      <c r="L131" s="626">
        <f t="shared" si="50"/>
        <v>68444</v>
      </c>
      <c r="M131" s="627">
        <f>IFERROR(VLOOKUP($A131,[13]Allocation!$A$6:$P$93,13,FALSE),0)</f>
        <v>0</v>
      </c>
      <c r="N131" s="564">
        <f>VLOOKUP($B131,'[14]MFP by School System_MER'!$A$5:$M$208,13,FALSE)</f>
        <v>382</v>
      </c>
      <c r="O131" s="639">
        <f t="shared" si="51"/>
        <v>22538</v>
      </c>
      <c r="P131" s="622">
        <v>0</v>
      </c>
      <c r="Q131" s="640">
        <f t="shared" si="52"/>
        <v>22538</v>
      </c>
      <c r="R131" s="641">
        <f t="shared" si="53"/>
        <v>90982</v>
      </c>
      <c r="T131" s="564">
        <f>VLOOKUP($A131,'[15]9-12_MER'!$B$7:$I$194,8,FALSE)</f>
        <v>354</v>
      </c>
    </row>
    <row r="132" spans="1:20" ht="15" customHeight="1" x14ac:dyDescent="0.2">
      <c r="A132" s="565" t="s">
        <v>473</v>
      </c>
      <c r="B132" s="253" t="s">
        <v>327</v>
      </c>
      <c r="C132" s="563" t="s">
        <v>1448</v>
      </c>
      <c r="D132" s="564">
        <f>VLOOKUP($A132,[10]Template!$A$3:$G$138,7,FALSE)</f>
        <v>0</v>
      </c>
      <c r="E132" s="618">
        <f t="shared" si="46"/>
        <v>0</v>
      </c>
      <c r="F132" s="564">
        <f>VLOOKUP(A132,[11]Stipends!$A$3:$D$131,4,FALSE)</f>
        <v>0</v>
      </c>
      <c r="G132" s="622">
        <f t="shared" si="47"/>
        <v>0</v>
      </c>
      <c r="H132" s="564"/>
      <c r="I132" s="622">
        <f t="shared" si="48"/>
        <v>0</v>
      </c>
      <c r="J132" s="622">
        <f t="shared" si="49"/>
        <v>0</v>
      </c>
      <c r="K132" s="1216">
        <f>VLOOKUP($A132,'[12]4_Level 4'!$A$7:$D$137,4,FALSE)</f>
        <v>0</v>
      </c>
      <c r="L132" s="626">
        <f t="shared" si="50"/>
        <v>0</v>
      </c>
      <c r="M132" s="627">
        <f>IFERROR(VLOOKUP($A132,[13]Allocation!$A$6:$P$93,13,FALSE),0)</f>
        <v>0</v>
      </c>
      <c r="N132" s="564">
        <f>VLOOKUP($A132,'[14]MFP by School System_MER'!$A$5:$M$208,13,FALSE)</f>
        <v>0</v>
      </c>
      <c r="O132" s="639">
        <f t="shared" si="51"/>
        <v>0</v>
      </c>
      <c r="P132" s="622">
        <v>0</v>
      </c>
      <c r="Q132" s="640">
        <f t="shared" si="52"/>
        <v>0</v>
      </c>
      <c r="R132" s="641">
        <f t="shared" si="53"/>
        <v>0</v>
      </c>
      <c r="T132" s="564">
        <f>VLOOKUP($A132,'[15]9-12_MER'!$B$7:$I$194,8,FALSE)</f>
        <v>0</v>
      </c>
    </row>
    <row r="133" spans="1:20" ht="15" customHeight="1" x14ac:dyDescent="0.2">
      <c r="A133" s="565" t="s">
        <v>471</v>
      </c>
      <c r="B133" s="253" t="s">
        <v>297</v>
      </c>
      <c r="C133" s="563" t="s">
        <v>1449</v>
      </c>
      <c r="D133" s="564">
        <f>VLOOKUP($A133,[10]Template!$A$3:$G$138,7,FALSE)</f>
        <v>0</v>
      </c>
      <c r="E133" s="618">
        <f t="shared" si="46"/>
        <v>0</v>
      </c>
      <c r="F133" s="564">
        <f>VLOOKUP(A133,[11]Stipends!$A$3:$D$131,4,FALSE)</f>
        <v>0</v>
      </c>
      <c r="G133" s="622">
        <f t="shared" si="47"/>
        <v>0</v>
      </c>
      <c r="H133" s="564"/>
      <c r="I133" s="622">
        <f t="shared" si="48"/>
        <v>0</v>
      </c>
      <c r="J133" s="622">
        <f t="shared" si="49"/>
        <v>0</v>
      </c>
      <c r="K133" s="1216">
        <f>VLOOKUP($A133,'[12]4_Level 4'!$A$7:$D$137,4,FALSE)</f>
        <v>0</v>
      </c>
      <c r="L133" s="626">
        <f t="shared" si="50"/>
        <v>0</v>
      </c>
      <c r="M133" s="627">
        <f>IFERROR(VLOOKUP($A133,[13]Allocation!$A$6:$P$93,13,FALSE),0)</f>
        <v>0</v>
      </c>
      <c r="N133" s="564">
        <f>VLOOKUP($A133,'[14]MFP by School System_MER'!$A$5:$M$208,13,FALSE)</f>
        <v>0</v>
      </c>
      <c r="O133" s="639">
        <f t="shared" si="51"/>
        <v>0</v>
      </c>
      <c r="P133" s="622">
        <v>0</v>
      </c>
      <c r="Q133" s="640">
        <f t="shared" si="52"/>
        <v>0</v>
      </c>
      <c r="R133" s="641">
        <f t="shared" si="53"/>
        <v>0</v>
      </c>
      <c r="T133" s="564">
        <f>VLOOKUP($A133,'[15]9-12_MER'!$B$7:$I$194,8,FALSE)</f>
        <v>0</v>
      </c>
    </row>
    <row r="134" spans="1:20" ht="15" customHeight="1" x14ac:dyDescent="0.2">
      <c r="A134" s="566" t="s">
        <v>369</v>
      </c>
      <c r="B134" s="567" t="s">
        <v>369</v>
      </c>
      <c r="C134" s="568" t="s">
        <v>355</v>
      </c>
      <c r="D134" s="569">
        <f>VLOOKUP($A134,[10]Template!$A$3:$G$138,7,FALSE)</f>
        <v>0</v>
      </c>
      <c r="E134" s="619">
        <f t="shared" si="46"/>
        <v>0</v>
      </c>
      <c r="F134" s="569">
        <f>VLOOKUP(A134,[11]Stipends!$A$3:$D$131,4,FALSE)</f>
        <v>0</v>
      </c>
      <c r="G134" s="623">
        <f t="shared" si="47"/>
        <v>0</v>
      </c>
      <c r="H134" s="569"/>
      <c r="I134" s="623">
        <f t="shared" si="48"/>
        <v>0</v>
      </c>
      <c r="J134" s="623">
        <f t="shared" si="49"/>
        <v>0</v>
      </c>
      <c r="K134" s="1217">
        <f>VLOOKUP($A134,'[12]4_Level 4'!$A$7:$D$137,4,FALSE)</f>
        <v>0</v>
      </c>
      <c r="L134" s="628">
        <f t="shared" si="50"/>
        <v>0</v>
      </c>
      <c r="M134" s="629">
        <f>IFERROR(VLOOKUP($A134,[13]Allocation!$A$6:$P$93,13,FALSE),0)</f>
        <v>0</v>
      </c>
      <c r="N134" s="569">
        <f>VLOOKUP($A134,'[14]MFP by School System_MER'!$A$5:$M$208,13,FALSE)</f>
        <v>111</v>
      </c>
      <c r="O134" s="642">
        <f t="shared" si="51"/>
        <v>6549</v>
      </c>
      <c r="P134" s="623">
        <v>0</v>
      </c>
      <c r="Q134" s="643">
        <f t="shared" si="52"/>
        <v>6549</v>
      </c>
      <c r="R134" s="644">
        <f t="shared" si="53"/>
        <v>6549</v>
      </c>
      <c r="T134" s="569">
        <f>VLOOKUP($A134,'[15]9-12_MER'!$B$7:$I$194,8,FALSE)</f>
        <v>0</v>
      </c>
    </row>
    <row r="135" spans="1:20" ht="15" customHeight="1" x14ac:dyDescent="0.2">
      <c r="A135" s="565" t="s">
        <v>470</v>
      </c>
      <c r="B135" s="253">
        <v>389002</v>
      </c>
      <c r="C135" s="563" t="s">
        <v>353</v>
      </c>
      <c r="D135" s="564">
        <f>VLOOKUP($A135,[10]Template!$A$3:$G$138,7,FALSE)</f>
        <v>0</v>
      </c>
      <c r="E135" s="618">
        <f t="shared" si="46"/>
        <v>0</v>
      </c>
      <c r="F135" s="564">
        <f>VLOOKUP(A135,[11]Stipends!$A$3:$D$131,4,FALSE)</f>
        <v>0</v>
      </c>
      <c r="G135" s="622">
        <f t="shared" si="47"/>
        <v>0</v>
      </c>
      <c r="H135" s="564"/>
      <c r="I135" s="622">
        <f t="shared" si="48"/>
        <v>0</v>
      </c>
      <c r="J135" s="622">
        <f t="shared" si="49"/>
        <v>0</v>
      </c>
      <c r="K135" s="1216">
        <f>VLOOKUP($A135,'[12]4_Level 4'!$A$7:$D$137,4,FALSE)</f>
        <v>0</v>
      </c>
      <c r="L135" s="626">
        <f t="shared" si="50"/>
        <v>0</v>
      </c>
      <c r="M135" s="627">
        <f>IFERROR(VLOOKUP($A135,[13]Allocation!$A$6:$P$93,13,FALSE),0)</f>
        <v>0</v>
      </c>
      <c r="N135" s="564">
        <f>VLOOKUP($A135,'[14]MFP by School System_MER'!$A$5:$M$208,13,FALSE)</f>
        <v>272</v>
      </c>
      <c r="O135" s="639">
        <f t="shared" si="51"/>
        <v>16048</v>
      </c>
      <c r="P135" s="622">
        <v>0</v>
      </c>
      <c r="Q135" s="640">
        <f t="shared" si="52"/>
        <v>16048</v>
      </c>
      <c r="R135" s="641">
        <f t="shared" si="53"/>
        <v>16048</v>
      </c>
      <c r="T135" s="564">
        <f>VLOOKUP($A135,'[15]9-12_MER'!$B$7:$I$194,8,FALSE)</f>
        <v>0</v>
      </c>
    </row>
    <row r="136" spans="1:20" ht="15" customHeight="1" x14ac:dyDescent="0.2">
      <c r="A136" s="566" t="s">
        <v>1382</v>
      </c>
      <c r="B136" s="567" t="s">
        <v>1383</v>
      </c>
      <c r="C136" s="568" t="s">
        <v>1450</v>
      </c>
      <c r="D136" s="569">
        <v>0</v>
      </c>
      <c r="E136" s="619">
        <f t="shared" si="46"/>
        <v>0</v>
      </c>
      <c r="F136" s="569">
        <f>VLOOKUP(A136,[11]Stipends!$A$3:$D$131,4,FALSE)</f>
        <v>0</v>
      </c>
      <c r="G136" s="623">
        <f t="shared" si="47"/>
        <v>0</v>
      </c>
      <c r="H136" s="569"/>
      <c r="I136" s="623">
        <f t="shared" si="48"/>
        <v>0</v>
      </c>
      <c r="J136" s="623">
        <f t="shared" si="49"/>
        <v>0</v>
      </c>
      <c r="K136" s="1217">
        <f>VLOOKUP($A136,'[12]4_Level 4'!$A$7:$D$137,4,FALSE)</f>
        <v>0</v>
      </c>
      <c r="L136" s="628">
        <f t="shared" si="50"/>
        <v>0</v>
      </c>
      <c r="M136" s="629">
        <f>IFERROR(VLOOKUP($A136,[13]Allocation!$A$6:$P$93,13,FALSE),0)</f>
        <v>0</v>
      </c>
      <c r="N136" s="569">
        <v>0</v>
      </c>
      <c r="O136" s="642">
        <f t="shared" si="51"/>
        <v>0</v>
      </c>
      <c r="P136" s="623">
        <v>0</v>
      </c>
      <c r="Q136" s="643">
        <f t="shared" si="52"/>
        <v>0</v>
      </c>
      <c r="R136" s="644">
        <f t="shared" si="53"/>
        <v>0</v>
      </c>
      <c r="T136" s="569">
        <f>VLOOKUP($A136,'[15]9-12_MER'!$B$7:$I$194,8,FALSE)</f>
        <v>0</v>
      </c>
    </row>
    <row r="137" spans="1:20" ht="15" customHeight="1" thickBot="1" x14ac:dyDescent="0.25">
      <c r="A137" s="579"/>
      <c r="B137" s="580"/>
      <c r="C137" s="581" t="s">
        <v>1301</v>
      </c>
      <c r="D137" s="582">
        <f t="shared" ref="D137:R137" si="54">SUM(D130:D136)</f>
        <v>0</v>
      </c>
      <c r="E137" s="620">
        <f t="shared" si="54"/>
        <v>0</v>
      </c>
      <c r="F137" s="582">
        <f t="shared" si="54"/>
        <v>0</v>
      </c>
      <c r="G137" s="625">
        <f t="shared" si="54"/>
        <v>0</v>
      </c>
      <c r="H137" s="582">
        <f t="shared" si="54"/>
        <v>0</v>
      </c>
      <c r="I137" s="625">
        <f t="shared" si="54"/>
        <v>0</v>
      </c>
      <c r="J137" s="625">
        <f t="shared" si="54"/>
        <v>0</v>
      </c>
      <c r="K137" s="1219">
        <f t="shared" si="54"/>
        <v>300</v>
      </c>
      <c r="L137" s="634">
        <f>SUM(L130:L136)</f>
        <v>72300</v>
      </c>
      <c r="M137" s="635">
        <f t="shared" si="54"/>
        <v>0</v>
      </c>
      <c r="N137" s="582">
        <f t="shared" si="54"/>
        <v>963</v>
      </c>
      <c r="O137" s="648">
        <f t="shared" si="54"/>
        <v>56817</v>
      </c>
      <c r="P137" s="625">
        <f t="shared" si="54"/>
        <v>0</v>
      </c>
      <c r="Q137" s="649">
        <f t="shared" si="54"/>
        <v>56817</v>
      </c>
      <c r="R137" s="650">
        <f t="shared" si="54"/>
        <v>129117</v>
      </c>
      <c r="T137" s="582">
        <f>SUM(T130:T136)</f>
        <v>354</v>
      </c>
    </row>
    <row r="138" spans="1:20" s="103" customFormat="1" ht="6.75" customHeight="1" thickTop="1" x14ac:dyDescent="0.2">
      <c r="A138" s="587"/>
      <c r="B138" s="583"/>
      <c r="C138" s="101"/>
      <c r="D138" s="584"/>
      <c r="E138" s="586"/>
      <c r="F138" s="584"/>
      <c r="G138" s="586"/>
      <c r="H138" s="585"/>
      <c r="I138" s="586"/>
      <c r="J138" s="586"/>
      <c r="K138" s="1223"/>
      <c r="L138" s="586"/>
      <c r="M138" s="586"/>
      <c r="N138" s="588"/>
      <c r="O138" s="586"/>
      <c r="P138" s="586"/>
      <c r="Q138" s="651"/>
      <c r="R138" s="589"/>
      <c r="S138"/>
      <c r="T138" s="588"/>
    </row>
    <row r="139" spans="1:20" s="20" customFormat="1" ht="15" customHeight="1" thickBot="1" x14ac:dyDescent="0.25">
      <c r="A139" s="1159"/>
      <c r="B139" s="1160"/>
      <c r="C139" s="1161" t="s">
        <v>1108</v>
      </c>
      <c r="D139" s="1162"/>
      <c r="E139" s="1163">
        <f>ROUND($E$3*D139,0)</f>
        <v>0</v>
      </c>
      <c r="F139" s="1162"/>
      <c r="G139" s="1164"/>
      <c r="H139" s="1162"/>
      <c r="I139" s="1164">
        <f>ROUND($I$3*H139,0)</f>
        <v>0</v>
      </c>
      <c r="J139" s="1164">
        <f>G139+I139</f>
        <v>0</v>
      </c>
      <c r="K139" s="1224"/>
      <c r="L139" s="1165"/>
      <c r="M139" s="1166"/>
      <c r="N139" s="1162">
        <v>907</v>
      </c>
      <c r="O139" s="1167">
        <f>N139*$O$3</f>
        <v>53513</v>
      </c>
      <c r="P139" s="1164"/>
      <c r="Q139" s="1168">
        <f>O139+P139</f>
        <v>53513</v>
      </c>
      <c r="R139" s="1169">
        <f>L139+J139+E139+M139+Q139</f>
        <v>53513</v>
      </c>
      <c r="S139" s="439"/>
      <c r="T139" s="1162"/>
    </row>
    <row r="140" spans="1:20" s="103" customFormat="1" ht="6.75" customHeight="1" thickTop="1" x14ac:dyDescent="0.2">
      <c r="A140" s="587"/>
      <c r="B140" s="583"/>
      <c r="C140" s="101"/>
      <c r="D140" s="584"/>
      <c r="E140" s="586"/>
      <c r="F140" s="584"/>
      <c r="G140" s="586"/>
      <c r="H140" s="585"/>
      <c r="I140" s="586"/>
      <c r="J140" s="586"/>
      <c r="K140" s="1223"/>
      <c r="L140" s="586"/>
      <c r="M140" s="586"/>
      <c r="N140" s="588"/>
      <c r="O140" s="586"/>
      <c r="P140" s="586"/>
      <c r="Q140" s="651"/>
      <c r="R140" s="589"/>
      <c r="S140"/>
      <c r="T140" s="588"/>
    </row>
    <row r="141" spans="1:20" ht="15" customHeight="1" thickBot="1" x14ac:dyDescent="0.25">
      <c r="A141" s="579"/>
      <c r="B141" s="580"/>
      <c r="C141" s="581" t="s">
        <v>249</v>
      </c>
      <c r="D141" s="582">
        <f>D137+D128+D93+D84+D76+D139</f>
        <v>266</v>
      </c>
      <c r="E141" s="620">
        <f t="shared" ref="E141:R141" si="55">E137+E128+E93+E84+E76+E139</f>
        <v>5586000</v>
      </c>
      <c r="F141" s="582">
        <f t="shared" si="55"/>
        <v>99</v>
      </c>
      <c r="G141" s="625">
        <f t="shared" si="55"/>
        <v>594000</v>
      </c>
      <c r="H141" s="582">
        <f t="shared" si="55"/>
        <v>0</v>
      </c>
      <c r="I141" s="625">
        <f t="shared" si="55"/>
        <v>0</v>
      </c>
      <c r="J141" s="625">
        <f t="shared" si="55"/>
        <v>594000</v>
      </c>
      <c r="K141" s="1219">
        <f t="shared" si="55"/>
        <v>73398.5</v>
      </c>
      <c r="L141" s="634">
        <f t="shared" si="55"/>
        <v>17877504.5</v>
      </c>
      <c r="M141" s="635">
        <f t="shared" si="55"/>
        <v>12000000</v>
      </c>
      <c r="N141" s="582">
        <f t="shared" si="55"/>
        <v>301733</v>
      </c>
      <c r="O141" s="648">
        <f t="shared" si="55"/>
        <v>17802247</v>
      </c>
      <c r="P141" s="625">
        <f t="shared" si="55"/>
        <v>0</v>
      </c>
      <c r="Q141" s="649">
        <f t="shared" si="55"/>
        <v>17802247</v>
      </c>
      <c r="R141" s="650">
        <f t="shared" si="55"/>
        <v>53859751.5</v>
      </c>
      <c r="T141" s="582"/>
    </row>
    <row r="142" spans="1:20" ht="13.5" thickTop="1" x14ac:dyDescent="0.2"/>
  </sheetData>
  <sortState ref="A192:W210">
    <sortCondition ref="A192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6">
    <mergeCell ref="T2:T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5:N137">
    <cfRule type="cellIs" dxfId="69" priority="372" operator="between">
      <formula>0.1</formula>
      <formula>10</formula>
    </cfRule>
  </conditionalFormatting>
  <conditionalFormatting sqref="N128 N7:N41 N83:N99 N43:N77">
    <cfRule type="cellIs" dxfId="68" priority="382" operator="between">
      <formula>0.1</formula>
      <formula>10</formula>
    </cfRule>
  </conditionalFormatting>
  <conditionalFormatting sqref="N129">
    <cfRule type="cellIs" dxfId="67" priority="381" operator="between">
      <formula>0.1</formula>
      <formula>10</formula>
    </cfRule>
  </conditionalFormatting>
  <conditionalFormatting sqref="N78:N82">
    <cfRule type="cellIs" dxfId="66" priority="191" operator="between">
      <formula>0.1</formula>
      <formula>10</formula>
    </cfRule>
  </conditionalFormatting>
  <conditionalFormatting sqref="N105:N109">
    <cfRule type="cellIs" dxfId="65" priority="151" operator="between">
      <formula>0.1</formula>
      <formula>10</formula>
    </cfRule>
  </conditionalFormatting>
  <conditionalFormatting sqref="N100:N104">
    <cfRule type="cellIs" dxfId="64" priority="154" operator="between">
      <formula>0.1</formula>
      <formula>10</formula>
    </cfRule>
  </conditionalFormatting>
  <conditionalFormatting sqref="N110:N114">
    <cfRule type="cellIs" dxfId="63" priority="148" operator="between">
      <formula>0.1</formula>
      <formula>10</formula>
    </cfRule>
  </conditionalFormatting>
  <conditionalFormatting sqref="N115:N119">
    <cfRule type="cellIs" dxfId="62" priority="145" operator="between">
      <formula>0.1</formula>
      <formula>10</formula>
    </cfRule>
  </conditionalFormatting>
  <conditionalFormatting sqref="N120:N124">
    <cfRule type="cellIs" dxfId="61" priority="142" operator="between">
      <formula>0.1</formula>
      <formula>10</formula>
    </cfRule>
  </conditionalFormatting>
  <conditionalFormatting sqref="N125:N127">
    <cfRule type="cellIs" dxfId="60" priority="139" operator="between">
      <formula>0.1</formula>
      <formula>10</formula>
    </cfRule>
  </conditionalFormatting>
  <conditionalFormatting sqref="T42">
    <cfRule type="cellIs" dxfId="59" priority="19" operator="between">
      <formula>0.1</formula>
      <formula>10</formula>
    </cfRule>
  </conditionalFormatting>
  <conditionalFormatting sqref="N42">
    <cfRule type="cellIs" dxfId="58" priority="15" operator="between">
      <formula>0.1</formula>
      <formula>10</formula>
    </cfRule>
  </conditionalFormatting>
  <conditionalFormatting sqref="N130:N134">
    <cfRule type="cellIs" dxfId="57" priority="11" operator="between">
      <formula>0.1</formula>
      <formula>10</formula>
    </cfRule>
  </conditionalFormatting>
  <conditionalFormatting sqref="N139">
    <cfRule type="cellIs" dxfId="56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FY2019-20 Budget Letter
Level 4 Supplementary Allocations (March 2020)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4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.7109375" style="7" bestFit="1" customWidth="1"/>
    <col min="2" max="2" width="20.140625" style="7" customWidth="1"/>
    <col min="3" max="3" width="13.28515625" style="7" customWidth="1"/>
    <col min="4" max="5" width="14.42578125" style="7" customWidth="1"/>
    <col min="6" max="6" width="13.28515625" style="7" customWidth="1"/>
    <col min="7" max="7" width="14.42578125" style="7" customWidth="1"/>
    <col min="8" max="8" width="13.140625" style="7" customWidth="1"/>
    <col min="9" max="9" width="14.42578125" style="7" customWidth="1"/>
    <col min="10" max="12" width="15.140625" style="7" customWidth="1"/>
    <col min="13" max="15" width="14.42578125" style="7" customWidth="1"/>
    <col min="16" max="17" width="15.85546875" style="7" customWidth="1"/>
    <col min="18" max="18" width="18.28515625" style="7" customWidth="1"/>
    <col min="19" max="21" width="14.85546875" style="7" customWidth="1"/>
    <col min="22" max="24" width="15.85546875" style="7" customWidth="1"/>
    <col min="25" max="25" width="17.28515625" style="7" customWidth="1"/>
    <col min="26" max="16384" width="8.85546875" style="7"/>
  </cols>
  <sheetData>
    <row r="1" spans="1:25" ht="23.45" customHeight="1" x14ac:dyDescent="0.2">
      <c r="A1" s="1389" t="s">
        <v>409</v>
      </c>
      <c r="B1" s="1389"/>
      <c r="C1" s="1396" t="s">
        <v>310</v>
      </c>
      <c r="D1" s="1396"/>
      <c r="E1" s="1396"/>
      <c r="F1" s="1396"/>
      <c r="G1" s="1396"/>
      <c r="H1" s="1397"/>
      <c r="I1" s="1396"/>
      <c r="J1" s="1396"/>
      <c r="K1" s="1396"/>
      <c r="L1" s="1396"/>
      <c r="M1" s="1396"/>
      <c r="N1" s="1396"/>
      <c r="O1" s="1398"/>
      <c r="P1" s="1399" t="s">
        <v>310</v>
      </c>
      <c r="Q1" s="1396"/>
      <c r="R1" s="1396"/>
      <c r="S1" s="1396"/>
      <c r="T1" s="1396"/>
      <c r="U1" s="1396"/>
      <c r="V1" s="1396"/>
      <c r="W1" s="1400"/>
      <c r="X1" s="1396"/>
      <c r="Y1" s="1398"/>
    </row>
    <row r="2" spans="1:25" ht="30" customHeight="1" x14ac:dyDescent="0.2">
      <c r="A2" s="1389"/>
      <c r="B2" s="1389"/>
      <c r="C2" s="178"/>
      <c r="D2" s="178"/>
      <c r="E2" s="179"/>
      <c r="F2" s="4"/>
      <c r="G2" s="4"/>
      <c r="H2" s="949"/>
      <c r="I2" s="4"/>
      <c r="J2" s="1393" t="s">
        <v>228</v>
      </c>
      <c r="K2" s="1394"/>
      <c r="L2" s="1395"/>
      <c r="M2" s="4"/>
      <c r="N2" s="180"/>
      <c r="O2" s="181"/>
      <c r="P2" s="1390" t="s">
        <v>307</v>
      </c>
      <c r="Q2" s="1392"/>
      <c r="R2" s="180"/>
      <c r="S2" s="180"/>
      <c r="T2" s="180"/>
      <c r="U2" s="180"/>
      <c r="V2" s="1390" t="s">
        <v>309</v>
      </c>
      <c r="W2" s="1391"/>
      <c r="X2" s="1392"/>
      <c r="Y2" s="181"/>
    </row>
    <row r="3" spans="1:25" ht="134.25" customHeight="1" x14ac:dyDescent="0.2">
      <c r="A3" s="1389"/>
      <c r="B3" s="1389"/>
      <c r="C3" s="1148" t="s">
        <v>1195</v>
      </c>
      <c r="D3" s="1148" t="s">
        <v>1172</v>
      </c>
      <c r="E3" s="1149" t="s">
        <v>425</v>
      </c>
      <c r="F3" s="1148" t="s">
        <v>362</v>
      </c>
      <c r="G3" s="1148" t="s">
        <v>308</v>
      </c>
      <c r="H3" s="1148" t="s">
        <v>1271</v>
      </c>
      <c r="I3" s="1149" t="s">
        <v>1285</v>
      </c>
      <c r="J3" s="1150" t="s">
        <v>1186</v>
      </c>
      <c r="K3" s="1150" t="s">
        <v>1187</v>
      </c>
      <c r="L3" s="1150" t="s">
        <v>230</v>
      </c>
      <c r="M3" s="1148" t="s">
        <v>412</v>
      </c>
      <c r="N3" s="1151" t="s">
        <v>1430</v>
      </c>
      <c r="O3" s="1148" t="s">
        <v>413</v>
      </c>
      <c r="P3" s="1152" t="s">
        <v>302</v>
      </c>
      <c r="Q3" s="1152" t="s">
        <v>306</v>
      </c>
      <c r="R3" s="1148" t="s">
        <v>949</v>
      </c>
      <c r="S3" s="1148" t="s">
        <v>268</v>
      </c>
      <c r="T3" s="1148" t="s">
        <v>271</v>
      </c>
      <c r="U3" s="1148" t="s">
        <v>229</v>
      </c>
      <c r="V3" s="1153" t="s">
        <v>1396</v>
      </c>
      <c r="W3" s="1153" t="s">
        <v>1169</v>
      </c>
      <c r="X3" s="1153" t="s">
        <v>368</v>
      </c>
      <c r="Y3" s="1148" t="s">
        <v>950</v>
      </c>
    </row>
    <row r="4" spans="1:25" x14ac:dyDescent="0.2">
      <c r="A4" s="182"/>
      <c r="B4" s="183"/>
      <c r="C4" s="184">
        <v>1</v>
      </c>
      <c r="D4" s="184">
        <f t="shared" ref="D4:P4" si="0">C4+1</f>
        <v>2</v>
      </c>
      <c r="E4" s="184">
        <f t="shared" si="0"/>
        <v>3</v>
      </c>
      <c r="F4" s="184">
        <f t="shared" si="0"/>
        <v>4</v>
      </c>
      <c r="G4" s="184">
        <f t="shared" si="0"/>
        <v>5</v>
      </c>
      <c r="H4" s="184">
        <f>G4+1</f>
        <v>6</v>
      </c>
      <c r="I4" s="184">
        <f>H4+1</f>
        <v>7</v>
      </c>
      <c r="J4" s="184">
        <f t="shared" si="0"/>
        <v>8</v>
      </c>
      <c r="K4" s="184">
        <f t="shared" si="0"/>
        <v>9</v>
      </c>
      <c r="L4" s="184">
        <f t="shared" si="0"/>
        <v>10</v>
      </c>
      <c r="M4" s="184">
        <f t="shared" si="0"/>
        <v>11</v>
      </c>
      <c r="N4" s="184">
        <f t="shared" si="0"/>
        <v>12</v>
      </c>
      <c r="O4" s="184">
        <f t="shared" si="0"/>
        <v>13</v>
      </c>
      <c r="P4" s="184">
        <f t="shared" si="0"/>
        <v>14</v>
      </c>
      <c r="Q4" s="184">
        <f t="shared" ref="Q4:Y4" si="1">P4+1</f>
        <v>15</v>
      </c>
      <c r="R4" s="184">
        <f t="shared" si="1"/>
        <v>16</v>
      </c>
      <c r="S4" s="184">
        <f t="shared" si="1"/>
        <v>17</v>
      </c>
      <c r="T4" s="184">
        <f t="shared" si="1"/>
        <v>18</v>
      </c>
      <c r="U4" s="184">
        <f t="shared" si="1"/>
        <v>19</v>
      </c>
      <c r="V4" s="184">
        <f t="shared" si="1"/>
        <v>20</v>
      </c>
      <c r="W4" s="184">
        <f t="shared" si="1"/>
        <v>21</v>
      </c>
      <c r="X4" s="184">
        <f t="shared" si="1"/>
        <v>22</v>
      </c>
      <c r="Y4" s="184">
        <f t="shared" si="1"/>
        <v>23</v>
      </c>
    </row>
    <row r="5" spans="1:25" s="495" customFormat="1" ht="27.75" customHeight="1" x14ac:dyDescent="0.2">
      <c r="A5" s="732"/>
      <c r="B5" s="732"/>
      <c r="C5" s="601" t="s">
        <v>813</v>
      </c>
      <c r="D5" s="601" t="s">
        <v>1327</v>
      </c>
      <c r="E5" s="601" t="s">
        <v>814</v>
      </c>
      <c r="F5" s="708" t="s">
        <v>733</v>
      </c>
      <c r="G5" s="601" t="s">
        <v>708</v>
      </c>
      <c r="H5" s="874" t="s">
        <v>1272</v>
      </c>
      <c r="I5" s="601" t="s">
        <v>1286</v>
      </c>
      <c r="J5" s="598" t="s">
        <v>954</v>
      </c>
      <c r="K5" s="598" t="s">
        <v>955</v>
      </c>
      <c r="L5" s="601" t="s">
        <v>1287</v>
      </c>
      <c r="M5" s="601" t="s">
        <v>1288</v>
      </c>
      <c r="N5" s="601" t="s">
        <v>818</v>
      </c>
      <c r="O5" s="601" t="s">
        <v>849</v>
      </c>
      <c r="P5" s="598" t="s">
        <v>245</v>
      </c>
      <c r="Q5" s="598" t="s">
        <v>405</v>
      </c>
      <c r="R5" s="601" t="s">
        <v>1289</v>
      </c>
      <c r="S5" s="601" t="s">
        <v>953</v>
      </c>
      <c r="T5" s="601" t="s">
        <v>1083</v>
      </c>
      <c r="U5" s="601" t="s">
        <v>1084</v>
      </c>
      <c r="V5" s="598" t="s">
        <v>273</v>
      </c>
      <c r="W5" s="598" t="s">
        <v>289</v>
      </c>
      <c r="X5" s="598" t="s">
        <v>361</v>
      </c>
      <c r="Y5" s="601" t="s">
        <v>1290</v>
      </c>
    </row>
    <row r="6" spans="1:25" s="495" customFormat="1" ht="22.5" hidden="1" x14ac:dyDescent="0.2">
      <c r="A6" s="732"/>
      <c r="B6" s="732"/>
      <c r="C6" s="601" t="s">
        <v>603</v>
      </c>
      <c r="D6" s="601" t="s">
        <v>603</v>
      </c>
      <c r="E6" s="601" t="s">
        <v>604</v>
      </c>
      <c r="F6" s="708" t="s">
        <v>740</v>
      </c>
      <c r="G6" s="601" t="s">
        <v>604</v>
      </c>
      <c r="H6" s="874"/>
      <c r="I6" s="601" t="s">
        <v>604</v>
      </c>
      <c r="J6" s="601" t="s">
        <v>817</v>
      </c>
      <c r="K6" s="601" t="s">
        <v>817</v>
      </c>
      <c r="L6" s="601" t="s">
        <v>604</v>
      </c>
      <c r="M6" s="601" t="s">
        <v>604</v>
      </c>
      <c r="N6" s="601" t="s">
        <v>818</v>
      </c>
      <c r="O6" s="601" t="s">
        <v>604</v>
      </c>
      <c r="P6" s="601" t="s">
        <v>603</v>
      </c>
      <c r="Q6" s="601" t="s">
        <v>603</v>
      </c>
      <c r="R6" s="601" t="s">
        <v>604</v>
      </c>
      <c r="S6" s="601" t="s">
        <v>948</v>
      </c>
      <c r="T6" s="601" t="s">
        <v>604</v>
      </c>
      <c r="U6" s="601" t="s">
        <v>604</v>
      </c>
      <c r="V6" s="601" t="s">
        <v>603</v>
      </c>
      <c r="W6" s="601" t="s">
        <v>603</v>
      </c>
      <c r="X6" s="601" t="s">
        <v>603</v>
      </c>
      <c r="Y6" s="601" t="s">
        <v>604</v>
      </c>
    </row>
    <row r="7" spans="1:25" ht="31.5" customHeight="1" x14ac:dyDescent="0.2">
      <c r="A7" s="185">
        <v>318001</v>
      </c>
      <c r="B7" s="186" t="s">
        <v>411</v>
      </c>
      <c r="C7" s="187">
        <f>'8_2.1.19 SIS'!BD76</f>
        <v>1427</v>
      </c>
      <c r="D7" s="188">
        <f>'3_Levels 1&amp;2'!AM76</f>
        <v>4661.8329481652881</v>
      </c>
      <c r="E7" s="188">
        <f>C7*D7</f>
        <v>6652435.6170318658</v>
      </c>
      <c r="F7" s="188">
        <v>605.97</v>
      </c>
      <c r="G7" s="188">
        <f>F7*C7</f>
        <v>864719.19000000006</v>
      </c>
      <c r="H7" s="951">
        <f>VLOOKUP($A7,'3B_Pay Raise'!$A$7:$O$143,15,FALSE)</f>
        <v>144252</v>
      </c>
      <c r="I7" s="189">
        <f>ROUND(E7+G7+H7,0)</f>
        <v>7661407</v>
      </c>
      <c r="J7" s="190">
        <f>VLOOKUP($A7,'[2]Oct_MidYear Adj'!$A$7:$N$137,10,FALSE)</f>
        <v>-57946</v>
      </c>
      <c r="K7" s="190">
        <f>VLOOKUP($A7,'[3]Feb_MidYear Adj'!$A$7:$N$137,10,FALSE)</f>
        <v>10536</v>
      </c>
      <c r="L7" s="191">
        <f>SUM(J7:K7)</f>
        <v>-47410</v>
      </c>
      <c r="M7" s="189">
        <f>I7+L7</f>
        <v>7613997</v>
      </c>
      <c r="N7" s="188">
        <f>VLOOKUP($A7,'[1]LEA Summary'!$A$7:$S$216,11,FALSE)</f>
        <v>-10311</v>
      </c>
      <c r="O7" s="189">
        <f>SUM(M7:N7)</f>
        <v>7603686</v>
      </c>
      <c r="P7" s="192">
        <f>VLOOKUP($A7,'4_Level 4'!$A$78:$R$141,5,FALSE)</f>
        <v>0</v>
      </c>
      <c r="Q7" s="192">
        <f>VLOOKUP($A7,'4_Level 4'!$A$78:$R$141,17,FALSE)</f>
        <v>41064</v>
      </c>
      <c r="R7" s="189">
        <f>ROUND(SUM(O7:Q7),0)</f>
        <v>7644750</v>
      </c>
      <c r="S7" s="190">
        <f>('[4]5A1_Labs'!U7*6)+('[7]5A1_Labs'!U7*2)</f>
        <v>5127138</v>
      </c>
      <c r="T7" s="190">
        <f>R7-S7</f>
        <v>2517612</v>
      </c>
      <c r="U7" s="189">
        <f>ROUND(T7/$U$13,0)</f>
        <v>629403</v>
      </c>
      <c r="V7" s="188">
        <f>VLOOKUP($A7,'4_Level 4'!$A$78:$R$141,10,FALSE)</f>
        <v>0</v>
      </c>
      <c r="W7" s="188">
        <f>VLOOKUP($A7,'4_Level 4'!$A$78:$R$141,12,FALSE)</f>
        <v>10000</v>
      </c>
      <c r="X7" s="188">
        <f>VLOOKUP($A7,'4_Level 4'!$A$78:$R$141,13,FALSE)</f>
        <v>0</v>
      </c>
      <c r="Y7" s="189">
        <f>R7+V7+W7+X7</f>
        <v>7654750</v>
      </c>
    </row>
    <row r="8" spans="1:25" ht="31.5" customHeight="1" x14ac:dyDescent="0.2">
      <c r="A8" s="193">
        <v>319001</v>
      </c>
      <c r="B8" s="194" t="s">
        <v>410</v>
      </c>
      <c r="C8" s="187">
        <f>'8_2.1.19 SIS'!BE76</f>
        <v>557</v>
      </c>
      <c r="D8" s="188">
        <f>'3_Levels 1&amp;2'!AM76</f>
        <v>4661.8329481652881</v>
      </c>
      <c r="E8" s="188">
        <f>C8*D8</f>
        <v>2596640.9521280653</v>
      </c>
      <c r="F8" s="188">
        <v>699.9</v>
      </c>
      <c r="G8" s="188">
        <f>F8*C8</f>
        <v>389844.3</v>
      </c>
      <c r="H8" s="951">
        <f>VLOOKUP($A8,'3B_Pay Raise'!$A$7:$O$143,15,FALSE)</f>
        <v>36633</v>
      </c>
      <c r="I8" s="189">
        <f>ROUND(E8+G8+H8,0)</f>
        <v>3023118</v>
      </c>
      <c r="J8" s="190">
        <f>VLOOKUP($A8,'[2]Oct_MidYear Adj'!$A$7:$N$137,10,FALSE)</f>
        <v>64341</v>
      </c>
      <c r="K8" s="190">
        <f>VLOOKUP($A8,'[3]Feb_MidYear Adj'!$A$7:$N$137,10,FALSE)</f>
        <v>-150129</v>
      </c>
      <c r="L8" s="191">
        <f>SUM(J8:K8)</f>
        <v>-85788</v>
      </c>
      <c r="M8" s="189">
        <f>I8+L8</f>
        <v>2937330</v>
      </c>
      <c r="N8" s="188">
        <f>VLOOKUP($A8,'[1]LEA Summary'!$A$7:$S$216,11,FALSE)</f>
        <v>-39463</v>
      </c>
      <c r="O8" s="189">
        <f>SUM(M8:N8)</f>
        <v>2897867</v>
      </c>
      <c r="P8" s="192">
        <f>VLOOKUP($A8,'4_Level 4'!$A$78:$R$141,5,FALSE)</f>
        <v>0</v>
      </c>
      <c r="Q8" s="192">
        <f>VLOOKUP($A8,'4_Level 4'!$A$78:$R$141,17,FALSE)</f>
        <v>20886</v>
      </c>
      <c r="R8" s="189">
        <f>ROUND(SUM(O8:Q8),0)</f>
        <v>2918753</v>
      </c>
      <c r="S8" s="190">
        <f>('[4]5A1_Labs'!U8*6)+('[7]5A1_Labs'!U8*2)</f>
        <v>2000910</v>
      </c>
      <c r="T8" s="190">
        <f>R8-S8</f>
        <v>917843</v>
      </c>
      <c r="U8" s="189">
        <f>ROUND(T8/$U$13,0)</f>
        <v>229461</v>
      </c>
      <c r="V8" s="188">
        <f>VLOOKUP($A8,'4_Level 4'!$A$78:$R$141,10,FALSE)</f>
        <v>0</v>
      </c>
      <c r="W8" s="188">
        <f>VLOOKUP($A8,'4_Level 4'!$A$78:$R$141,12,FALSE)</f>
        <v>10000</v>
      </c>
      <c r="X8" s="188">
        <f>VLOOKUP($A8,'4_Level 4'!$A$78:$R$141,13,FALSE)</f>
        <v>0</v>
      </c>
      <c r="Y8" s="189">
        <f>R8+V8+W8+X8</f>
        <v>2928753</v>
      </c>
    </row>
    <row r="9" spans="1:25" s="35" customFormat="1" ht="31.5" customHeight="1" thickBot="1" x14ac:dyDescent="0.25">
      <c r="A9" s="195"/>
      <c r="B9" s="195" t="s">
        <v>71</v>
      </c>
      <c r="C9" s="196">
        <f>SUM(C7:C8)</f>
        <v>1984</v>
      </c>
      <c r="D9" s="36"/>
      <c r="E9" s="37">
        <f>SUM(E7:E8)</f>
        <v>9249076.5691599306</v>
      </c>
      <c r="F9" s="37"/>
      <c r="G9" s="37">
        <f t="shared" ref="G9:Y9" si="2">SUM(G7:G8)</f>
        <v>1254563.49</v>
      </c>
      <c r="H9" s="37">
        <f t="shared" si="2"/>
        <v>180885</v>
      </c>
      <c r="I9" s="38">
        <f t="shared" si="2"/>
        <v>10684525</v>
      </c>
      <c r="J9" s="39">
        <f t="shared" si="2"/>
        <v>6395</v>
      </c>
      <c r="K9" s="39">
        <f t="shared" si="2"/>
        <v>-139593</v>
      </c>
      <c r="L9" s="40">
        <f t="shared" si="2"/>
        <v>-133198</v>
      </c>
      <c r="M9" s="38">
        <f t="shared" si="2"/>
        <v>10551327</v>
      </c>
      <c r="N9" s="37">
        <f>SUM(N7:N8)</f>
        <v>-49774</v>
      </c>
      <c r="O9" s="38">
        <f t="shared" si="2"/>
        <v>10501553</v>
      </c>
      <c r="P9" s="197">
        <f t="shared" si="2"/>
        <v>0</v>
      </c>
      <c r="Q9" s="197">
        <f t="shared" si="2"/>
        <v>61950</v>
      </c>
      <c r="R9" s="38">
        <f t="shared" si="2"/>
        <v>10563503</v>
      </c>
      <c r="S9" s="39">
        <f t="shared" si="2"/>
        <v>7128048</v>
      </c>
      <c r="T9" s="39">
        <f t="shared" si="2"/>
        <v>3435455</v>
      </c>
      <c r="U9" s="38">
        <f t="shared" si="2"/>
        <v>858864</v>
      </c>
      <c r="V9" s="37">
        <f t="shared" si="2"/>
        <v>0</v>
      </c>
      <c r="W9" s="37">
        <f>SUM(W7:W8)</f>
        <v>20000</v>
      </c>
      <c r="X9" s="37">
        <f t="shared" si="2"/>
        <v>0</v>
      </c>
      <c r="Y9" s="38">
        <f t="shared" si="2"/>
        <v>10583503</v>
      </c>
    </row>
    <row r="10" spans="1:25" s="35" customFormat="1" ht="13.5" thickTop="1" x14ac:dyDescent="0.2">
      <c r="B10" s="198"/>
      <c r="C10" s="199"/>
      <c r="D10" s="200"/>
      <c r="E10" s="201"/>
    </row>
    <row r="11" spans="1:25" x14ac:dyDescent="0.2">
      <c r="N11" s="10"/>
    </row>
    <row r="12" spans="1:25" ht="13.15" customHeight="1" x14ac:dyDescent="0.2">
      <c r="D12"/>
      <c r="N12" s="1285"/>
    </row>
    <row r="13" spans="1:25" x14ac:dyDescent="0.2">
      <c r="D13"/>
      <c r="N13" s="1285"/>
      <c r="U13" s="7">
        <v>4</v>
      </c>
    </row>
    <row r="14" spans="1:25" x14ac:dyDescent="0.2">
      <c r="N1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&amp;L&amp;"Arial,Bold"&amp;20&amp;K000000FY2019-20 Budget Letter
March 2020&amp;R
</oddHeader>
    <oddFooter>&amp;R&amp;P</oddFooter>
  </headerFooter>
  <colBreaks count="1" manualBreakCount="1">
    <brk id="15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7" style="5" bestFit="1" customWidth="1"/>
    <col min="2" max="2" width="23.28515625" style="5" customWidth="1"/>
    <col min="3" max="3" width="12.140625" style="5" bestFit="1" customWidth="1"/>
    <col min="4" max="4" width="6.42578125" style="5" customWidth="1"/>
    <col min="5" max="5" width="14" style="5" customWidth="1"/>
    <col min="6" max="6" width="7.28515625" style="5" customWidth="1"/>
    <col min="7" max="7" width="14" style="5" customWidth="1"/>
    <col min="8" max="8" width="10.28515625" style="5" customWidth="1"/>
    <col min="9" max="9" width="6.42578125" style="5" customWidth="1"/>
    <col min="10" max="10" width="11.28515625" style="5" customWidth="1"/>
    <col min="11" max="11" width="10.28515625" style="5" customWidth="1"/>
    <col min="12" max="12" width="6.42578125" style="5" customWidth="1"/>
    <col min="13" max="13" width="11.28515625" style="5" customWidth="1"/>
    <col min="14" max="14" width="10.28515625" style="5" customWidth="1"/>
    <col min="15" max="15" width="6.42578125" style="5" customWidth="1"/>
    <col min="16" max="16" width="11.28515625" style="5" customWidth="1"/>
    <col min="17" max="17" width="10.28515625" style="5" customWidth="1"/>
    <col min="18" max="18" width="6.42578125" style="5" customWidth="1"/>
    <col min="19" max="20" width="11.28515625" style="5" customWidth="1"/>
    <col min="21" max="21" width="12.5703125" style="5" bestFit="1" customWidth="1"/>
    <col min="22" max="23" width="14" style="5" customWidth="1"/>
    <col min="24" max="24" width="13.28515625" style="5" customWidth="1"/>
    <col min="25" max="25" width="13.5703125" style="5" customWidth="1"/>
    <col min="26" max="26" width="10.85546875" style="5" bestFit="1" customWidth="1"/>
    <col min="27" max="27" width="13.5703125" style="5" customWidth="1"/>
    <col min="28" max="28" width="14.28515625" style="5" customWidth="1"/>
    <col min="29" max="29" width="12.140625" style="5" customWidth="1"/>
    <col min="30" max="30" width="15.28515625" style="5" customWidth="1"/>
    <col min="31" max="31" width="13" style="5" customWidth="1"/>
    <col min="32" max="32" width="12.85546875" style="5" customWidth="1"/>
    <col min="33" max="33" width="13" style="5" customWidth="1"/>
    <col min="34" max="34" width="12" style="5" customWidth="1"/>
    <col min="35" max="35" width="16.28515625" style="5" customWidth="1"/>
    <col min="36" max="16384" width="8.85546875" style="5"/>
  </cols>
  <sheetData>
    <row r="1" spans="1:35" ht="19.899999999999999" customHeight="1" x14ac:dyDescent="0.2">
      <c r="A1" s="1418" t="s">
        <v>418</v>
      </c>
      <c r="B1" s="1419"/>
      <c r="C1" s="1404" t="s">
        <v>310</v>
      </c>
      <c r="D1" s="1405"/>
      <c r="E1" s="1405"/>
      <c r="F1" s="1405"/>
      <c r="G1" s="1405"/>
      <c r="H1" s="1405"/>
      <c r="I1" s="1405"/>
      <c r="J1" s="1405"/>
      <c r="K1" s="1405"/>
      <c r="L1" s="1405"/>
      <c r="M1" s="1405"/>
      <c r="N1" s="1405"/>
      <c r="O1" s="1405"/>
      <c r="P1" s="1405"/>
      <c r="Q1" s="1405"/>
      <c r="R1" s="1405"/>
      <c r="S1" s="1405"/>
      <c r="T1" s="1407"/>
      <c r="U1" s="1406"/>
      <c r="V1" s="1404" t="s">
        <v>310</v>
      </c>
      <c r="W1" s="1405"/>
      <c r="X1" s="1405"/>
      <c r="Y1" s="1405"/>
      <c r="Z1" s="1405"/>
      <c r="AA1" s="1405"/>
      <c r="AB1" s="1405"/>
      <c r="AC1" s="1405"/>
      <c r="AD1" s="1405"/>
      <c r="AE1" s="1405"/>
      <c r="AF1" s="1405"/>
      <c r="AG1" s="1405"/>
      <c r="AH1" s="1405"/>
      <c r="AI1" s="1406"/>
    </row>
    <row r="2" spans="1:35" ht="33" customHeight="1" x14ac:dyDescent="0.2">
      <c r="A2" s="1420"/>
      <c r="B2" s="1421"/>
      <c r="C2" s="1412" t="s">
        <v>1196</v>
      </c>
      <c r="D2" s="1401" t="s">
        <v>1446</v>
      </c>
      <c r="E2" s="1402"/>
      <c r="F2" s="1402"/>
      <c r="G2" s="1403"/>
      <c r="H2" s="1401" t="s">
        <v>964</v>
      </c>
      <c r="I2" s="1416"/>
      <c r="J2" s="1417"/>
      <c r="K2" s="1401" t="s">
        <v>961</v>
      </c>
      <c r="L2" s="1416"/>
      <c r="M2" s="1417"/>
      <c r="N2" s="1401" t="s">
        <v>962</v>
      </c>
      <c r="O2" s="1416"/>
      <c r="P2" s="1417"/>
      <c r="Q2" s="1401" t="s">
        <v>963</v>
      </c>
      <c r="R2" s="1416"/>
      <c r="S2" s="1417"/>
      <c r="T2" s="1412" t="s">
        <v>1271</v>
      </c>
      <c r="U2" s="1412" t="s">
        <v>432</v>
      </c>
      <c r="V2" s="1298" t="s">
        <v>228</v>
      </c>
      <c r="W2" s="1298"/>
      <c r="X2" s="1298"/>
      <c r="Y2" s="1412" t="s">
        <v>433</v>
      </c>
      <c r="Z2" s="1413" t="s">
        <v>391</v>
      </c>
      <c r="AA2" s="1413" t="s">
        <v>434</v>
      </c>
      <c r="AB2" s="1415" t="s">
        <v>1430</v>
      </c>
      <c r="AC2" s="1410" t="s">
        <v>1394</v>
      </c>
      <c r="AD2" s="1413" t="s">
        <v>923</v>
      </c>
      <c r="AE2" s="1413" t="s">
        <v>268</v>
      </c>
      <c r="AF2" s="1413" t="s">
        <v>269</v>
      </c>
      <c r="AG2" s="1413" t="s">
        <v>231</v>
      </c>
      <c r="AH2" s="1410" t="s">
        <v>1395</v>
      </c>
      <c r="AI2" s="1413" t="s">
        <v>435</v>
      </c>
    </row>
    <row r="3" spans="1:35" ht="113.45" customHeight="1" x14ac:dyDescent="0.2">
      <c r="A3" s="1422"/>
      <c r="B3" s="1423"/>
      <c r="C3" s="1424"/>
      <c r="D3" s="654" t="s">
        <v>392</v>
      </c>
      <c r="E3" s="654" t="s">
        <v>549</v>
      </c>
      <c r="F3" s="654" t="s">
        <v>392</v>
      </c>
      <c r="G3" s="654" t="s">
        <v>548</v>
      </c>
      <c r="H3" s="654" t="s">
        <v>1197</v>
      </c>
      <c r="I3" s="654" t="s">
        <v>392</v>
      </c>
      <c r="J3" s="654" t="s">
        <v>320</v>
      </c>
      <c r="K3" s="654" t="s">
        <v>1198</v>
      </c>
      <c r="L3" s="654" t="s">
        <v>392</v>
      </c>
      <c r="M3" s="654" t="s">
        <v>320</v>
      </c>
      <c r="N3" s="654" t="s">
        <v>1199</v>
      </c>
      <c r="O3" s="654" t="s">
        <v>392</v>
      </c>
      <c r="P3" s="654" t="s">
        <v>320</v>
      </c>
      <c r="Q3" s="654" t="s">
        <v>1199</v>
      </c>
      <c r="R3" s="654" t="s">
        <v>392</v>
      </c>
      <c r="S3" s="654" t="s">
        <v>320</v>
      </c>
      <c r="T3" s="1412"/>
      <c r="U3" s="1412"/>
      <c r="V3" s="537" t="s">
        <v>1186</v>
      </c>
      <c r="W3" s="537" t="s">
        <v>1187</v>
      </c>
      <c r="X3" s="537" t="s">
        <v>230</v>
      </c>
      <c r="Y3" s="1412"/>
      <c r="Z3" s="1414"/>
      <c r="AA3" s="1414"/>
      <c r="AB3" s="1415"/>
      <c r="AC3" s="1411"/>
      <c r="AD3" s="1414"/>
      <c r="AE3" s="1414"/>
      <c r="AF3" s="1414"/>
      <c r="AG3" s="1414"/>
      <c r="AH3" s="1411"/>
      <c r="AI3" s="1414"/>
    </row>
    <row r="4" spans="1:35" ht="14.25" customHeight="1" x14ac:dyDescent="0.2">
      <c r="A4" s="112"/>
      <c r="B4" s="113"/>
      <c r="C4" s="114">
        <v>1</v>
      </c>
      <c r="D4" s="114">
        <f t="shared" ref="D4:AB4" si="0">C4+1</f>
        <v>2</v>
      </c>
      <c r="E4" s="114">
        <f t="shared" si="0"/>
        <v>3</v>
      </c>
      <c r="F4" s="114">
        <f>E4+1</f>
        <v>4</v>
      </c>
      <c r="G4" s="114">
        <f>F4+1</f>
        <v>5</v>
      </c>
      <c r="H4" s="114">
        <f>G4+1</f>
        <v>6</v>
      </c>
      <c r="I4" s="114">
        <f>H4+1</f>
        <v>7</v>
      </c>
      <c r="J4" s="114">
        <f t="shared" si="0"/>
        <v>8</v>
      </c>
      <c r="K4" s="114">
        <f t="shared" si="0"/>
        <v>9</v>
      </c>
      <c r="L4" s="114">
        <f t="shared" si="0"/>
        <v>10</v>
      </c>
      <c r="M4" s="114">
        <f t="shared" si="0"/>
        <v>11</v>
      </c>
      <c r="N4" s="114">
        <f t="shared" si="0"/>
        <v>12</v>
      </c>
      <c r="O4" s="114">
        <f t="shared" si="0"/>
        <v>13</v>
      </c>
      <c r="P4" s="114">
        <f t="shared" si="0"/>
        <v>14</v>
      </c>
      <c r="Q4" s="114">
        <f t="shared" si="0"/>
        <v>15</v>
      </c>
      <c r="R4" s="114">
        <f t="shared" si="0"/>
        <v>16</v>
      </c>
      <c r="S4" s="114">
        <f t="shared" si="0"/>
        <v>17</v>
      </c>
      <c r="T4" s="873" t="s">
        <v>1298</v>
      </c>
      <c r="U4" s="114">
        <f>S4+1</f>
        <v>18</v>
      </c>
      <c r="V4" s="114">
        <f>U4+1</f>
        <v>19</v>
      </c>
      <c r="W4" s="114">
        <f>V4+1</f>
        <v>20</v>
      </c>
      <c r="X4" s="114">
        <f t="shared" si="0"/>
        <v>21</v>
      </c>
      <c r="Y4" s="114">
        <f t="shared" si="0"/>
        <v>22</v>
      </c>
      <c r="Z4" s="114">
        <f t="shared" si="0"/>
        <v>23</v>
      </c>
      <c r="AA4" s="114">
        <f t="shared" si="0"/>
        <v>24</v>
      </c>
      <c r="AB4" s="114">
        <f t="shared" si="0"/>
        <v>25</v>
      </c>
      <c r="AC4" s="114" t="s">
        <v>820</v>
      </c>
      <c r="AD4" s="114">
        <v>26</v>
      </c>
      <c r="AE4" s="114">
        <f>AD4+1</f>
        <v>27</v>
      </c>
      <c r="AF4" s="114">
        <f>AE4+1</f>
        <v>28</v>
      </c>
      <c r="AG4" s="114">
        <f>AF4+1</f>
        <v>29</v>
      </c>
      <c r="AH4" s="114" t="s">
        <v>821</v>
      </c>
      <c r="AI4" s="114">
        <v>30</v>
      </c>
    </row>
    <row r="5" spans="1:35" s="736" customFormat="1" ht="49.5" customHeight="1" x14ac:dyDescent="0.2">
      <c r="A5" s="733"/>
      <c r="B5" s="734"/>
      <c r="C5" s="735" t="s">
        <v>813</v>
      </c>
      <c r="D5" s="735" t="s">
        <v>822</v>
      </c>
      <c r="E5" s="735" t="s">
        <v>814</v>
      </c>
      <c r="F5" s="735" t="s">
        <v>733</v>
      </c>
      <c r="G5" s="735" t="s">
        <v>708</v>
      </c>
      <c r="H5" s="735" t="s">
        <v>965</v>
      </c>
      <c r="I5" s="735" t="s">
        <v>823</v>
      </c>
      <c r="J5" s="735" t="s">
        <v>824</v>
      </c>
      <c r="K5" s="735" t="s">
        <v>966</v>
      </c>
      <c r="L5" s="735" t="s">
        <v>825</v>
      </c>
      <c r="M5" s="735" t="s">
        <v>826</v>
      </c>
      <c r="N5" s="735" t="s">
        <v>967</v>
      </c>
      <c r="O5" s="735" t="s">
        <v>827</v>
      </c>
      <c r="P5" s="735" t="s">
        <v>828</v>
      </c>
      <c r="Q5" s="735" t="s">
        <v>968</v>
      </c>
      <c r="R5" s="735" t="s">
        <v>829</v>
      </c>
      <c r="S5" s="735" t="s">
        <v>830</v>
      </c>
      <c r="T5" s="871" t="s">
        <v>1272</v>
      </c>
      <c r="U5" s="735" t="s">
        <v>1299</v>
      </c>
      <c r="V5" s="735" t="s">
        <v>951</v>
      </c>
      <c r="W5" s="735" t="s">
        <v>952</v>
      </c>
      <c r="X5" s="735" t="s">
        <v>831</v>
      </c>
      <c r="Y5" s="735" t="s">
        <v>832</v>
      </c>
      <c r="Z5" s="735" t="s">
        <v>833</v>
      </c>
      <c r="AA5" s="735" t="s">
        <v>834</v>
      </c>
      <c r="AB5" s="735" t="s">
        <v>818</v>
      </c>
      <c r="AC5" s="735" t="s">
        <v>1128</v>
      </c>
      <c r="AD5" s="735" t="s">
        <v>997</v>
      </c>
      <c r="AE5" s="735" t="s">
        <v>956</v>
      </c>
      <c r="AF5" s="735" t="s">
        <v>835</v>
      </c>
      <c r="AG5" s="735" t="s">
        <v>969</v>
      </c>
      <c r="AH5" s="735" t="s">
        <v>1129</v>
      </c>
      <c r="AI5" s="735" t="s">
        <v>998</v>
      </c>
    </row>
    <row r="6" spans="1:35" s="736" customFormat="1" ht="11.25" hidden="1" x14ac:dyDescent="0.2">
      <c r="A6" s="737"/>
      <c r="B6" s="738"/>
      <c r="C6" s="735" t="s">
        <v>603</v>
      </c>
      <c r="D6" s="735"/>
      <c r="E6" s="735" t="s">
        <v>603</v>
      </c>
      <c r="F6" s="735"/>
      <c r="G6" s="735" t="s">
        <v>603</v>
      </c>
      <c r="H6" s="735" t="s">
        <v>603</v>
      </c>
      <c r="I6" s="735"/>
      <c r="J6" s="735" t="s">
        <v>603</v>
      </c>
      <c r="K6" s="735" t="s">
        <v>603</v>
      </c>
      <c r="L6" s="735"/>
      <c r="M6" s="735" t="s">
        <v>603</v>
      </c>
      <c r="N6" s="735" t="s">
        <v>603</v>
      </c>
      <c r="O6" s="735"/>
      <c r="P6" s="735" t="s">
        <v>603</v>
      </c>
      <c r="Q6" s="735" t="s">
        <v>603</v>
      </c>
      <c r="R6" s="735"/>
      <c r="S6" s="735" t="s">
        <v>603</v>
      </c>
      <c r="T6" s="871"/>
      <c r="U6" s="871"/>
      <c r="V6" s="735" t="s">
        <v>603</v>
      </c>
      <c r="W6" s="735" t="s">
        <v>603</v>
      </c>
      <c r="X6" s="735" t="s">
        <v>603</v>
      </c>
      <c r="Y6" s="735" t="s">
        <v>603</v>
      </c>
      <c r="Z6" s="735" t="s">
        <v>603</v>
      </c>
      <c r="AA6" s="735" t="s">
        <v>603</v>
      </c>
      <c r="AB6" s="735" t="s">
        <v>603</v>
      </c>
      <c r="AC6" s="735" t="s">
        <v>603</v>
      </c>
      <c r="AD6" s="735" t="s">
        <v>603</v>
      </c>
      <c r="AE6" s="735" t="s">
        <v>603</v>
      </c>
      <c r="AF6" s="735" t="s">
        <v>603</v>
      </c>
      <c r="AG6" s="735" t="s">
        <v>603</v>
      </c>
      <c r="AH6" s="735" t="s">
        <v>603</v>
      </c>
      <c r="AI6" s="735" t="s">
        <v>603</v>
      </c>
    </row>
    <row r="7" spans="1:35" s="7" customFormat="1" ht="26.25" customHeight="1" x14ac:dyDescent="0.2">
      <c r="A7" s="378">
        <v>321001</v>
      </c>
      <c r="B7" s="116" t="s">
        <v>335</v>
      </c>
      <c r="C7" s="117">
        <f>'5A2A_New Vision'!$C$84</f>
        <v>253</v>
      </c>
      <c r="D7" s="118"/>
      <c r="E7" s="119">
        <f>'5A2A_New Vision'!$E$84</f>
        <v>2238039.0285767899</v>
      </c>
      <c r="F7" s="119"/>
      <c r="G7" s="119">
        <f>'5A2A_New Vision'!$G$84</f>
        <v>181223.9</v>
      </c>
      <c r="H7" s="120">
        <f>'5A2A_New Vision'!$H$84</f>
        <v>212</v>
      </c>
      <c r="I7" s="118"/>
      <c r="J7" s="119">
        <f>'5A2A_New Vision'!$J$84</f>
        <v>128533.38974024811</v>
      </c>
      <c r="K7" s="120">
        <f>'5A2A_New Vision'!$K$84</f>
        <v>19</v>
      </c>
      <c r="L7" s="118"/>
      <c r="M7" s="119">
        <f>'5A2A_New Vision'!$M$84</f>
        <v>3209.5098663886156</v>
      </c>
      <c r="N7" s="120">
        <f>'5A2A_New Vision'!$N$84</f>
        <v>25</v>
      </c>
      <c r="O7" s="118"/>
      <c r="P7" s="119">
        <f>'5A2A_New Vision'!$P$84</f>
        <v>104004.55625506956</v>
      </c>
      <c r="Q7" s="120">
        <f>'5A2A_New Vision'!$Q$84</f>
        <v>0</v>
      </c>
      <c r="R7" s="118"/>
      <c r="S7" s="119">
        <f>'5A2A_New Vision'!$S$84</f>
        <v>0</v>
      </c>
      <c r="T7" s="1098">
        <f>'5A2A_New Vision'!$T$77</f>
        <v>26951</v>
      </c>
      <c r="U7" s="952">
        <f>'5A2A_New Vision'!$T$84</f>
        <v>2681960</v>
      </c>
      <c r="V7" s="118">
        <f>'5A2A_New Vision'!$U$84</f>
        <v>185765</v>
      </c>
      <c r="W7" s="118">
        <f>'5A2A_New Vision'!$V$84</f>
        <v>-72200</v>
      </c>
      <c r="X7" s="122">
        <f>'5A2A_New Vision'!$W$84</f>
        <v>113565</v>
      </c>
      <c r="Y7" s="121">
        <f>'5A2A_New Vision'!$X$84</f>
        <v>2795525</v>
      </c>
      <c r="Z7" s="119">
        <f>'5A2A_New Vision'!$Y$84</f>
        <v>-6990</v>
      </c>
      <c r="AA7" s="121">
        <f>'5A2A_New Vision'!$Z$84</f>
        <v>2788535</v>
      </c>
      <c r="AB7" s="118">
        <f>'5A2A_New Vision'!$AA$84</f>
        <v>0</v>
      </c>
      <c r="AC7" s="133">
        <f>'5A2A_New Vision'!$AB$79+'5A2A_New Vision'!$AB$83</f>
        <v>0</v>
      </c>
      <c r="AD7" s="121">
        <f>'5A2A_New Vision'!$AB$84</f>
        <v>2788535</v>
      </c>
      <c r="AE7" s="118">
        <f>'5A2A_New Vision'!$AC$84</f>
        <v>1802008</v>
      </c>
      <c r="AF7" s="118">
        <f>'5A2A_New Vision'!$AD$84</f>
        <v>986527</v>
      </c>
      <c r="AG7" s="121">
        <f>'5A2A_New Vision'!$AE$84</f>
        <v>246634</v>
      </c>
      <c r="AH7" s="133">
        <f>'5A2A_New Vision'!$AF$80+'5A2A_New Vision'!$AF$81+'5A2A_New Vision'!$AF$82</f>
        <v>0</v>
      </c>
      <c r="AI7" s="121">
        <f>'5A2A_New Vision'!$AF$84</f>
        <v>2788535</v>
      </c>
    </row>
    <row r="8" spans="1:35" s="7" customFormat="1" ht="26.25" customHeight="1" x14ac:dyDescent="0.2">
      <c r="A8" s="383">
        <v>329001</v>
      </c>
      <c r="B8" s="134" t="s">
        <v>336</v>
      </c>
      <c r="C8" s="135">
        <f>'5A2B_Glencoe'!$C$84</f>
        <v>329</v>
      </c>
      <c r="D8" s="136"/>
      <c r="E8" s="137">
        <f>'5A2B_Glencoe'!$E$84</f>
        <v>2733491.8799428893</v>
      </c>
      <c r="F8" s="137"/>
      <c r="G8" s="137">
        <f>'5A2B_Glencoe'!$G$84</f>
        <v>196873.59999999998</v>
      </c>
      <c r="H8" s="138">
        <f>'5A2B_Glencoe'!$H$84</f>
        <v>248</v>
      </c>
      <c r="I8" s="136"/>
      <c r="J8" s="137">
        <f>'5A2B_Glencoe'!$J$84</f>
        <v>154020.96549652913</v>
      </c>
      <c r="K8" s="138">
        <f>'5A2B_Glencoe'!$K$84</f>
        <v>0</v>
      </c>
      <c r="L8" s="136"/>
      <c r="M8" s="137">
        <f>'5A2B_Glencoe'!$M$84</f>
        <v>0</v>
      </c>
      <c r="N8" s="138">
        <f>'5A2B_Glencoe'!$N$84</f>
        <v>40</v>
      </c>
      <c r="O8" s="136"/>
      <c r="P8" s="137">
        <f>'5A2B_Glencoe'!$P$84</f>
        <v>169427.34157120119</v>
      </c>
      <c r="Q8" s="138">
        <f>'5A2B_Glencoe'!$Q$84</f>
        <v>2</v>
      </c>
      <c r="R8" s="136"/>
      <c r="S8" s="137">
        <f>'5A2B_Glencoe'!$S$84</f>
        <v>3334.8494647500174</v>
      </c>
      <c r="T8" s="1099">
        <f>'5A2B_Glencoe'!$T$77</f>
        <v>50515</v>
      </c>
      <c r="U8" s="872">
        <f>'5A2B_Glencoe'!$T$84</f>
        <v>3307663</v>
      </c>
      <c r="V8" s="136">
        <f>'5A2B_Glencoe'!$U$84</f>
        <v>194825</v>
      </c>
      <c r="W8" s="136">
        <f>'5A2B_Glencoe'!$V$84</f>
        <v>-9589</v>
      </c>
      <c r="X8" s="140">
        <f>'5A2B_Glencoe'!$W$84</f>
        <v>185236</v>
      </c>
      <c r="Y8" s="139">
        <f>'5A2B_Glencoe'!$X$84</f>
        <v>3492899</v>
      </c>
      <c r="Z8" s="137">
        <f>'5A2B_Glencoe'!$Y$84</f>
        <v>-8733</v>
      </c>
      <c r="AA8" s="139">
        <f>'5A2B_Glencoe'!$Z$84</f>
        <v>3484166</v>
      </c>
      <c r="AB8" s="136">
        <f>'5A2B_Glencoe'!$AA$84</f>
        <v>8363</v>
      </c>
      <c r="AC8" s="141">
        <f>'5A2B_Glencoe'!$AB$79+'5A2B_Glencoe'!$AB$83</f>
        <v>3540</v>
      </c>
      <c r="AD8" s="139">
        <f>'5A2B_Glencoe'!$AB$84</f>
        <v>3496069</v>
      </c>
      <c r="AE8" s="136">
        <f>'5A2B_Glencoe'!$AC$84</f>
        <v>2193878</v>
      </c>
      <c r="AF8" s="136">
        <f>'5A2B_Glencoe'!$AD$84</f>
        <v>1302191</v>
      </c>
      <c r="AG8" s="139">
        <f>'5A2B_Glencoe'!$AE$84</f>
        <v>325548</v>
      </c>
      <c r="AH8" s="141">
        <f>'5A2B_Glencoe'!$AF$80+'5A2B_Glencoe'!$AF$81+'5A2B_Glencoe'!$AF$82</f>
        <v>10000</v>
      </c>
      <c r="AI8" s="139">
        <f>'5A2B_Glencoe'!$AF$84</f>
        <v>3506069</v>
      </c>
    </row>
    <row r="9" spans="1:35" s="7" customFormat="1" ht="26.25" customHeight="1" x14ac:dyDescent="0.2">
      <c r="A9" s="383">
        <v>331001</v>
      </c>
      <c r="B9" s="134" t="s">
        <v>337</v>
      </c>
      <c r="C9" s="135">
        <f>'5A2C_ISL'!$C$84</f>
        <v>1387</v>
      </c>
      <c r="D9" s="136"/>
      <c r="E9" s="137">
        <f>'5A2C_ISL'!$E$84</f>
        <v>11853857.573094692</v>
      </c>
      <c r="F9" s="137"/>
      <c r="G9" s="137">
        <f>'5A2C_ISL'!$G$84</f>
        <v>991441.47</v>
      </c>
      <c r="H9" s="138">
        <f>'5A2C_ISL'!$H$84</f>
        <v>891</v>
      </c>
      <c r="I9" s="136"/>
      <c r="J9" s="137">
        <f>'5A2C_ISL'!$J$84</f>
        <v>421305.4111953461</v>
      </c>
      <c r="K9" s="138">
        <f>'5A2C_ISL'!$K$84</f>
        <v>0</v>
      </c>
      <c r="L9" s="136"/>
      <c r="M9" s="137">
        <f>'5A2C_ISL'!$M$84</f>
        <v>0</v>
      </c>
      <c r="N9" s="138">
        <f>'5A2C_ISL'!$N$84</f>
        <v>78</v>
      </c>
      <c r="O9" s="136"/>
      <c r="P9" s="137">
        <f>'5A2C_ISL'!$P$84</f>
        <v>253510.60219389756</v>
      </c>
      <c r="Q9" s="138">
        <f>'5A2C_ISL'!$Q$84</f>
        <v>0</v>
      </c>
      <c r="R9" s="136"/>
      <c r="S9" s="137">
        <f>'5A2C_ISL'!$S$84</f>
        <v>0</v>
      </c>
      <c r="T9" s="1099">
        <f>'5A2C_ISL'!$T$77</f>
        <v>213769</v>
      </c>
      <c r="U9" s="872">
        <f>'5A2C_ISL'!$T$84</f>
        <v>13733884</v>
      </c>
      <c r="V9" s="136">
        <f>'5A2C_ISL'!$U$84</f>
        <v>139296</v>
      </c>
      <c r="W9" s="136">
        <f>'5A2C_ISL'!$V$84</f>
        <v>-105782</v>
      </c>
      <c r="X9" s="140">
        <f>'5A2C_ISL'!$W$84</f>
        <v>33514</v>
      </c>
      <c r="Y9" s="139">
        <f>'5A2C_ISL'!$X$84</f>
        <v>13767398</v>
      </c>
      <c r="Z9" s="137">
        <f>'5A2C_ISL'!$Y$84</f>
        <v>-34419</v>
      </c>
      <c r="AA9" s="139">
        <f>'5A2C_ISL'!$Z$84</f>
        <v>13732979</v>
      </c>
      <c r="AB9" s="136">
        <f>'5A2C_ISL'!$AA$84</f>
        <v>4573</v>
      </c>
      <c r="AC9" s="141">
        <f>'5A2C_ISL'!$AB$79+'5A2C_ISL'!$AB$83</f>
        <v>430089</v>
      </c>
      <c r="AD9" s="139">
        <f>'5A2C_ISL'!$AB$84</f>
        <v>14167641</v>
      </c>
      <c r="AE9" s="136">
        <f>'5A2C_ISL'!$AC$84</f>
        <v>9492600</v>
      </c>
      <c r="AF9" s="136">
        <f>'5A2C_ISL'!$AD$84</f>
        <v>4675041</v>
      </c>
      <c r="AG9" s="139">
        <f>'5A2C_ISL'!$AE$84</f>
        <v>1168761</v>
      </c>
      <c r="AH9" s="141">
        <f>'5A2C_ISL'!$AF$80+'5A2C_ISL'!$AF$81+'5A2C_ISL'!$AF$82</f>
        <v>66000</v>
      </c>
      <c r="AI9" s="139">
        <f>'5A2C_ISL'!$AF$84</f>
        <v>14233641</v>
      </c>
    </row>
    <row r="10" spans="1:35" s="7" customFormat="1" ht="26.25" customHeight="1" x14ac:dyDescent="0.2">
      <c r="A10" s="383">
        <v>333001</v>
      </c>
      <c r="B10" s="134" t="s">
        <v>403</v>
      </c>
      <c r="C10" s="135">
        <f>'5A2D_Avoyelles'!$C$84</f>
        <v>718</v>
      </c>
      <c r="D10" s="136"/>
      <c r="E10" s="137">
        <f>'5A2D_Avoyelles'!$E$84</f>
        <v>4587500.3438631045</v>
      </c>
      <c r="F10" s="137"/>
      <c r="G10" s="137">
        <f>'5A2D_Avoyelles'!$G$84</f>
        <v>384934.16</v>
      </c>
      <c r="H10" s="138">
        <f>'5A2D_Avoyelles'!$H$84</f>
        <v>402</v>
      </c>
      <c r="I10" s="136"/>
      <c r="J10" s="137">
        <f>'5A2D_Avoyelles'!$J$84</f>
        <v>284149.67419345112</v>
      </c>
      <c r="K10" s="138">
        <f>'5A2D_Avoyelles'!$K$84</f>
        <v>97</v>
      </c>
      <c r="L10" s="136"/>
      <c r="M10" s="137">
        <f>'5A2D_Avoyelles'!$M$84</f>
        <v>18726.08760111811</v>
      </c>
      <c r="N10" s="138">
        <f>'5A2D_Avoyelles'!$N$84</f>
        <v>34</v>
      </c>
      <c r="O10" s="136"/>
      <c r="P10" s="137">
        <f>'5A2D_Avoyelles'!$P$84</f>
        <v>164094.58207165357</v>
      </c>
      <c r="Q10" s="138">
        <f>'5A2D_Avoyelles'!$Q$84</f>
        <v>0</v>
      </c>
      <c r="R10" s="136"/>
      <c r="S10" s="137">
        <f>'5A2D_Avoyelles'!$S$84</f>
        <v>0</v>
      </c>
      <c r="T10" s="1099">
        <f>'5A2D_Avoyelles'!$T$77</f>
        <v>68513</v>
      </c>
      <c r="U10" s="872">
        <f>'5A2D_Avoyelles'!$T$84</f>
        <v>5507919</v>
      </c>
      <c r="V10" s="136">
        <f>'5A2D_Avoyelles'!$U$84</f>
        <v>188321</v>
      </c>
      <c r="W10" s="136">
        <f>'5A2D_Avoyelles'!$V$84</f>
        <v>-58312</v>
      </c>
      <c r="X10" s="140">
        <f>'5A2D_Avoyelles'!$W$84</f>
        <v>130009</v>
      </c>
      <c r="Y10" s="139">
        <f>'5A2D_Avoyelles'!$X$84</f>
        <v>5637928</v>
      </c>
      <c r="Z10" s="137">
        <f>'5A2D_Avoyelles'!$Y$84</f>
        <v>-14095</v>
      </c>
      <c r="AA10" s="139">
        <f>'5A2D_Avoyelles'!$Z$84</f>
        <v>5623833</v>
      </c>
      <c r="AB10" s="136">
        <f>'5A2D_Avoyelles'!$AA$84</f>
        <v>6101</v>
      </c>
      <c r="AC10" s="141">
        <f>'5A2D_Avoyelles'!$AB$79+'5A2D_Avoyelles'!$AB$83</f>
        <v>19706</v>
      </c>
      <c r="AD10" s="139">
        <f>'5A2D_Avoyelles'!$AB$84</f>
        <v>5649640</v>
      </c>
      <c r="AE10" s="136">
        <f>'5A2D_Avoyelles'!$AC$84</f>
        <v>3676072</v>
      </c>
      <c r="AF10" s="136">
        <f>'5A2D_Avoyelles'!$AD$84</f>
        <v>1973568</v>
      </c>
      <c r="AG10" s="139">
        <f>'5A2D_Avoyelles'!$AE$84</f>
        <v>493394</v>
      </c>
      <c r="AH10" s="141">
        <f>'5A2D_Avoyelles'!$AF$80+'5A2D_Avoyelles'!$AF$81+'5A2D_Avoyelles'!$AF$82</f>
        <v>10000</v>
      </c>
      <c r="AI10" s="139">
        <f>'5A2D_Avoyelles'!$AF$84</f>
        <v>5659640</v>
      </c>
    </row>
    <row r="11" spans="1:35" s="7" customFormat="1" ht="26.25" customHeight="1" x14ac:dyDescent="0.2">
      <c r="A11" s="388">
        <v>336001</v>
      </c>
      <c r="B11" s="148" t="s">
        <v>331</v>
      </c>
      <c r="C11" s="149">
        <f>'5A2E_Delhi'!$C$84</f>
        <v>870</v>
      </c>
      <c r="D11" s="150"/>
      <c r="E11" s="151">
        <f>'5A2E_Delhi'!$E$84</f>
        <v>7071656.3581939079</v>
      </c>
      <c r="F11" s="151"/>
      <c r="G11" s="151">
        <f>'5A2E_Delhi'!$G$84</f>
        <v>458507.39999999997</v>
      </c>
      <c r="H11" s="152">
        <f>'5A2E_Delhi'!$H$84</f>
        <v>656</v>
      </c>
      <c r="I11" s="150"/>
      <c r="J11" s="151">
        <f>'5A2E_Delhi'!$J$84</f>
        <v>406822.45616199379</v>
      </c>
      <c r="K11" s="152">
        <f>'5A2E_Delhi'!$K$84</f>
        <v>295</v>
      </c>
      <c r="L11" s="150"/>
      <c r="M11" s="151">
        <f>'5A2E_Delhi'!$M$84</f>
        <v>49971.761305925334</v>
      </c>
      <c r="N11" s="152">
        <f>'5A2E_Delhi'!$N$84</f>
        <v>65</v>
      </c>
      <c r="O11" s="150"/>
      <c r="P11" s="151">
        <f>'5A2E_Delhi'!$P$84</f>
        <v>275694.1480173117</v>
      </c>
      <c r="Q11" s="152">
        <f>'5A2E_Delhi'!$Q$84</f>
        <v>7</v>
      </c>
      <c r="R11" s="150"/>
      <c r="S11" s="151">
        <f>'5A2E_Delhi'!$S$84</f>
        <v>12203.011353679445</v>
      </c>
      <c r="T11" s="1031">
        <f>'5A2E_Delhi'!$T$77</f>
        <v>104242</v>
      </c>
      <c r="U11" s="953">
        <f>'5A2E_Delhi'!$T$84</f>
        <v>8379098</v>
      </c>
      <c r="V11" s="150">
        <f>'5A2E_Delhi'!$U$84</f>
        <v>-146984</v>
      </c>
      <c r="W11" s="150">
        <f>'5A2E_Delhi'!$V$84</f>
        <v>-116776</v>
      </c>
      <c r="X11" s="154">
        <f>'5A2E_Delhi'!$W$84</f>
        <v>-263760</v>
      </c>
      <c r="Y11" s="153">
        <f>'5A2E_Delhi'!$X$84</f>
        <v>8115338</v>
      </c>
      <c r="Z11" s="151">
        <f>'5A2E_Delhi'!$Y$84</f>
        <v>-20289</v>
      </c>
      <c r="AA11" s="153">
        <f>'5A2E_Delhi'!$Z$84</f>
        <v>8095049</v>
      </c>
      <c r="AB11" s="150">
        <f>'5A2E_Delhi'!$AA$84</f>
        <v>0</v>
      </c>
      <c r="AC11" s="155">
        <f>'5A2E_Delhi'!$AB$79+'5A2E_Delhi'!$AB$83</f>
        <v>23246</v>
      </c>
      <c r="AD11" s="153">
        <f>'5A2E_Delhi'!$AB$84</f>
        <v>8118295</v>
      </c>
      <c r="AE11" s="150">
        <f>'5A2E_Delhi'!$AC$84</f>
        <v>5535154</v>
      </c>
      <c r="AF11" s="156">
        <f>'5A2E_Delhi'!$AD$84</f>
        <v>2583141</v>
      </c>
      <c r="AG11" s="153">
        <f>'5A2E_Delhi'!$AE$84</f>
        <v>645785</v>
      </c>
      <c r="AH11" s="155">
        <f>'5A2E_Delhi'!$AF$80+'5A2E_Delhi'!$AF$81+'5A2E_Delhi'!$AF$82</f>
        <v>43862</v>
      </c>
      <c r="AI11" s="157">
        <f>'5A2E_Delhi'!$AF$84</f>
        <v>8162157</v>
      </c>
    </row>
    <row r="12" spans="1:35" s="7" customFormat="1" ht="26.25" customHeight="1" x14ac:dyDescent="0.2">
      <c r="A12" s="378">
        <v>337001</v>
      </c>
      <c r="B12" s="116" t="s">
        <v>338</v>
      </c>
      <c r="C12" s="117">
        <f>'5A2F_Belle Chasse'!$C$84</f>
        <v>960</v>
      </c>
      <c r="D12" s="118"/>
      <c r="E12" s="119">
        <f>'5A2F_Belle Chasse'!$E$84</f>
        <v>10242618.097803583</v>
      </c>
      <c r="F12" s="119"/>
      <c r="G12" s="119">
        <f>'5A2F_Belle Chasse'!$G$84</f>
        <v>757343.99999999988</v>
      </c>
      <c r="H12" s="120">
        <f>'5A2F_Belle Chasse'!$H$84</f>
        <v>420</v>
      </c>
      <c r="I12" s="118"/>
      <c r="J12" s="119">
        <f>'5A2F_Belle Chasse'!$J$84</f>
        <v>142964.06230053416</v>
      </c>
      <c r="K12" s="120">
        <f>'5A2F_Belle Chasse'!$K$84</f>
        <v>0</v>
      </c>
      <c r="L12" s="118"/>
      <c r="M12" s="119">
        <f>'5A2F_Belle Chasse'!$M$84</f>
        <v>0</v>
      </c>
      <c r="N12" s="120">
        <f>'5A2F_Belle Chasse'!$N$84</f>
        <v>102</v>
      </c>
      <c r="O12" s="118"/>
      <c r="P12" s="119">
        <f>'5A2F_Belle Chasse'!$P$84</f>
        <v>222776.64358730242</v>
      </c>
      <c r="Q12" s="120">
        <f>'5A2F_Belle Chasse'!$Q$84</f>
        <v>52</v>
      </c>
      <c r="R12" s="118"/>
      <c r="S12" s="119">
        <f>'5A2F_Belle Chasse'!$S$84</f>
        <v>50463.453216713897</v>
      </c>
      <c r="T12" s="1098">
        <f>'5A2F_Belle Chasse'!$T$77</f>
        <v>170578</v>
      </c>
      <c r="U12" s="952">
        <f>'5A2F_Belle Chasse'!$T$84</f>
        <v>11586744</v>
      </c>
      <c r="V12" s="118">
        <f>'5A2F_Belle Chasse'!$U$84</f>
        <v>-604420</v>
      </c>
      <c r="W12" s="118">
        <f>'5A2F_Belle Chasse'!$V$84</f>
        <v>119265</v>
      </c>
      <c r="X12" s="122">
        <f>'5A2F_Belle Chasse'!$W$84</f>
        <v>-485155</v>
      </c>
      <c r="Y12" s="121">
        <f>'5A2F_Belle Chasse'!$X$84</f>
        <v>11101589</v>
      </c>
      <c r="Z12" s="119">
        <f>'5A2F_Belle Chasse'!$Y$84</f>
        <v>-27754</v>
      </c>
      <c r="AA12" s="121">
        <f>'5A2F_Belle Chasse'!$Z$84</f>
        <v>11073835</v>
      </c>
      <c r="AB12" s="118">
        <f>'5A2F_Belle Chasse'!$AA$84</f>
        <v>3171</v>
      </c>
      <c r="AC12" s="133">
        <f>'5A2F_Belle Chasse'!$AB$79+'5A2F_Belle Chasse'!$AB$83</f>
        <v>11446</v>
      </c>
      <c r="AD12" s="121">
        <f>'5A2F_Belle Chasse'!$AB$84</f>
        <v>11088452</v>
      </c>
      <c r="AE12" s="118">
        <f>'5A2F_Belle Chasse'!$AC$84</f>
        <v>7498496</v>
      </c>
      <c r="AF12" s="118">
        <f>'5A2F_Belle Chasse'!$AD$84</f>
        <v>3589956</v>
      </c>
      <c r="AG12" s="121">
        <f>'5A2F_Belle Chasse'!$AE$84</f>
        <v>897491</v>
      </c>
      <c r="AH12" s="133">
        <f>'5A2F_Belle Chasse'!$AF$80+'5A2F_Belle Chasse'!$AF$81+'5A2F_Belle Chasse'!$AF$82</f>
        <v>0</v>
      </c>
      <c r="AI12" s="121">
        <f>'5A2F_Belle Chasse'!$AF$84</f>
        <v>11088452</v>
      </c>
    </row>
    <row r="13" spans="1:35" s="7" customFormat="1" ht="26.25" customHeight="1" x14ac:dyDescent="0.2">
      <c r="A13" s="383">
        <v>340001</v>
      </c>
      <c r="B13" s="134" t="s">
        <v>404</v>
      </c>
      <c r="C13" s="135">
        <f>'5A2H_MAX'!$C$84</f>
        <v>120</v>
      </c>
      <c r="D13" s="136"/>
      <c r="E13" s="137">
        <f>'5A2H_MAX'!$E$84</f>
        <v>1032073.5611021721</v>
      </c>
      <c r="F13" s="137"/>
      <c r="G13" s="137">
        <f>'5A2H_MAX'!$G$84</f>
        <v>79105.2</v>
      </c>
      <c r="H13" s="138">
        <f>'5A2H_MAX'!$H$84</f>
        <v>52</v>
      </c>
      <c r="I13" s="136"/>
      <c r="J13" s="137">
        <f>'5A2H_MAX'!$J$84</f>
        <v>30185.329876890057</v>
      </c>
      <c r="K13" s="138">
        <f>'5A2H_MAX'!$K$84</f>
        <v>0</v>
      </c>
      <c r="L13" s="136"/>
      <c r="M13" s="137">
        <f>'5A2H_MAX'!$M$84</f>
        <v>0</v>
      </c>
      <c r="N13" s="138">
        <f>'5A2H_MAX'!$N$84</f>
        <v>23</v>
      </c>
      <c r="O13" s="136"/>
      <c r="P13" s="137">
        <f>'5A2H_MAX'!$P$84</f>
        <v>92124.820657311953</v>
      </c>
      <c r="Q13" s="138">
        <f>'5A2H_MAX'!$Q$84</f>
        <v>0</v>
      </c>
      <c r="R13" s="136"/>
      <c r="S13" s="137">
        <f>'5A2H_MAX'!$S$84</f>
        <v>0</v>
      </c>
      <c r="T13" s="1099">
        <f>'5A2H_MAX'!$T$77</f>
        <v>23332</v>
      </c>
      <c r="U13" s="872">
        <f>'5A2H_MAX'!$T$84</f>
        <v>1256821</v>
      </c>
      <c r="V13" s="136">
        <f>'5A2H_MAX'!$U$84</f>
        <v>-2375</v>
      </c>
      <c r="W13" s="136">
        <f>'5A2H_MAX'!$V$84</f>
        <v>-13684</v>
      </c>
      <c r="X13" s="140">
        <f>'5A2H_MAX'!$W$84</f>
        <v>-16059</v>
      </c>
      <c r="Y13" s="139">
        <f>'5A2H_MAX'!$X$84</f>
        <v>1240762</v>
      </c>
      <c r="Z13" s="137">
        <f>'5A2H_MAX'!$Y$84</f>
        <v>-3101</v>
      </c>
      <c r="AA13" s="139">
        <f>'5A2H_MAX'!$Z$84</f>
        <v>1237661</v>
      </c>
      <c r="AB13" s="136">
        <f>'5A2H_MAX'!$AA$84</f>
        <v>0</v>
      </c>
      <c r="AC13" s="141">
        <f>'5A2H_MAX'!$AB$79+'5A2H_MAX'!$AB$83</f>
        <v>2242</v>
      </c>
      <c r="AD13" s="139">
        <f>'5A2H_MAX'!$AB$84</f>
        <v>1239903</v>
      </c>
      <c r="AE13" s="136">
        <f>'5A2H_MAX'!$AC$84</f>
        <v>828938</v>
      </c>
      <c r="AF13" s="136">
        <f>'5A2H_MAX'!$AD$84</f>
        <v>410965</v>
      </c>
      <c r="AG13" s="139">
        <f>'5A2H_MAX'!$AE$84</f>
        <v>102742</v>
      </c>
      <c r="AH13" s="141">
        <f>'5A2H_MAX'!$AF$80+'5A2H_MAX'!$AF$81+'5A2H_MAX'!$AF$82</f>
        <v>3856</v>
      </c>
      <c r="AI13" s="139">
        <f>'5A2H_MAX'!$AF$84</f>
        <v>1243759</v>
      </c>
    </row>
    <row r="14" spans="1:35" s="30" customFormat="1" ht="26.25" customHeight="1" thickBot="1" x14ac:dyDescent="0.25">
      <c r="A14" s="1408" t="s">
        <v>374</v>
      </c>
      <c r="B14" s="1409"/>
      <c r="C14" s="163">
        <f>SUM(C7:C13)</f>
        <v>4637</v>
      </c>
      <c r="D14" s="164"/>
      <c r="E14" s="165">
        <f>SUM(E7:E13)</f>
        <v>39759236.842577145</v>
      </c>
      <c r="F14" s="165"/>
      <c r="G14" s="165">
        <f>SUM(G7:G13)</f>
        <v>3049429.73</v>
      </c>
      <c r="H14" s="163">
        <f>SUM(H7:H13)</f>
        <v>2881</v>
      </c>
      <c r="I14" s="164"/>
      <c r="J14" s="165">
        <f>SUM(J7:J13)</f>
        <v>1567981.2889649924</v>
      </c>
      <c r="K14" s="163">
        <f>SUM(K7:K13)</f>
        <v>411</v>
      </c>
      <c r="L14" s="164"/>
      <c r="M14" s="165">
        <f>SUM(M7:M13)</f>
        <v>71907.358773432061</v>
      </c>
      <c r="N14" s="163">
        <f>SUM(N7:N13)</f>
        <v>367</v>
      </c>
      <c r="O14" s="164"/>
      <c r="P14" s="165">
        <f>SUM(P7:P13)</f>
        <v>1281632.6943537481</v>
      </c>
      <c r="Q14" s="163">
        <f>SUM(Q7:Q13)</f>
        <v>61</v>
      </c>
      <c r="R14" s="164"/>
      <c r="S14" s="165">
        <f t="shared" ref="S14:AI14" si="1">SUM(S7:S13)</f>
        <v>66001.314035143354</v>
      </c>
      <c r="T14" s="1100">
        <f>SUM(T7:T13)</f>
        <v>657900</v>
      </c>
      <c r="U14" s="954">
        <f>SUM(U7:U13)</f>
        <v>46454089</v>
      </c>
      <c r="V14" s="164">
        <f t="shared" si="1"/>
        <v>-45572</v>
      </c>
      <c r="W14" s="164">
        <f t="shared" si="1"/>
        <v>-257078</v>
      </c>
      <c r="X14" s="167">
        <f t="shared" si="1"/>
        <v>-302650</v>
      </c>
      <c r="Y14" s="166">
        <f t="shared" si="1"/>
        <v>46151439</v>
      </c>
      <c r="Z14" s="165">
        <f t="shared" si="1"/>
        <v>-115381</v>
      </c>
      <c r="AA14" s="166">
        <f t="shared" si="1"/>
        <v>46036058</v>
      </c>
      <c r="AB14" s="165">
        <f t="shared" si="1"/>
        <v>22208</v>
      </c>
      <c r="AC14" s="168">
        <f t="shared" si="1"/>
        <v>490269</v>
      </c>
      <c r="AD14" s="166">
        <f t="shared" si="1"/>
        <v>46548535</v>
      </c>
      <c r="AE14" s="165">
        <f t="shared" si="1"/>
        <v>31027146</v>
      </c>
      <c r="AF14" s="165">
        <f t="shared" si="1"/>
        <v>15521389</v>
      </c>
      <c r="AG14" s="166">
        <f t="shared" si="1"/>
        <v>3880355</v>
      </c>
      <c r="AH14" s="168">
        <f t="shared" si="1"/>
        <v>133718</v>
      </c>
      <c r="AI14" s="166">
        <f t="shared" si="1"/>
        <v>46682253</v>
      </c>
    </row>
    <row r="15" spans="1:3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AC2:AC3"/>
    <mergeCell ref="AF2:AF3"/>
    <mergeCell ref="AG2:AG3"/>
    <mergeCell ref="AI2:AI3"/>
    <mergeCell ref="H2:J2"/>
    <mergeCell ref="K2:M2"/>
    <mergeCell ref="N2:P2"/>
    <mergeCell ref="T2:T3"/>
    <mergeCell ref="D2:G2"/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&amp;L&amp;"Arial,Bold"&amp;20&amp;K000000FY2019-20 Budget Letter
March 2020</oddHeader>
    <oddFooter>&amp;R&amp;P</oddFooter>
  </headerFooter>
  <colBreaks count="1" manualBreakCount="1">
    <brk id="2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124</vt:i4>
      </vt:variant>
    </vt:vector>
  </HeadingPairs>
  <TitlesOfParts>
    <vt:vector size="187" baseType="lpstr"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8_2.1.19 SIS</vt:lpstr>
      <vt:lpstr>8A_2.1.19 RSD Op &amp; 5s</vt:lpstr>
      <vt:lpstr>Source Data</vt:lpstr>
      <vt:lpstr>LEA Pay Raise</vt:lpstr>
      <vt:lpstr>Per Pupil_Weighted Funding</vt:lpstr>
      <vt:lpstr>Pay Raise By Residency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'8_2.1.19 SIS'!Print_Area</vt:lpstr>
      <vt:lpstr>'8A_2.1.19 RSD Op &amp; 5s'!Print_Area</vt:lpstr>
      <vt:lpstr>'LEA Pay Raise'!Print_Area</vt:lpstr>
      <vt:lpstr>'Pay Raise By Residency'!Print_Area</vt:lpstr>
      <vt:lpstr>'Per Pupil_Weighted Funding'!Print_Area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'8_2.1.19 SIS'!Print_Titles</vt:lpstr>
      <vt:lpstr>'LEA Pay Raise'!Print_Titles</vt:lpstr>
      <vt:lpstr>'Pay Raise By Residency'!Print_Titles</vt:lpstr>
      <vt:lpstr>'Per Pupil_Weighted Funding'!Print_Titles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2020-03-23T17:09:58Z</cp:lastPrinted>
  <dcterms:created xsi:type="dcterms:W3CDTF">1999-11-15T20:37:39Z</dcterms:created>
  <dcterms:modified xsi:type="dcterms:W3CDTF">2020-03-23T17:11:52Z</dcterms:modified>
</cp:coreProperties>
</file>