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jbaird\Documents\"/>
    </mc:Choice>
  </mc:AlternateContent>
  <workbookProtection workbookAlgorithmName="SHA-512" workbookHashValue="bH6frQ8ZGfIxEKajgBRWltIM4h6olVB/JOXmKSgmYS5a8iKEB9OhFBBmHYuuF6pT307wYjhwqZaHVyTksV7CKw==" workbookSaltValue="HmlMtv/36/wqpWYEsug63g==" workbookSpinCount="100000" lockStructure="1"/>
  <bookViews>
    <workbookView xWindow="0" yWindow="0" windowWidth="20490" windowHeight="9050"/>
  </bookViews>
  <sheets>
    <sheet name="Info" sheetId="8" r:id="rId1"/>
    <sheet name="K8" sheetId="2" r:id="rId2"/>
    <sheet name="HS" sheetId="3" r:id="rId3"/>
    <sheet name="CB" sheetId="7" r:id="rId4"/>
  </sheets>
  <calcPr calcId="162913"/>
</workbook>
</file>

<file path=xl/calcChain.xml><?xml version="1.0" encoding="utf-8"?>
<calcChain xmlns="http://schemas.openxmlformats.org/spreadsheetml/2006/main">
  <c r="E85" i="3" l="1"/>
  <c r="G17" i="2"/>
  <c r="E29" i="2"/>
  <c r="E86" i="3"/>
  <c r="E87" i="3"/>
  <c r="E88" i="3"/>
  <c r="E30" i="2"/>
  <c r="E31" i="2"/>
  <c r="E32" i="2"/>
  <c r="E89" i="3" l="1"/>
  <c r="E33" i="2"/>
  <c r="E12" i="2" l="1"/>
  <c r="E10" i="2"/>
  <c r="E11" i="2" s="1"/>
  <c r="E13" i="2" l="1"/>
  <c r="L80" i="3" l="1"/>
  <c r="K80" i="3"/>
  <c r="G5" i="2" l="1"/>
  <c r="H73" i="3" l="1"/>
  <c r="H72" i="3"/>
  <c r="H71" i="3"/>
  <c r="H70" i="3"/>
  <c r="H66" i="3"/>
  <c r="H59" i="3"/>
  <c r="H56" i="3"/>
  <c r="G74" i="3"/>
  <c r="H48" i="3"/>
  <c r="H47" i="3"/>
  <c r="H46" i="3"/>
  <c r="H45" i="3"/>
  <c r="H44" i="3"/>
  <c r="H43" i="3"/>
  <c r="H42" i="3"/>
  <c r="H41" i="3"/>
  <c r="G48" i="3"/>
  <c r="G47" i="3"/>
  <c r="G46" i="3"/>
  <c r="G45" i="3"/>
  <c r="G44" i="3"/>
  <c r="G43" i="3"/>
  <c r="G42" i="3"/>
  <c r="G41" i="3"/>
  <c r="G49" i="3" s="1"/>
  <c r="H10" i="3" s="1"/>
  <c r="K35" i="3"/>
  <c r="J35" i="3"/>
  <c r="H20" i="2"/>
  <c r="H19" i="2"/>
  <c r="H18" i="2"/>
  <c r="H17" i="2"/>
  <c r="H49" i="3" l="1"/>
  <c r="H21" i="2"/>
  <c r="F11" i="3"/>
  <c r="H4" i="3" s="1"/>
  <c r="K36" i="3"/>
  <c r="P10" i="3" s="1"/>
  <c r="L81" i="3"/>
  <c r="F10" i="3" s="1"/>
  <c r="H3" i="3" s="1"/>
  <c r="G4" i="2"/>
  <c r="G20" i="2"/>
  <c r="G19" i="2"/>
  <c r="G18" i="2"/>
  <c r="G21" i="2" l="1"/>
  <c r="P11" i="3"/>
  <c r="E10" i="3"/>
  <c r="G3" i="3" s="1"/>
  <c r="Q10" i="3"/>
  <c r="L12" i="2" l="1"/>
  <c r="F10" i="2"/>
  <c r="F11" i="2" s="1"/>
  <c r="H22" i="2"/>
  <c r="D10" i="2" s="1"/>
  <c r="D12" i="2"/>
  <c r="F5" i="2" s="1"/>
  <c r="E11" i="3"/>
  <c r="G4" i="3" s="1"/>
  <c r="Q11" i="3"/>
  <c r="D11" i="2" l="1"/>
  <c r="F3" i="2"/>
  <c r="D13" i="2"/>
  <c r="H3" i="2" s="1"/>
  <c r="B8" i="7"/>
  <c r="L10" i="2"/>
  <c r="L13" i="2"/>
  <c r="M10" i="2" s="1"/>
  <c r="M11" i="2" s="1"/>
  <c r="L11" i="2"/>
  <c r="D8" i="7"/>
  <c r="B9" i="7" l="1"/>
  <c r="F4" i="2"/>
  <c r="H4" i="2"/>
  <c r="B10" i="7"/>
  <c r="F4" i="7"/>
  <c r="G9" i="7"/>
  <c r="G10" i="7"/>
  <c r="D9" i="7"/>
  <c r="C8" i="7" l="1"/>
  <c r="C9" i="7"/>
  <c r="H62" i="3"/>
  <c r="H74" i="3" l="1"/>
  <c r="H75" i="3" s="1"/>
  <c r="G10" i="3" s="1"/>
  <c r="F8" i="7" l="1"/>
  <c r="I3" i="3"/>
  <c r="R10" i="3"/>
  <c r="J3" i="3" l="1"/>
  <c r="H50" i="3"/>
  <c r="H11" i="3"/>
  <c r="J4" i="3" s="1"/>
  <c r="I29" i="3"/>
  <c r="G24" i="3"/>
  <c r="J23" i="3"/>
  <c r="F28" i="3"/>
  <c r="G27" i="3"/>
  <c r="J22" i="3"/>
  <c r="F17" i="3"/>
  <c r="H24" i="3"/>
  <c r="H23" i="3"/>
  <c r="H27" i="3"/>
  <c r="I22" i="3"/>
  <c r="F20" i="3"/>
  <c r="J17" i="3"/>
  <c r="I19" i="3"/>
  <c r="J28" i="3"/>
  <c r="F27" i="3"/>
  <c r="I18" i="3"/>
  <c r="H18" i="3"/>
  <c r="H22" i="3"/>
  <c r="G17" i="3"/>
  <c r="I17" i="3"/>
  <c r="G25" i="3"/>
  <c r="F26" i="3"/>
  <c r="F24" i="3"/>
  <c r="I24" i="3"/>
  <c r="H20" i="3"/>
  <c r="G29" i="3"/>
  <c r="H29" i="3"/>
  <c r="F15" i="3"/>
  <c r="F25" i="3"/>
  <c r="I16" i="3"/>
  <c r="J24" i="3"/>
  <c r="G18" i="3"/>
  <c r="J18" i="3"/>
  <c r="J26" i="3"/>
  <c r="J21" i="3"/>
  <c r="H21" i="3"/>
  <c r="J25" i="3"/>
  <c r="I25" i="3"/>
  <c r="H19" i="3"/>
  <c r="F18" i="3"/>
  <c r="G23" i="3"/>
  <c r="F16" i="3"/>
  <c r="J20" i="3"/>
  <c r="F29" i="3"/>
  <c r="I28" i="3"/>
  <c r="H16" i="3"/>
  <c r="G22" i="3"/>
  <c r="J19" i="3"/>
  <c r="F21" i="3"/>
  <c r="H26" i="3"/>
  <c r="J27" i="3"/>
  <c r="F23" i="3"/>
  <c r="H25" i="3"/>
  <c r="I21" i="3"/>
  <c r="G28" i="3"/>
  <c r="G20" i="3"/>
  <c r="J16" i="3"/>
  <c r="H28" i="3"/>
  <c r="J29" i="3"/>
  <c r="I26" i="3"/>
  <c r="I27" i="3"/>
  <c r="I20" i="3"/>
  <c r="H17" i="3"/>
  <c r="F22" i="3"/>
  <c r="G19" i="3"/>
  <c r="I23" i="3"/>
  <c r="G16" i="3"/>
  <c r="F19" i="3"/>
  <c r="G26" i="3"/>
  <c r="G21" i="3"/>
  <c r="O10" i="3"/>
  <c r="O11" i="3" s="1"/>
  <c r="G15" i="3"/>
  <c r="I15" i="3"/>
  <c r="J15" i="3"/>
  <c r="H15" i="3"/>
  <c r="G11" i="3"/>
  <c r="R11" i="3"/>
  <c r="S23" i="3"/>
  <c r="S27" i="3"/>
  <c r="T16" i="3"/>
  <c r="U29" i="3"/>
  <c r="R18" i="3"/>
  <c r="S20" i="3"/>
  <c r="S18" i="3"/>
  <c r="T23" i="3"/>
  <c r="S19" i="3"/>
  <c r="R26" i="3"/>
  <c r="U15" i="3"/>
  <c r="U25" i="3"/>
  <c r="R22" i="3"/>
  <c r="R17" i="3"/>
  <c r="U24" i="3"/>
  <c r="R21" i="3"/>
  <c r="S24" i="3"/>
  <c r="R20" i="3"/>
  <c r="T21" i="3"/>
  <c r="S17" i="3"/>
  <c r="U18" i="3"/>
  <c r="T15" i="3"/>
  <c r="U22" i="3"/>
  <c r="U17" i="3"/>
  <c r="R16" i="3"/>
  <c r="T19" i="3"/>
  <c r="S16" i="3"/>
  <c r="T25" i="3"/>
  <c r="R15" i="3"/>
  <c r="S15" i="3"/>
  <c r="U19" i="3"/>
  <c r="T28" i="3"/>
  <c r="T18" i="3"/>
  <c r="D10" i="3"/>
  <c r="F3" i="3" s="1"/>
  <c r="E8" i="7"/>
  <c r="F9" i="7" l="1"/>
  <c r="I4" i="3"/>
  <c r="D12" i="3"/>
  <c r="F12" i="3"/>
  <c r="G12" i="3"/>
  <c r="E12" i="3"/>
  <c r="H12" i="3"/>
  <c r="J5" i="3" s="1"/>
  <c r="P12" i="3"/>
  <c r="P13" i="3" s="1"/>
  <c r="R12" i="3"/>
  <c r="R13" i="3" s="1"/>
  <c r="Q12" i="3"/>
  <c r="Q13" i="3" s="1"/>
  <c r="O12" i="3"/>
  <c r="O13" i="3" s="1"/>
  <c r="D11" i="3"/>
  <c r="F4" i="3" s="1"/>
  <c r="E9" i="7"/>
  <c r="D13" i="3" l="1"/>
  <c r="F5" i="3"/>
  <c r="G13" i="3"/>
  <c r="I5" i="3"/>
  <c r="E13" i="3"/>
  <c r="G5" i="3"/>
  <c r="F13" i="3"/>
  <c r="H5" i="3"/>
  <c r="H13" i="3"/>
  <c r="I10" i="3"/>
  <c r="K3" i="3" s="1"/>
  <c r="S10" i="3"/>
  <c r="S11" i="3" s="1"/>
  <c r="I11" i="3" l="1"/>
  <c r="K4" i="3" s="1"/>
  <c r="E10" i="7"/>
  <c r="G4" i="7"/>
  <c r="H4" i="7" s="1"/>
  <c r="H9" i="7"/>
  <c r="H10" i="7"/>
  <c r="D10" i="7"/>
  <c r="C10" i="7"/>
  <c r="F10" i="7"/>
  <c r="H8" i="7"/>
  <c r="G3" i="2" l="1"/>
  <c r="G8" i="7"/>
</calcChain>
</file>

<file path=xl/sharedStrings.xml><?xml version="1.0" encoding="utf-8"?>
<sst xmlns="http://schemas.openxmlformats.org/spreadsheetml/2006/main" count="228" uniqueCount="161">
  <si>
    <t>Subject</t>
  </si>
  <si>
    <t>Sum</t>
  </si>
  <si>
    <t>Weight</t>
  </si>
  <si>
    <t>Dropout/Credit Index</t>
  </si>
  <si>
    <t>Total Number of Students</t>
  </si>
  <si>
    <t>Total Index Points Awarded</t>
  </si>
  <si>
    <t>Dropout (0)</t>
  </si>
  <si>
    <t>Dropout/Credit Accumulation Index</t>
  </si>
  <si>
    <t xml:space="preserve"> Dropout/Credit Accumulation Index</t>
  </si>
  <si>
    <t>Total Points</t>
  </si>
  <si>
    <t>Student Result</t>
  </si>
  <si>
    <t>HS Diploma plus</t>
  </si>
  <si>
    <t xml:space="preserve">    (a) AP (3+), IB (4+), or CLEP (50+) OR </t>
  </si>
  <si>
    <t xml:space="preserve">    (b) Advanced statewide Jump Start credential.</t>
  </si>
  <si>
    <t xml:space="preserve">    (b) Basic statewide Jump Start credential</t>
  </si>
  <si>
    <t xml:space="preserve">    (b) Basic statewide Jump Start credential </t>
  </si>
  <si>
    <t>Regular HS Diploma (Four-year graduate - Includes Career Diploma student with a regional Jump Start credential)</t>
  </si>
  <si>
    <t>HiSET</t>
  </si>
  <si>
    <t>Non-graduate without HiSET</t>
  </si>
  <si>
    <t>Points for Each</t>
  </si>
  <si>
    <t xml:space="preserve">    (a) At least one passing course grade for TOPS core curriculum credit of the following type: AP**, college credit, dual enrollment, or IB**;  AND</t>
  </si>
  <si>
    <t>**Students must take the AP/IB exam and pass the course.</t>
  </si>
  <si>
    <t xml:space="preserve">    (a) At least one passing course grade for TOPS core curriculum credit of the following type: AP**, college credit, dual enrollment, or IB**;  OR</t>
  </si>
  <si>
    <t xml:space="preserve">   (a) AP (3+), IB (4+), or CLEP (50+) AND Advanced statewide Jump Start credential OR</t>
  </si>
  <si>
    <t xml:space="preserve">   (b) Earning an associate's degree</t>
  </si>
  <si>
    <t>HiSET plus Jump Start credential</t>
  </si>
  <si>
    <t>HS SPS Calculator</t>
  </si>
  <si>
    <t>K-8 SPS Calculator</t>
  </si>
  <si>
    <t>case</t>
  </si>
  <si>
    <t>situations</t>
  </si>
  <si>
    <t>K-8</t>
  </si>
  <si>
    <t>K8 SPS</t>
  </si>
  <si>
    <t>Index</t>
  </si>
  <si>
    <t>Combination SPS Calculator</t>
  </si>
  <si>
    <t>HS SPS</t>
  </si>
  <si>
    <t xml:space="preserve">Number of Eligible Testers </t>
  </si>
  <si>
    <t xml:space="preserve"> HS*</t>
  </si>
  <si>
    <t>K-8 SPS</t>
  </si>
  <si>
    <t>CB SPS</t>
  </si>
  <si>
    <t xml:space="preserve">What is the School Performance Score (SPS) Calculator?
</t>
  </si>
  <si>
    <t xml:space="preserve">How does the calculator work?
</t>
  </si>
  <si>
    <r>
      <t xml:space="preserve">The calculator has two types of fields.  
- Shaded cells:  Do not allow users to input data, as they are prepopulated for calculation purposes. 
- White cells:  For user input data.  </t>
    </r>
    <r>
      <rPr>
        <sz val="11"/>
        <color indexed="8"/>
        <rFont val="Calibri"/>
        <family val="2"/>
        <scheme val="minor"/>
      </rPr>
      <t>When data are added to white cells, new data will be populated in the shaded cells.</t>
    </r>
    <r>
      <rPr>
        <i/>
        <sz val="11"/>
        <color indexed="8"/>
        <rFont val="Calibri"/>
        <family val="2"/>
        <scheme val="minor"/>
      </rPr>
      <t xml:space="preserve">
</t>
    </r>
    <r>
      <rPr>
        <sz val="11"/>
        <rFont val="Calibri"/>
        <family val="2"/>
        <scheme val="minor"/>
      </rPr>
      <t xml:space="preserve">
</t>
    </r>
  </si>
  <si>
    <t xml:space="preserve">Which tables should be completed?
</t>
  </si>
  <si>
    <t>K-8 Progress Index</t>
  </si>
  <si>
    <r>
      <rPr>
        <sz val="11"/>
        <rFont val="Calibri"/>
        <family val="2"/>
        <scheme val="minor"/>
      </rPr>
      <t xml:space="preserve">Combination schools (includes at least one grade in 3-8 span and one grade from 9-12 span):  complete all tables in tabs </t>
    </r>
    <r>
      <rPr>
        <b/>
        <sz val="11"/>
        <rFont val="Calibri"/>
        <family val="2"/>
        <scheme val="minor"/>
      </rPr>
      <t>K8</t>
    </r>
    <r>
      <rPr>
        <sz val="11"/>
        <rFont val="Calibri"/>
        <family val="2"/>
        <scheme val="minor"/>
      </rPr>
      <t xml:space="preserve"> and </t>
    </r>
    <r>
      <rPr>
        <b/>
        <sz val="11"/>
        <rFont val="Calibri"/>
        <family val="2"/>
        <scheme val="minor"/>
      </rPr>
      <t>HS</t>
    </r>
    <r>
      <rPr>
        <sz val="11"/>
        <rFont val="Calibri"/>
        <family val="2"/>
        <scheme val="minor"/>
      </rPr>
      <t>, as appropriate per grade level configuration.</t>
    </r>
  </si>
  <si>
    <t>Number of students who earned (150)</t>
  </si>
  <si>
    <t>Number of students who earned (115)</t>
  </si>
  <si>
    <t>Number of students who earned (85)</t>
  </si>
  <si>
    <t>Number of students who earned  (25)</t>
  </si>
  <si>
    <t>Number of students who earned (0)</t>
  </si>
  <si>
    <t>Number of students who earned  (150)</t>
  </si>
  <si>
    <t>Number of students who earned  (115)</t>
  </si>
  <si>
    <t>Total number of students</t>
  </si>
  <si>
    <t>Total points awarded</t>
  </si>
  <si>
    <t>Number of students who earned  (85)</t>
  </si>
  <si>
    <t>Number of Students*</t>
  </si>
  <si>
    <t>For students who score Mastery in the current year, the floor, or lowest possible points awarded to them in the progress index, is 85.</t>
  </si>
  <si>
    <t>* The K8 Progress Index is based on the school's average growth for two years.</t>
  </si>
  <si>
    <t>K8 Progress Index</t>
  </si>
  <si>
    <t>HS Progress Index</t>
  </si>
  <si>
    <t>For students who score Mastery in the current year, the lowest possible points awarded to them in the progress index is 85.</t>
  </si>
  <si>
    <t>Students must be eligible for Steps 1 and 2 to be included in the progress index.</t>
  </si>
  <si>
    <t xml:space="preserve">                                                   Sum                           </t>
  </si>
  <si>
    <t>3 or more  (150)</t>
  </si>
  <si>
    <t>2.5 (125)</t>
  </si>
  <si>
    <t>2 (100)</t>
  </si>
  <si>
    <t>1.5 (75)</t>
  </si>
  <si>
    <t>1 (50)</t>
  </si>
  <si>
    <t>0.5 (25)</t>
  </si>
  <si>
    <t>0  (0)</t>
  </si>
  <si>
    <t xml:space="preserve">                                                  Core Academic Credits One Semester (Index Point Award) </t>
  </si>
  <si>
    <t>HS Core Academic Credit Accumulation Index</t>
  </si>
  <si>
    <t>HS Core Academic Index</t>
  </si>
  <si>
    <t xml:space="preserve">Sum </t>
  </si>
  <si>
    <t>Credential Attainment Index</t>
  </si>
  <si>
    <t>HS Credential Attainment Index</t>
  </si>
  <si>
    <t>K-8 Progress Index*</t>
  </si>
  <si>
    <t>25% Progress Index, 25% Core Academic, 25% DCAI, 25% Credential</t>
  </si>
  <si>
    <t>33% Progress Index, 33% Core Academic, 33% DCAI, 0% Credential</t>
  </si>
  <si>
    <t>33% Progress Index, 33% Core Academic, 0% DCAI, 33% Credential</t>
  </si>
  <si>
    <t>33% Progress Index,0% Core Academic, 33% DCAI, 33% Credential</t>
  </si>
  <si>
    <t>0% Progress Index, 33% Core Academic, 33% DCAI, 33% Credential</t>
  </si>
  <si>
    <t>50% Progress Index, 50% Core Academic, 0% DCAI, 0% Credential</t>
  </si>
  <si>
    <t>50% Progress Index, 0% Core Academic, 50% DCAI, 0% Credential</t>
  </si>
  <si>
    <t>50% Progress Index, 0% Core Academic, 0% DCAI, 50% Credential</t>
  </si>
  <si>
    <t>0% Progress Index, 50% Core Academic, 50% DCAI, 0% Credential</t>
  </si>
  <si>
    <t>0% Progress Index, 50% Core Academic, 0% DCAI, 50% Credential</t>
  </si>
  <si>
    <t>0% Progress Index, 0% Core Academic, 50% DCAI, 50% Credential</t>
  </si>
  <si>
    <t>100% Progress Index, 0% Core Academic, 0% DCAI, 0% Credential</t>
  </si>
  <si>
    <t>0% Progress Index, 100% Core Academic, 0% DCAI, 0% Credential</t>
  </si>
  <si>
    <t>0% Progress Index, 0% Core Academic, 100% DCAI, 0% Credential</t>
  </si>
  <si>
    <t>0% Progress Index, 0% Core Academic, 0% DCAI, 100% Credential</t>
  </si>
  <si>
    <t>Progress Index</t>
  </si>
  <si>
    <t>Core Academic</t>
  </si>
  <si>
    <t>DCAI</t>
  </si>
  <si>
    <t>Credential</t>
  </si>
  <si>
    <t>Student Count</t>
  </si>
  <si>
    <t>HS Progress Index*</t>
  </si>
  <si>
    <t>*Beginning with the 2019 school performance score, the high school progress index will be based on data from the prior year and current year.</t>
  </si>
  <si>
    <t>Number of Students</t>
  </si>
  <si>
    <r>
      <rPr>
        <sz val="11"/>
        <rFont val="Calibri"/>
        <family val="2"/>
        <scheme val="minor"/>
      </rPr>
      <t>K8 Schools (includes one or more grades in 3-8 grade span)</t>
    </r>
    <r>
      <rPr>
        <sz val="11"/>
        <color theme="1"/>
        <rFont val="Calibri"/>
        <family val="2"/>
        <scheme val="minor"/>
      </rPr>
      <t xml:space="preserve">: complete all tables as appropriate in tab </t>
    </r>
    <r>
      <rPr>
        <b/>
        <sz val="11"/>
        <color theme="1"/>
        <rFont val="Calibri"/>
        <family val="2"/>
        <scheme val="minor"/>
      </rPr>
      <t xml:space="preserve">K8. </t>
    </r>
    <r>
      <rPr>
        <sz val="11"/>
        <rFont val="Calibri"/>
        <family val="2"/>
        <scheme val="minor"/>
      </rPr>
      <t xml:space="preserve">                                                                  </t>
    </r>
    <r>
      <rPr>
        <sz val="11"/>
        <color theme="1"/>
        <rFont val="Calibri"/>
        <family val="2"/>
        <scheme val="minor"/>
      </rPr>
      <t xml:space="preserve">                                      </t>
    </r>
  </si>
  <si>
    <t>k8 Interests and Opportunities Index</t>
  </si>
  <si>
    <t>K-8 SPS Calculator Include Interests and Opportunities</t>
  </si>
  <si>
    <t>K-8 SPS Calculator Exclude Interests and Opportunities</t>
  </si>
  <si>
    <t>HS Interests and Opportunities Index</t>
  </si>
  <si>
    <t>HS Interest</t>
  </si>
  <si>
    <t>25% Progress Index, 25% Core Academic, 25% DCAI, 20% Credential</t>
  </si>
  <si>
    <t>31.67% Progress Index, 31.67% Core Academic, 31.67% DCAI, 0% Credential</t>
  </si>
  <si>
    <t>33.33% Progress Index, 33.33% Core Academic, 0% DCAI, 28.33% Credential</t>
  </si>
  <si>
    <t>33.33% Progress Index,0% Core Academic, 33.33% DCAI, 28.33% Credential</t>
  </si>
  <si>
    <t>0% Progress Index, 33.33% Core Academic, 33.33% DCAI, 28.33% Credential</t>
  </si>
  <si>
    <t>47.50% Progress Index, 47.50% Core Academic, 0% DCAI, 0% Credential</t>
  </si>
  <si>
    <t>47.50% Progress Index, 0% Core Academic, 47.50% DCAI, 0% Credential</t>
  </si>
  <si>
    <t>50% Progress Index, 0% Core Academic, 0% DCAI, 45% Credential</t>
  </si>
  <si>
    <t>0% Progress Index, 47.50% Core Academic, 47.50% DCAI, 0% Credential</t>
  </si>
  <si>
    <t>0% Progress Index, 50% Core Academic, 0% DCAI, 45% Credential</t>
  </si>
  <si>
    <t>0% Progress Index, 0% Core Academic, 50% DCAI, 45% Credential</t>
  </si>
  <si>
    <t>95% Progress Index, 0% Core Academic, 0% DCAI, 0% Credential</t>
  </si>
  <si>
    <t>0% Progress Index, 95% Core Academic, 0% DCAI, 0% Credential</t>
  </si>
  <si>
    <t>0% Progress Index, 0% Core Academic, 95% DCAI, 0% Credential</t>
  </si>
  <si>
    <t>0% Progress Index, 0% Core Academic, 0% DCAI, 95% Credential</t>
  </si>
  <si>
    <t>Letter Grade</t>
  </si>
  <si>
    <t>HS SPS Calculator Include Interests and Opportunities</t>
  </si>
  <si>
    <t>HS SPS Calculator Exclude Interests and Opportunities</t>
  </si>
  <si>
    <t xml:space="preserve">*Include only those students who are full academic year (FAY) for 9th/transitional 9th to 12th grade, unless the student is a dropout. </t>
  </si>
  <si>
    <t>2021-2022 ELA</t>
  </si>
  <si>
    <t>2021-2022 Math</t>
  </si>
  <si>
    <t>2021-2022 English I</t>
  </si>
  <si>
    <t>2021-2022  English II</t>
  </si>
  <si>
    <t>2021-2022 Algebra I</t>
  </si>
  <si>
    <t>2021-2022 Geometry</t>
  </si>
  <si>
    <r>
      <t xml:space="preserve">
High schools (includes one or more grades in 9-12 grade span): complete all tables as appropriate in tab </t>
    </r>
    <r>
      <rPr>
        <b/>
        <sz val="11"/>
        <color theme="1"/>
        <rFont val="Calibri"/>
        <family val="2"/>
        <scheme val="minor"/>
      </rPr>
      <t xml:space="preserve">HS.
</t>
    </r>
  </si>
  <si>
    <r>
      <t xml:space="preserve">The SPS calculator is an Excel tool that helps schools estimate the school performance score for 2022-2023. Please note that there will no alternative assessment index data or progress index data available for the calculator. School performance scores (SPS) that are generated with the 2022-2023 calculator should not be used in comparisons with prior year SPS.
For 2022-2023, there is one calculator with three different tabs: </t>
    </r>
    <r>
      <rPr>
        <b/>
        <i/>
        <sz val="11"/>
        <rFont val="Calibri"/>
        <family val="2"/>
        <scheme val="minor"/>
      </rPr>
      <t>K8, HS and CB</t>
    </r>
    <r>
      <rPr>
        <sz val="11"/>
        <rFont val="Calibri"/>
        <family val="2"/>
        <scheme val="minor"/>
      </rPr>
      <t xml:space="preserve">. Each tab is built to calculate SPS for schools with different grades accordingly. </t>
    </r>
  </si>
  <si>
    <t>2022-2023 ELA</t>
  </si>
  <si>
    <t>2022-2023 Math</t>
  </si>
  <si>
    <t>2022-2023 English I</t>
  </si>
  <si>
    <t>2022-2023  English II</t>
  </si>
  <si>
    <t>2022-2023 Algebra I</t>
  </si>
  <si>
    <t>2022-2023 Geometry</t>
  </si>
  <si>
    <t>Dropout/Credit Accumulation Index*</t>
  </si>
  <si>
    <t>Carnegie Units One Semester (Index Point Award)</t>
  </si>
  <si>
    <t>3.5 or more (150)</t>
  </si>
  <si>
    <t>3 (125)</t>
  </si>
  <si>
    <t>2.5 (100)</t>
  </si>
  <si>
    <t>2 (75)</t>
  </si>
  <si>
    <t>1.5 (50)</t>
  </si>
  <si>
    <t>1 (25)</t>
  </si>
  <si>
    <t>0.5 (0)</t>
  </si>
  <si>
    <t>0 or Dropout(0)</t>
  </si>
  <si>
    <t xml:space="preserve">*The K-12 Interests and Opportunities index uses a Menu-Based Approach.  </t>
  </si>
  <si>
    <t>School-selected Indicators</t>
  </si>
  <si>
    <t>Indicator 1</t>
  </si>
  <si>
    <t>Indicator 2</t>
  </si>
  <si>
    <t>Indicator 3</t>
  </si>
  <si>
    <t>Indicator 4</t>
  </si>
  <si>
    <t>K-12 Interests and Opportunities Index*</t>
  </si>
  <si>
    <t xml:space="preserve"> K-12 Interests and Opportunities Index</t>
  </si>
  <si>
    <t xml:space="preserve"> Interests and Opportunities Index</t>
  </si>
  <si>
    <t>School-selected Indicator</t>
  </si>
  <si>
    <t xml:space="preserve">The Interests and Opportunities index uses a Menu-Based Approach.  </t>
  </si>
  <si>
    <t xml:space="preserve">For K-8 eligible testers, add all LEAP 2025, LEAP Connect and ELPT testers. Count each student only one time.                                                        For high school testers, count all LEAP 2025, LEAP Connect, ACT and ELPT testers. Count each student only one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</si>
</sst>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0_);\(0\)"/>
    <numFmt numFmtId="166" formatCode="0.000"/>
    <numFmt numFmtId="167" formatCode="0.0_);\(0.0\)"/>
  </numFmts>
  <fonts count="22" x14ac:knownFonts="1">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sz val="10"/>
      <name val="Arial"/>
      <family val="2"/>
    </font>
    <font>
      <b/>
      <sz val="10"/>
      <color theme="0"/>
      <name val="Calibri"/>
      <family val="2"/>
      <scheme val="minor"/>
    </font>
    <font>
      <b/>
      <sz val="11"/>
      <color theme="0"/>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b/>
      <sz val="9"/>
      <name val="Calibri"/>
      <family val="2"/>
      <scheme val="minor"/>
    </font>
    <font>
      <sz val="9"/>
      <name val="Calibri"/>
      <family val="2"/>
      <scheme val="minor"/>
    </font>
    <font>
      <b/>
      <i/>
      <sz val="11"/>
      <color theme="1"/>
      <name val="Calibri"/>
      <family val="2"/>
      <scheme val="minor"/>
    </font>
    <font>
      <sz val="11"/>
      <name val="Calibri"/>
      <family val="2"/>
      <scheme val="minor"/>
    </font>
    <font>
      <i/>
      <sz val="11"/>
      <color indexed="8"/>
      <name val="Calibri"/>
      <family val="2"/>
      <scheme val="minor"/>
    </font>
    <font>
      <b/>
      <i/>
      <sz val="11"/>
      <name val="Calibri"/>
      <family val="2"/>
      <scheme val="minor"/>
    </font>
    <font>
      <b/>
      <sz val="11"/>
      <color theme="1"/>
      <name val="Calibri"/>
      <family val="2"/>
      <scheme val="minor"/>
    </font>
    <font>
      <sz val="11"/>
      <color indexed="8"/>
      <name val="Calibri"/>
      <family val="2"/>
      <scheme val="minor"/>
    </font>
    <font>
      <b/>
      <sz val="11"/>
      <name val="Calibri"/>
      <family val="2"/>
      <scheme val="minor"/>
    </font>
    <font>
      <b/>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14999847407452621"/>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right/>
      <top/>
      <bottom style="dashed">
        <color auto="1"/>
      </bottom>
      <diagonal/>
    </border>
    <border>
      <left/>
      <right/>
      <top style="dashed">
        <color auto="1"/>
      </top>
      <bottom style="dashed">
        <color auto="1"/>
      </bottom>
      <diagonal/>
    </border>
  </borders>
  <cellStyleXfs count="34">
    <xf numFmtId="0" fontId="0" fillId="0" borderId="0"/>
    <xf numFmtId="0" fontId="2" fillId="0" borderId="0"/>
    <xf numFmtId="0" fontId="1" fillId="0" borderId="0"/>
    <xf numFmtId="0" fontId="3" fillId="0" borderId="0"/>
    <xf numFmtId="43"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2" fillId="0" borderId="0"/>
    <xf numFmtId="0" fontId="1" fillId="0" borderId="0"/>
    <xf numFmtId="43"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3" fillId="0" borderId="0"/>
    <xf numFmtId="0" fontId="1" fillId="0" borderId="0"/>
    <xf numFmtId="0" fontId="1" fillId="0" borderId="0"/>
    <xf numFmtId="0" fontId="1"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5" fillId="0" borderId="0"/>
    <xf numFmtId="0" fontId="5" fillId="0" borderId="0"/>
    <xf numFmtId="0" fontId="2" fillId="0" borderId="0"/>
    <xf numFmtId="0" fontId="2" fillId="0" borderId="0"/>
  </cellStyleXfs>
  <cellXfs count="204">
    <xf numFmtId="0" fontId="0" fillId="0" borderId="0" xfId="0"/>
    <xf numFmtId="164" fontId="11" fillId="3" borderId="1" xfId="30" applyNumberFormat="1" applyFont="1" applyFill="1" applyBorder="1" applyAlignment="1" applyProtection="1">
      <alignment vertical="center"/>
      <protection hidden="1"/>
    </xf>
    <xf numFmtId="164" fontId="11" fillId="3" borderId="1" xfId="30" applyNumberFormat="1" applyFont="1" applyFill="1" applyBorder="1" applyAlignment="1" applyProtection="1">
      <alignment vertical="center" wrapText="1"/>
      <protection hidden="1"/>
    </xf>
    <xf numFmtId="0" fontId="10" fillId="3" borderId="1" xfId="30" applyFont="1" applyFill="1" applyBorder="1" applyAlignment="1" applyProtection="1">
      <alignment horizontal="center" vertical="center" wrapText="1"/>
      <protection hidden="1"/>
    </xf>
    <xf numFmtId="0" fontId="12" fillId="3" borderId="1" xfId="3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protection hidden="1"/>
    </xf>
    <xf numFmtId="0" fontId="0" fillId="0" borderId="0" xfId="0" applyProtection="1">
      <protection hidden="1"/>
    </xf>
    <xf numFmtId="0" fontId="14" fillId="2" borderId="0" xfId="25" applyFont="1" applyFill="1" applyAlignment="1" applyProtection="1">
      <alignment horizontal="justify" vertical="top" wrapText="1"/>
      <protection hidden="1"/>
    </xf>
    <xf numFmtId="0" fontId="9" fillId="0" borderId="0" xfId="0" applyFont="1" applyBorder="1" applyProtection="1">
      <protection hidden="1"/>
    </xf>
    <xf numFmtId="0" fontId="10" fillId="0" borderId="0" xfId="0" applyFont="1" applyFill="1" applyBorder="1" applyProtection="1">
      <protection hidden="1"/>
    </xf>
    <xf numFmtId="0" fontId="1" fillId="4" borderId="0" xfId="25" applyFont="1" applyFill="1" applyAlignment="1" applyProtection="1">
      <alignment horizontal="justify" vertical="center" wrapText="1"/>
      <protection hidden="1"/>
    </xf>
    <xf numFmtId="0" fontId="9" fillId="0" borderId="0" xfId="0" applyFont="1" applyProtection="1">
      <protection hidden="1"/>
    </xf>
    <xf numFmtId="0" fontId="9" fillId="0" borderId="0" xfId="0" applyFont="1" applyFill="1" applyBorder="1" applyAlignment="1" applyProtection="1">
      <alignment wrapText="1"/>
      <protection hidden="1"/>
    </xf>
    <xf numFmtId="0" fontId="11" fillId="0" borderId="0" xfId="0" applyFont="1" applyFill="1" applyBorder="1" applyAlignment="1" applyProtection="1">
      <alignment vertical="center"/>
      <protection hidden="1"/>
    </xf>
    <xf numFmtId="0" fontId="4" fillId="4" borderId="0" xfId="25" applyFont="1" applyFill="1" applyBorder="1" applyAlignment="1" applyProtection="1">
      <alignment horizontal="center"/>
      <protection hidden="1"/>
    </xf>
    <xf numFmtId="0" fontId="2" fillId="0" borderId="0" xfId="25" applyProtection="1">
      <protection hidden="1"/>
    </xf>
    <xf numFmtId="0" fontId="14" fillId="2" borderId="0" xfId="25" applyFont="1" applyFill="1" applyAlignment="1" applyProtection="1">
      <alignment horizontal="justify" wrapText="1"/>
      <protection hidden="1"/>
    </xf>
    <xf numFmtId="0" fontId="14" fillId="2" borderId="0" xfId="25" applyFont="1" applyFill="1" applyAlignment="1" applyProtection="1">
      <alignment horizontal="left" vertical="center" wrapText="1"/>
      <protection hidden="1"/>
    </xf>
    <xf numFmtId="0" fontId="15" fillId="2" borderId="3" xfId="25" applyFont="1" applyFill="1" applyBorder="1" applyAlignment="1" applyProtection="1">
      <alignment horizontal="left" vertical="top" wrapText="1"/>
      <protection hidden="1"/>
    </xf>
    <xf numFmtId="0" fontId="12" fillId="3" borderId="1" xfId="0" applyFont="1" applyFill="1" applyBorder="1" applyAlignment="1" applyProtection="1">
      <alignment horizontal="center" vertical="center" wrapText="1"/>
      <protection hidden="1"/>
    </xf>
    <xf numFmtId="0" fontId="10" fillId="3" borderId="1" xfId="0" applyFont="1" applyFill="1" applyBorder="1" applyAlignment="1" applyProtection="1">
      <alignment horizontal="center" vertical="center"/>
      <protection hidden="1"/>
    </xf>
    <xf numFmtId="0" fontId="9" fillId="0" borderId="0" xfId="0" applyFont="1" applyAlignment="1" applyProtection="1">
      <alignment wrapText="1"/>
      <protection hidden="1"/>
    </xf>
    <xf numFmtId="0" fontId="9" fillId="0" borderId="1" xfId="0" applyFont="1" applyBorder="1" applyAlignment="1" applyProtection="1">
      <alignment horizontal="center" vertical="center"/>
      <protection locked="0"/>
    </xf>
    <xf numFmtId="9" fontId="9" fillId="0" borderId="0" xfId="0" applyNumberFormat="1"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166" fontId="9" fillId="0" borderId="0" xfId="0" applyNumberFormat="1" applyFont="1" applyFill="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9" fillId="0" borderId="1" xfId="0" applyFont="1" applyFill="1" applyBorder="1" applyAlignment="1" applyProtection="1">
      <alignment horizontal="center" vertical="center"/>
      <protection hidden="1"/>
    </xf>
    <xf numFmtId="1" fontId="9" fillId="0" borderId="1" xfId="0" applyNumberFormat="1" applyFont="1" applyFill="1" applyBorder="1" applyAlignment="1" applyProtection="1">
      <alignment horizontal="center" vertical="center"/>
      <protection hidden="1"/>
    </xf>
    <xf numFmtId="0" fontId="12" fillId="3" borderId="2" xfId="0" applyFont="1" applyFill="1" applyBorder="1" applyAlignment="1" applyProtection="1">
      <alignment horizontal="center" vertical="center" wrapText="1"/>
      <protection hidden="1"/>
    </xf>
    <xf numFmtId="0" fontId="12" fillId="3" borderId="1" xfId="0" applyFont="1" applyFill="1" applyBorder="1" applyAlignment="1" applyProtection="1">
      <alignment horizontal="center" vertical="center"/>
      <protection hidden="1"/>
    </xf>
    <xf numFmtId="0" fontId="9" fillId="0" borderId="1" xfId="0" applyFont="1" applyBorder="1" applyAlignment="1" applyProtection="1">
      <alignment horizontal="center"/>
      <protection locked="0"/>
    </xf>
    <xf numFmtId="0" fontId="9" fillId="0" borderId="1" xfId="0" applyFont="1" applyFill="1" applyBorder="1" applyAlignment="1" applyProtection="1">
      <alignment horizontal="center" vertical="center"/>
      <protection locked="0"/>
    </xf>
    <xf numFmtId="0" fontId="8" fillId="0" borderId="0" xfId="0" applyFont="1" applyProtection="1">
      <protection hidden="1"/>
    </xf>
    <xf numFmtId="0" fontId="8" fillId="5" borderId="1" xfId="0" applyFont="1" applyFill="1" applyBorder="1" applyAlignment="1" applyProtection="1">
      <alignment horizontal="center" vertical="center"/>
      <protection hidden="1"/>
    </xf>
    <xf numFmtId="164" fontId="8" fillId="5" borderId="1" xfId="0" applyNumberFormat="1" applyFont="1" applyFill="1" applyBorder="1" applyAlignment="1" applyProtection="1">
      <alignment horizontal="center" vertical="center"/>
      <protection hidden="1"/>
    </xf>
    <xf numFmtId="0" fontId="8" fillId="0" borderId="1" xfId="0" applyFont="1" applyBorder="1" applyAlignment="1" applyProtection="1">
      <alignment horizontal="center" vertical="center"/>
      <protection locked="0"/>
    </xf>
    <xf numFmtId="0" fontId="13" fillId="2" borderId="1" xfId="25" applyFont="1" applyFill="1" applyBorder="1" applyAlignment="1" applyProtection="1">
      <alignment horizontal="center" wrapText="1"/>
      <protection locked="0"/>
    </xf>
    <xf numFmtId="164" fontId="9" fillId="7" borderId="1" xfId="0" applyNumberFormat="1" applyFont="1" applyFill="1" applyBorder="1" applyAlignment="1" applyProtection="1">
      <alignment horizontal="center" vertical="center"/>
      <protection hidden="1"/>
    </xf>
    <xf numFmtId="0" fontId="9" fillId="7" borderId="1" xfId="0" applyFont="1" applyFill="1" applyBorder="1" applyAlignment="1" applyProtection="1">
      <alignment horizontal="center" vertical="center"/>
      <protection hidden="1"/>
    </xf>
    <xf numFmtId="9" fontId="9" fillId="7" borderId="1" xfId="0" applyNumberFormat="1" applyFont="1" applyFill="1" applyBorder="1" applyAlignment="1" applyProtection="1">
      <alignment horizontal="center" vertical="center"/>
      <protection hidden="1"/>
    </xf>
    <xf numFmtId="165" fontId="12" fillId="7" borderId="1" xfId="29" applyNumberFormat="1" applyFont="1" applyFill="1" applyBorder="1" applyAlignment="1" applyProtection="1">
      <alignment horizontal="center" wrapText="1"/>
      <protection hidden="1"/>
    </xf>
    <xf numFmtId="0" fontId="10" fillId="7" borderId="1" xfId="0" applyFont="1" applyFill="1" applyBorder="1" applyAlignment="1" applyProtection="1">
      <alignment horizontal="center" vertical="center"/>
      <protection hidden="1"/>
    </xf>
    <xf numFmtId="0" fontId="15" fillId="2" borderId="0" xfId="25" applyFont="1" applyFill="1" applyAlignment="1" applyProtection="1">
      <alignment horizontal="left" wrapText="1"/>
      <protection hidden="1"/>
    </xf>
    <xf numFmtId="0" fontId="12" fillId="3" borderId="1" xfId="0" applyFont="1" applyFill="1" applyBorder="1" applyAlignment="1" applyProtection="1">
      <alignment horizontal="center" vertical="center" wrapText="1"/>
      <protection hidden="1"/>
    </xf>
    <xf numFmtId="0" fontId="9" fillId="0" borderId="15" xfId="0" applyFont="1" applyBorder="1" applyAlignment="1" applyProtection="1">
      <alignment horizontal="center" vertical="center"/>
      <protection locked="0"/>
    </xf>
    <xf numFmtId="0" fontId="9" fillId="7" borderId="15" xfId="0" applyFont="1" applyFill="1" applyBorder="1" applyAlignment="1" applyProtection="1">
      <alignment horizontal="center" vertical="center"/>
      <protection hidden="1"/>
    </xf>
    <xf numFmtId="0" fontId="10" fillId="3" borderId="15" xfId="0" applyFont="1" applyFill="1" applyBorder="1" applyAlignment="1" applyProtection="1">
      <alignment horizontal="center" vertical="center"/>
      <protection hidden="1"/>
    </xf>
    <xf numFmtId="0" fontId="10" fillId="3" borderId="16" xfId="0" applyFont="1" applyFill="1" applyBorder="1" applyAlignment="1" applyProtection="1">
      <alignment horizontal="center" vertical="center"/>
      <protection hidden="1"/>
    </xf>
    <xf numFmtId="0" fontId="9" fillId="0" borderId="16" xfId="0" applyFont="1" applyBorder="1" applyAlignment="1" applyProtection="1">
      <alignment horizontal="center" vertical="center"/>
      <protection locked="0"/>
    </xf>
    <xf numFmtId="0" fontId="9" fillId="7" borderId="16" xfId="0" applyFont="1" applyFill="1" applyBorder="1" applyAlignment="1" applyProtection="1">
      <alignment horizontal="center" vertical="center"/>
      <protection hidden="1"/>
    </xf>
    <xf numFmtId="0" fontId="0" fillId="2" borderId="17" xfId="25" applyFont="1" applyFill="1" applyBorder="1" applyAlignment="1" applyProtection="1">
      <alignment horizontal="left" vertical="center" wrapText="1"/>
      <protection hidden="1"/>
    </xf>
    <xf numFmtId="0" fontId="0" fillId="2" borderId="18" xfId="25" applyFont="1" applyFill="1" applyBorder="1" applyAlignment="1" applyProtection="1">
      <alignment horizontal="left" wrapText="1"/>
      <protection hidden="1"/>
    </xf>
    <xf numFmtId="0" fontId="10" fillId="3" borderId="1" xfId="0" applyFont="1" applyFill="1" applyBorder="1" applyAlignment="1" applyProtection="1">
      <alignment horizontal="center" vertical="center"/>
      <protection hidden="1"/>
    </xf>
    <xf numFmtId="0" fontId="9" fillId="7" borderId="15" xfId="0" applyFont="1" applyFill="1" applyBorder="1" applyAlignment="1" applyProtection="1">
      <alignment horizontal="center" vertical="center"/>
      <protection hidden="1"/>
    </xf>
    <xf numFmtId="0" fontId="10" fillId="3" borderId="15" xfId="0" applyFont="1" applyFill="1" applyBorder="1" applyAlignment="1" applyProtection="1">
      <alignment horizontal="center" vertical="center"/>
      <protection hidden="1"/>
    </xf>
    <xf numFmtId="0" fontId="9" fillId="0" borderId="16" xfId="0" applyFont="1" applyBorder="1" applyAlignment="1" applyProtection="1">
      <alignment horizontal="center"/>
      <protection locked="0"/>
    </xf>
    <xf numFmtId="0" fontId="9" fillId="0" borderId="15" xfId="0" applyFont="1" applyBorder="1" applyAlignment="1" applyProtection="1">
      <alignment horizontal="center"/>
      <protection locked="0"/>
    </xf>
    <xf numFmtId="0" fontId="10" fillId="3" borderId="1" xfId="0" applyFont="1" applyFill="1" applyBorder="1" applyAlignment="1" applyProtection="1">
      <alignment horizontal="center" vertical="center"/>
      <protection hidden="1"/>
    </xf>
    <xf numFmtId="0" fontId="12" fillId="3" borderId="1" xfId="25" applyFont="1" applyFill="1" applyBorder="1" applyAlignment="1" applyProtection="1">
      <alignment horizontal="center" vertical="center" wrapText="1"/>
      <protection hidden="1"/>
    </xf>
    <xf numFmtId="0" fontId="9" fillId="0" borderId="1" xfId="0" applyFont="1" applyBorder="1" applyAlignment="1" applyProtection="1">
      <alignment horizontal="center" vertical="center"/>
      <protection locked="0"/>
    </xf>
    <xf numFmtId="0" fontId="10" fillId="7" borderId="13" xfId="0" applyFont="1" applyFill="1" applyBorder="1" applyAlignment="1" applyProtection="1">
      <alignment horizontal="center" vertical="center"/>
      <protection hidden="1"/>
    </xf>
    <xf numFmtId="0" fontId="9" fillId="4" borderId="0" xfId="0" applyFont="1" applyFill="1" applyProtection="1">
      <protection hidden="1"/>
    </xf>
    <xf numFmtId="0" fontId="9" fillId="2" borderId="0" xfId="0" applyFont="1" applyFill="1" applyProtection="1">
      <protection hidden="1"/>
    </xf>
    <xf numFmtId="0" fontId="9" fillId="0" borderId="0" xfId="0" applyFont="1" applyAlignment="1" applyProtection="1">
      <protection hidden="1"/>
    </xf>
    <xf numFmtId="0" fontId="10" fillId="3" borderId="1" xfId="30" applyFont="1" applyFill="1" applyBorder="1" applyAlignment="1" applyProtection="1">
      <alignment vertical="center"/>
      <protection hidden="1"/>
    </xf>
    <xf numFmtId="0" fontId="9" fillId="2" borderId="0" xfId="0" applyFont="1" applyFill="1" applyBorder="1" applyAlignment="1" applyProtection="1">
      <alignment horizontal="center" vertical="center"/>
      <protection hidden="1"/>
    </xf>
    <xf numFmtId="0" fontId="10" fillId="2" borderId="0" xfId="0" applyFont="1" applyFill="1" applyBorder="1" applyAlignment="1" applyProtection="1">
      <alignment horizontal="center" vertical="center"/>
      <protection hidden="1"/>
    </xf>
    <xf numFmtId="0" fontId="10" fillId="3" borderId="2" xfId="30" applyFont="1" applyFill="1" applyBorder="1" applyAlignment="1" applyProtection="1">
      <alignment vertical="center"/>
      <protection hidden="1"/>
    </xf>
    <xf numFmtId="0" fontId="10" fillId="3" borderId="5" xfId="30" applyFont="1" applyFill="1" applyBorder="1" applyAlignment="1" applyProtection="1">
      <alignment vertical="center"/>
      <protection hidden="1"/>
    </xf>
    <xf numFmtId="0" fontId="10" fillId="3" borderId="4" xfId="30" applyFont="1" applyFill="1" applyBorder="1" applyAlignment="1" applyProtection="1">
      <alignment vertical="center"/>
      <protection hidden="1"/>
    </xf>
    <xf numFmtId="1" fontId="10" fillId="7" borderId="1" xfId="0" applyNumberFormat="1" applyFont="1" applyFill="1" applyBorder="1" applyAlignment="1" applyProtection="1">
      <alignment horizontal="center" vertical="center"/>
      <protection hidden="1"/>
    </xf>
    <xf numFmtId="1" fontId="9" fillId="7" borderId="1" xfId="0" applyNumberFormat="1" applyFont="1" applyFill="1" applyBorder="1" applyAlignment="1" applyProtection="1">
      <alignment horizontal="center" vertical="center"/>
      <protection hidden="1"/>
    </xf>
    <xf numFmtId="0" fontId="7" fillId="2" borderId="0" xfId="0" applyFont="1" applyFill="1" applyBorder="1" applyAlignment="1" applyProtection="1">
      <alignment vertical="center"/>
      <protection hidden="1"/>
    </xf>
    <xf numFmtId="0" fontId="10" fillId="0" borderId="0" xfId="0" applyFont="1" applyBorder="1" applyAlignment="1" applyProtection="1">
      <alignment horizontal="center"/>
      <protection hidden="1"/>
    </xf>
    <xf numFmtId="0" fontId="0" fillId="0" borderId="1" xfId="0" applyFont="1" applyBorder="1" applyAlignment="1" applyProtection="1">
      <alignment horizontal="center"/>
      <protection hidden="1"/>
    </xf>
    <xf numFmtId="9" fontId="8" fillId="5" borderId="1" xfId="0" applyNumberFormat="1" applyFont="1" applyFill="1" applyBorder="1" applyAlignment="1" applyProtection="1">
      <alignment horizontal="center" vertical="center"/>
      <protection hidden="1"/>
    </xf>
    <xf numFmtId="0" fontId="8" fillId="0" borderId="2" xfId="0" applyFont="1" applyBorder="1" applyAlignment="1" applyProtection="1">
      <alignment horizontal="center" vertical="center"/>
      <protection locked="0"/>
    </xf>
    <xf numFmtId="0" fontId="21" fillId="0" borderId="0" xfId="0" applyFont="1" applyBorder="1" applyAlignment="1" applyProtection="1">
      <protection hidden="1"/>
    </xf>
    <xf numFmtId="10" fontId="9" fillId="7" borderId="1" xfId="0" applyNumberFormat="1" applyFont="1" applyFill="1" applyBorder="1" applyAlignment="1" applyProtection="1">
      <alignment horizontal="center" vertical="center"/>
      <protection hidden="1"/>
    </xf>
    <xf numFmtId="10" fontId="8" fillId="5" borderId="1" xfId="0" applyNumberFormat="1" applyFont="1" applyFill="1" applyBorder="1" applyAlignment="1" applyProtection="1">
      <alignment horizontal="center" vertical="center"/>
      <protection hidden="1"/>
    </xf>
    <xf numFmtId="164" fontId="10" fillId="7" borderId="1" xfId="0" applyNumberFormat="1" applyFont="1" applyFill="1" applyBorder="1" applyAlignment="1" applyProtection="1">
      <alignment horizontal="center" vertical="center"/>
      <protection hidden="1"/>
    </xf>
    <xf numFmtId="167" fontId="12" fillId="7" borderId="1" xfId="29" applyNumberFormat="1" applyFont="1" applyFill="1" applyBorder="1" applyAlignment="1" applyProtection="1">
      <alignment horizontal="center"/>
      <protection hidden="1"/>
    </xf>
    <xf numFmtId="0" fontId="0" fillId="0" borderId="1" xfId="0" applyFont="1" applyBorder="1" applyAlignment="1" applyProtection="1">
      <alignment horizontal="center"/>
      <protection hidden="1"/>
    </xf>
    <xf numFmtId="164" fontId="9" fillId="7" borderId="2" xfId="0" applyNumberFormat="1" applyFont="1" applyFill="1" applyBorder="1" applyAlignment="1" applyProtection="1">
      <alignment horizontal="center" vertical="center"/>
      <protection hidden="1"/>
    </xf>
    <xf numFmtId="0" fontId="0" fillId="0" borderId="0" xfId="0" applyBorder="1"/>
    <xf numFmtId="0" fontId="0" fillId="0" borderId="0" xfId="0" applyFont="1" applyBorder="1" applyAlignment="1" applyProtection="1">
      <protection hidden="1"/>
    </xf>
    <xf numFmtId="0" fontId="0" fillId="0" borderId="1" xfId="0" applyBorder="1" applyAlignment="1">
      <alignment horizontal="center" vertical="center"/>
    </xf>
    <xf numFmtId="0" fontId="0" fillId="0" borderId="1" xfId="0" applyFont="1" applyBorder="1" applyAlignment="1" applyProtection="1">
      <alignment horizontal="center" vertical="center"/>
      <protection hidden="1"/>
    </xf>
    <xf numFmtId="0" fontId="9" fillId="0" borderId="0" xfId="0" applyFont="1" applyAlignment="1" applyProtection="1">
      <alignment horizontal="center" vertical="center"/>
      <protection hidden="1"/>
    </xf>
    <xf numFmtId="166" fontId="9" fillId="0" borderId="0" xfId="0" applyNumberFormat="1" applyFont="1" applyAlignment="1" applyProtection="1">
      <alignment horizontal="center" vertical="center"/>
      <protection hidden="1"/>
    </xf>
    <xf numFmtId="1" fontId="9" fillId="7" borderId="2" xfId="0" applyNumberFormat="1" applyFont="1" applyFill="1" applyBorder="1" applyAlignment="1" applyProtection="1">
      <alignment horizontal="center" vertical="center"/>
      <protection hidden="1"/>
    </xf>
    <xf numFmtId="10" fontId="9" fillId="7" borderId="2" xfId="0" applyNumberFormat="1" applyFont="1" applyFill="1" applyBorder="1" applyAlignment="1" applyProtection="1">
      <alignment horizontal="center" vertical="center"/>
      <protection hidden="1"/>
    </xf>
    <xf numFmtId="0" fontId="10" fillId="3" borderId="2" xfId="0" applyFont="1" applyFill="1" applyBorder="1" applyAlignment="1" applyProtection="1">
      <alignment horizontal="center" vertical="center" wrapText="1"/>
      <protection hidden="1"/>
    </xf>
    <xf numFmtId="0" fontId="10" fillId="3" borderId="1" xfId="0" applyFont="1" applyFill="1" applyBorder="1" applyAlignment="1" applyProtection="1">
      <alignment horizontal="center" vertical="center"/>
      <protection hidden="1"/>
    </xf>
    <xf numFmtId="0" fontId="10" fillId="3" borderId="1" xfId="0" applyFont="1" applyFill="1" applyBorder="1" applyAlignment="1" applyProtection="1">
      <alignment horizontal="center" vertical="center" wrapText="1"/>
      <protection hidden="1"/>
    </xf>
    <xf numFmtId="0" fontId="12" fillId="3" borderId="15" xfId="25" applyFont="1" applyFill="1" applyBorder="1" applyAlignment="1" applyProtection="1">
      <alignment horizontal="center" vertical="center" wrapText="1"/>
      <protection hidden="1"/>
    </xf>
    <xf numFmtId="0" fontId="12" fillId="3" borderId="2" xfId="25" applyFont="1" applyFill="1" applyBorder="1" applyAlignment="1" applyProtection="1">
      <alignment horizontal="center" vertical="center" wrapText="1"/>
      <protection hidden="1"/>
    </xf>
    <xf numFmtId="0" fontId="21" fillId="7" borderId="1" xfId="0" applyFont="1" applyFill="1" applyBorder="1" applyAlignment="1" applyProtection="1">
      <alignment horizontal="center" vertical="center"/>
      <protection hidden="1"/>
    </xf>
    <xf numFmtId="0" fontId="9" fillId="0" borderId="1" xfId="0" applyFont="1" applyBorder="1" applyAlignment="1" applyProtection="1">
      <alignment horizontal="center" vertical="center"/>
      <protection locked="0"/>
    </xf>
    <xf numFmtId="0" fontId="13" fillId="7" borderId="1" xfId="1" applyFont="1" applyFill="1" applyBorder="1" applyAlignment="1" applyProtection="1">
      <alignment horizontal="center" vertical="center"/>
    </xf>
    <xf numFmtId="0" fontId="0" fillId="4" borderId="0" xfId="0" applyFill="1" applyAlignment="1" applyProtection="1">
      <alignment horizontal="center"/>
      <protection hidden="1"/>
    </xf>
    <xf numFmtId="0" fontId="10" fillId="3" borderId="2" xfId="0" applyFont="1" applyFill="1" applyBorder="1" applyAlignment="1" applyProtection="1">
      <alignment horizontal="center" vertical="center"/>
      <protection hidden="1"/>
    </xf>
    <xf numFmtId="0" fontId="10" fillId="3" borderId="5" xfId="0" applyFont="1" applyFill="1" applyBorder="1" applyAlignment="1" applyProtection="1">
      <alignment horizontal="center" vertical="center"/>
      <protection hidden="1"/>
    </xf>
    <xf numFmtId="0" fontId="10" fillId="3" borderId="4" xfId="0" applyFont="1" applyFill="1" applyBorder="1" applyAlignment="1" applyProtection="1">
      <alignment horizontal="center" vertical="center"/>
      <protection hidden="1"/>
    </xf>
    <xf numFmtId="0" fontId="10" fillId="0" borderId="12" xfId="0" applyFont="1" applyBorder="1" applyAlignment="1" applyProtection="1">
      <alignment horizontal="left" wrapText="1"/>
      <protection hidden="1"/>
    </xf>
    <xf numFmtId="0" fontId="10" fillId="0" borderId="12" xfId="0" applyFont="1" applyBorder="1" applyAlignment="1" applyProtection="1">
      <alignment horizontal="left"/>
      <protection hidden="1"/>
    </xf>
    <xf numFmtId="0" fontId="6" fillId="4" borderId="2" xfId="0" applyFont="1" applyFill="1" applyBorder="1" applyAlignment="1" applyProtection="1">
      <alignment horizontal="center" vertical="center"/>
      <protection hidden="1"/>
    </xf>
    <xf numFmtId="0" fontId="6" fillId="4" borderId="5" xfId="0" applyFont="1" applyFill="1" applyBorder="1" applyAlignment="1" applyProtection="1">
      <alignment horizontal="center" vertical="center"/>
      <protection hidden="1"/>
    </xf>
    <xf numFmtId="0" fontId="6" fillId="4" borderId="4" xfId="0" applyFont="1" applyFill="1" applyBorder="1" applyAlignment="1" applyProtection="1">
      <alignment horizontal="center" vertical="center"/>
      <protection hidden="1"/>
    </xf>
    <xf numFmtId="0" fontId="10" fillId="3" borderId="13" xfId="0" applyFont="1" applyFill="1" applyBorder="1" applyAlignment="1" applyProtection="1">
      <alignment horizontal="center" vertical="center"/>
      <protection hidden="1"/>
    </xf>
    <xf numFmtId="0" fontId="10" fillId="3" borderId="14" xfId="0" applyFont="1" applyFill="1" applyBorder="1" applyAlignment="1" applyProtection="1">
      <alignment horizontal="center" vertical="center"/>
      <protection hidden="1"/>
    </xf>
    <xf numFmtId="0" fontId="10" fillId="3" borderId="15" xfId="0" applyFont="1" applyFill="1" applyBorder="1" applyAlignment="1" applyProtection="1">
      <alignment horizontal="center" vertical="center"/>
      <protection hidden="1"/>
    </xf>
    <xf numFmtId="0" fontId="10" fillId="3" borderId="2" xfId="0" applyFont="1" applyFill="1" applyBorder="1" applyAlignment="1" applyProtection="1">
      <alignment horizontal="left" vertical="center"/>
      <protection hidden="1"/>
    </xf>
    <xf numFmtId="0" fontId="10" fillId="3" borderId="4" xfId="0" applyFont="1" applyFill="1" applyBorder="1" applyAlignment="1" applyProtection="1">
      <alignment horizontal="left" vertical="center"/>
      <protection hidden="1"/>
    </xf>
    <xf numFmtId="0" fontId="10" fillId="3" borderId="2" xfId="0" applyFont="1" applyFill="1" applyBorder="1" applyAlignment="1" applyProtection="1">
      <alignment horizontal="left" vertical="center" wrapText="1"/>
      <protection hidden="1"/>
    </xf>
    <xf numFmtId="0" fontId="10" fillId="3" borderId="4" xfId="0" applyFont="1" applyFill="1" applyBorder="1" applyAlignment="1" applyProtection="1">
      <alignment horizontal="left" vertical="center" wrapText="1"/>
      <protection hidden="1"/>
    </xf>
    <xf numFmtId="0" fontId="6" fillId="4" borderId="3" xfId="0" applyFont="1" applyFill="1" applyBorder="1" applyAlignment="1" applyProtection="1">
      <alignment horizontal="center" vertical="center"/>
      <protection hidden="1"/>
    </xf>
    <xf numFmtId="0" fontId="6" fillId="4" borderId="7" xfId="0" applyFont="1" applyFill="1" applyBorder="1" applyAlignment="1" applyProtection="1">
      <alignment horizontal="center" vertical="center"/>
      <protection hidden="1"/>
    </xf>
    <xf numFmtId="0" fontId="10" fillId="3" borderId="2" xfId="0" applyFont="1" applyFill="1" applyBorder="1" applyAlignment="1" applyProtection="1">
      <alignment horizontal="center" vertical="center" wrapText="1"/>
      <protection hidden="1"/>
    </xf>
    <xf numFmtId="0" fontId="10" fillId="3" borderId="4" xfId="0" applyFont="1" applyFill="1" applyBorder="1" applyAlignment="1" applyProtection="1">
      <alignment horizontal="center" vertical="center" wrapText="1"/>
      <protection hidden="1"/>
    </xf>
    <xf numFmtId="0" fontId="10" fillId="0" borderId="0" xfId="0" applyFont="1" applyAlignment="1" applyProtection="1">
      <alignment horizontal="left"/>
      <protection hidden="1"/>
    </xf>
    <xf numFmtId="0" fontId="10" fillId="3" borderId="2" xfId="0" applyFont="1" applyFill="1" applyBorder="1" applyAlignment="1" applyProtection="1">
      <alignment horizontal="center"/>
      <protection hidden="1"/>
    </xf>
    <xf numFmtId="0" fontId="10" fillId="3" borderId="5" xfId="0" applyFont="1" applyFill="1" applyBorder="1" applyAlignment="1" applyProtection="1">
      <alignment horizontal="center"/>
      <protection hidden="1"/>
    </xf>
    <xf numFmtId="0" fontId="10" fillId="3" borderId="4" xfId="0" applyFont="1" applyFill="1" applyBorder="1" applyAlignment="1" applyProtection="1">
      <alignment horizontal="center"/>
      <protection hidden="1"/>
    </xf>
    <xf numFmtId="0" fontId="6" fillId="4" borderId="10" xfId="0" applyFont="1" applyFill="1" applyBorder="1" applyAlignment="1" applyProtection="1">
      <alignment horizontal="center" vertical="center"/>
      <protection hidden="1"/>
    </xf>
    <xf numFmtId="0" fontId="10" fillId="3" borderId="1" xfId="0" applyFont="1" applyFill="1" applyBorder="1" applyAlignment="1" applyProtection="1">
      <alignment horizontal="center" vertical="center" wrapText="1"/>
      <protection hidden="1"/>
    </xf>
    <xf numFmtId="0" fontId="10" fillId="3" borderId="1" xfId="0" applyFont="1" applyFill="1" applyBorder="1" applyAlignment="1" applyProtection="1">
      <alignment horizontal="center" vertical="center"/>
      <protection hidden="1"/>
    </xf>
    <xf numFmtId="0" fontId="0" fillId="0" borderId="2" xfId="0" applyFont="1" applyBorder="1" applyAlignment="1" applyProtection="1">
      <alignment horizontal="center"/>
      <protection hidden="1"/>
    </xf>
    <xf numFmtId="0" fontId="0" fillId="0" borderId="5" xfId="0" applyFont="1" applyBorder="1" applyAlignment="1" applyProtection="1">
      <alignment horizontal="center"/>
      <protection hidden="1"/>
    </xf>
    <xf numFmtId="0" fontId="0" fillId="0" borderId="4" xfId="0" applyFont="1" applyBorder="1" applyAlignment="1" applyProtection="1">
      <alignment horizontal="center"/>
      <protection hidden="1"/>
    </xf>
    <xf numFmtId="0" fontId="0" fillId="0" borderId="2"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10" fillId="3" borderId="10" xfId="0" applyFont="1" applyFill="1" applyBorder="1" applyAlignment="1" applyProtection="1">
      <alignment horizontal="left" vertical="center"/>
      <protection hidden="1"/>
    </xf>
    <xf numFmtId="0" fontId="10" fillId="3" borderId="3" xfId="0" applyFont="1" applyFill="1" applyBorder="1" applyAlignment="1" applyProtection="1">
      <alignment horizontal="left" vertical="center"/>
      <protection hidden="1"/>
    </xf>
    <xf numFmtId="0" fontId="10" fillId="3" borderId="7" xfId="0" applyFont="1" applyFill="1" applyBorder="1" applyAlignment="1" applyProtection="1">
      <alignment horizontal="left" vertical="center"/>
      <protection hidden="1"/>
    </xf>
    <xf numFmtId="0" fontId="12" fillId="3" borderId="2" xfId="30" applyFont="1" applyFill="1" applyBorder="1" applyAlignment="1" applyProtection="1">
      <alignment horizontal="center" vertical="center"/>
      <protection hidden="1"/>
    </xf>
    <xf numFmtId="0" fontId="12" fillId="3" borderId="5" xfId="30" applyFont="1" applyFill="1" applyBorder="1" applyAlignment="1" applyProtection="1">
      <alignment horizontal="center" vertical="center"/>
      <protection hidden="1"/>
    </xf>
    <xf numFmtId="0" fontId="12" fillId="3" borderId="4" xfId="30" applyFont="1" applyFill="1" applyBorder="1" applyAlignment="1" applyProtection="1">
      <alignment horizontal="center" vertical="center"/>
      <protection hidden="1"/>
    </xf>
    <xf numFmtId="164" fontId="6" fillId="4" borderId="2" xfId="30" applyNumberFormat="1" applyFont="1" applyFill="1" applyBorder="1" applyAlignment="1" applyProtection="1">
      <alignment horizontal="center" vertical="center"/>
      <protection hidden="1"/>
    </xf>
    <xf numFmtId="164" fontId="6" fillId="4" borderId="5" xfId="30" applyNumberFormat="1" applyFont="1" applyFill="1" applyBorder="1" applyAlignment="1" applyProtection="1">
      <alignment horizontal="center" vertical="center"/>
      <protection hidden="1"/>
    </xf>
    <xf numFmtId="164" fontId="6" fillId="4" borderId="4" xfId="30" applyNumberFormat="1" applyFont="1" applyFill="1" applyBorder="1" applyAlignment="1" applyProtection="1">
      <alignment horizontal="center" vertical="center"/>
      <protection hidden="1"/>
    </xf>
    <xf numFmtId="0" fontId="10" fillId="3" borderId="2" xfId="30" applyFont="1" applyFill="1" applyBorder="1" applyAlignment="1" applyProtection="1">
      <alignment horizontal="center" vertical="center"/>
      <protection hidden="1"/>
    </xf>
    <xf numFmtId="0" fontId="10" fillId="3" borderId="5" xfId="30" applyFont="1" applyFill="1" applyBorder="1" applyAlignment="1" applyProtection="1">
      <alignment horizontal="center" vertical="center"/>
      <protection hidden="1"/>
    </xf>
    <xf numFmtId="0" fontId="10" fillId="3" borderId="4" xfId="30" applyFont="1" applyFill="1" applyBorder="1" applyAlignment="1" applyProtection="1">
      <alignment horizontal="center" vertical="center"/>
      <protection hidden="1"/>
    </xf>
    <xf numFmtId="0" fontId="10" fillId="3" borderId="1" xfId="30" applyFont="1" applyFill="1" applyBorder="1" applyAlignment="1" applyProtection="1">
      <alignment horizontal="center" vertical="center" wrapText="1"/>
      <protection hidden="1"/>
    </xf>
    <xf numFmtId="0" fontId="12" fillId="3" borderId="1" xfId="30" applyFont="1" applyFill="1" applyBorder="1" applyAlignment="1" applyProtection="1">
      <alignment horizontal="center" vertical="center" wrapText="1"/>
      <protection hidden="1"/>
    </xf>
    <xf numFmtId="0" fontId="12" fillId="3" borderId="1"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left" vertical="center"/>
      <protection hidden="1"/>
    </xf>
    <xf numFmtId="0" fontId="10" fillId="3" borderId="12" xfId="0" applyFont="1" applyFill="1" applyBorder="1" applyAlignment="1" applyProtection="1">
      <alignment horizontal="left" vertical="center"/>
      <protection hidden="1"/>
    </xf>
    <xf numFmtId="0" fontId="10" fillId="3" borderId="8" xfId="0" applyFont="1" applyFill="1" applyBorder="1" applyAlignment="1" applyProtection="1">
      <alignment horizontal="left" vertical="center"/>
      <protection hidden="1"/>
    </xf>
    <xf numFmtId="0" fontId="9" fillId="0" borderId="1" xfId="0" applyFont="1" applyBorder="1" applyAlignment="1" applyProtection="1">
      <alignment horizontal="center" vertical="center"/>
      <protection locked="0"/>
    </xf>
    <xf numFmtId="0" fontId="9" fillId="7" borderId="13" xfId="0" applyFont="1" applyFill="1" applyBorder="1" applyAlignment="1" applyProtection="1">
      <alignment horizontal="center" vertical="center"/>
      <protection hidden="1"/>
    </xf>
    <xf numFmtId="0" fontId="9" fillId="7" borderId="14" xfId="0" applyFont="1" applyFill="1" applyBorder="1" applyAlignment="1" applyProtection="1">
      <alignment horizontal="center" vertical="center"/>
      <protection hidden="1"/>
    </xf>
    <xf numFmtId="0" fontId="9" fillId="7" borderId="15" xfId="0" applyFont="1" applyFill="1" applyBorder="1" applyAlignment="1" applyProtection="1">
      <alignment horizontal="center" vertical="center"/>
      <protection hidden="1"/>
    </xf>
    <xf numFmtId="0" fontId="10" fillId="3" borderId="6" xfId="0" applyFont="1" applyFill="1" applyBorder="1" applyAlignment="1" applyProtection="1">
      <alignment horizontal="left"/>
      <protection hidden="1"/>
    </xf>
    <xf numFmtId="0" fontId="10" fillId="3" borderId="0" xfId="0" applyFont="1" applyFill="1" applyBorder="1" applyAlignment="1" applyProtection="1">
      <alignment horizontal="left"/>
      <protection hidden="1"/>
    </xf>
    <xf numFmtId="0" fontId="10" fillId="3" borderId="11" xfId="0" applyFont="1" applyFill="1" applyBorder="1" applyAlignment="1" applyProtection="1">
      <alignment horizontal="left"/>
      <protection hidden="1"/>
    </xf>
    <xf numFmtId="0" fontId="12" fillId="3" borderId="10" xfId="0" applyFont="1" applyFill="1" applyBorder="1" applyAlignment="1" applyProtection="1">
      <alignment horizontal="left" vertical="center"/>
      <protection hidden="1"/>
    </xf>
    <xf numFmtId="0" fontId="12" fillId="3" borderId="3" xfId="0" applyFont="1" applyFill="1" applyBorder="1" applyAlignment="1" applyProtection="1">
      <alignment horizontal="left" vertical="center"/>
      <protection hidden="1"/>
    </xf>
    <xf numFmtId="0" fontId="12" fillId="3" borderId="7" xfId="0" applyFont="1" applyFill="1" applyBorder="1" applyAlignment="1" applyProtection="1">
      <alignment horizontal="left" vertical="center"/>
      <protection hidden="1"/>
    </xf>
    <xf numFmtId="0" fontId="9" fillId="0" borderId="12" xfId="0" applyFont="1" applyBorder="1" applyAlignment="1" applyProtection="1">
      <alignment horizontal="center"/>
      <protection hidden="1"/>
    </xf>
    <xf numFmtId="0" fontId="10" fillId="3" borderId="9" xfId="0" applyFont="1" applyFill="1" applyBorder="1" applyAlignment="1" applyProtection="1">
      <alignment horizontal="left"/>
      <protection hidden="1"/>
    </xf>
    <xf numFmtId="0" fontId="10" fillId="3" borderId="12" xfId="0" applyFont="1" applyFill="1" applyBorder="1" applyAlignment="1" applyProtection="1">
      <alignment horizontal="left"/>
      <protection hidden="1"/>
    </xf>
    <xf numFmtId="0" fontId="10" fillId="3" borderId="8" xfId="0" applyFont="1" applyFill="1" applyBorder="1" applyAlignment="1" applyProtection="1">
      <alignment horizontal="left"/>
      <protection hidden="1"/>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10" fillId="3" borderId="5" xfId="0" applyFont="1" applyFill="1" applyBorder="1" applyAlignment="1" applyProtection="1">
      <alignment horizontal="left" vertical="center" wrapText="1"/>
      <protection hidden="1"/>
    </xf>
    <xf numFmtId="0" fontId="10" fillId="3" borderId="6" xfId="0" applyFont="1" applyFill="1" applyBorder="1" applyAlignment="1" applyProtection="1">
      <alignment horizontal="left" vertical="center" wrapText="1"/>
      <protection hidden="1"/>
    </xf>
    <xf numFmtId="0" fontId="10" fillId="3" borderId="0" xfId="0" applyFont="1" applyFill="1" applyBorder="1" applyAlignment="1" applyProtection="1">
      <alignment horizontal="left" vertical="center" wrapText="1"/>
      <protection hidden="1"/>
    </xf>
    <xf numFmtId="0" fontId="10" fillId="3" borderId="11" xfId="0" applyFont="1" applyFill="1" applyBorder="1" applyAlignment="1" applyProtection="1">
      <alignment horizontal="left" vertical="center" wrapText="1"/>
      <protection hidden="1"/>
    </xf>
    <xf numFmtId="0" fontId="10" fillId="3" borderId="10" xfId="0" applyFont="1" applyFill="1" applyBorder="1" applyAlignment="1" applyProtection="1">
      <alignment horizontal="left" vertical="center" wrapText="1"/>
      <protection hidden="1"/>
    </xf>
    <xf numFmtId="0" fontId="10" fillId="3" borderId="3" xfId="0" applyFont="1" applyFill="1" applyBorder="1" applyAlignment="1" applyProtection="1">
      <alignment horizontal="left" vertical="center" wrapText="1"/>
      <protection hidden="1"/>
    </xf>
    <xf numFmtId="0" fontId="10" fillId="3" borderId="7" xfId="0" applyFont="1" applyFill="1" applyBorder="1" applyAlignment="1" applyProtection="1">
      <alignment horizontal="left" vertical="center" wrapText="1"/>
      <protection hidden="1"/>
    </xf>
    <xf numFmtId="0" fontId="12" fillId="3" borderId="2" xfId="30" applyFont="1" applyFill="1" applyBorder="1" applyAlignment="1" applyProtection="1">
      <alignment horizontal="center" vertical="center" wrapText="1"/>
      <protection hidden="1"/>
    </xf>
    <xf numFmtId="0" fontId="12" fillId="3" borderId="4" xfId="30" applyFont="1" applyFill="1" applyBorder="1" applyAlignment="1" applyProtection="1">
      <alignment horizontal="center" vertical="center" wrapText="1"/>
      <protection hidden="1"/>
    </xf>
    <xf numFmtId="0" fontId="13" fillId="2" borderId="2" xfId="25" applyFont="1" applyFill="1" applyBorder="1" applyAlignment="1" applyProtection="1">
      <alignment horizontal="center" wrapText="1"/>
      <protection locked="0"/>
    </xf>
    <xf numFmtId="0" fontId="13" fillId="2" borderId="4" xfId="25" applyFont="1" applyFill="1" applyBorder="1" applyAlignment="1" applyProtection="1">
      <alignment horizontal="center" wrapText="1"/>
      <protection locked="0"/>
    </xf>
    <xf numFmtId="0" fontId="12" fillId="3" borderId="1" xfId="0" applyFont="1" applyFill="1" applyBorder="1" applyAlignment="1" applyProtection="1">
      <alignment horizontal="left" vertical="center"/>
      <protection hidden="1"/>
    </xf>
    <xf numFmtId="0" fontId="10" fillId="6" borderId="2" xfId="0" applyFont="1" applyFill="1" applyBorder="1" applyAlignment="1" applyProtection="1">
      <alignment horizontal="left" vertical="center"/>
      <protection hidden="1"/>
    </xf>
    <xf numFmtId="0" fontId="10" fillId="6" borderId="5" xfId="0" applyFont="1" applyFill="1" applyBorder="1" applyAlignment="1" applyProtection="1">
      <alignment horizontal="left" vertical="center"/>
      <protection hidden="1"/>
    </xf>
    <xf numFmtId="0" fontId="10" fillId="6" borderId="4" xfId="0" applyFont="1" applyFill="1" applyBorder="1" applyAlignment="1" applyProtection="1">
      <alignment horizontal="left" vertical="center"/>
      <protection hidden="1"/>
    </xf>
    <xf numFmtId="0" fontId="10" fillId="3" borderId="1" xfId="0" applyFont="1" applyFill="1" applyBorder="1" applyAlignment="1" applyProtection="1">
      <alignment horizontal="left" vertical="center"/>
      <protection hidden="1"/>
    </xf>
    <xf numFmtId="0" fontId="10" fillId="3" borderId="9" xfId="0" applyFont="1" applyFill="1" applyBorder="1" applyAlignment="1" applyProtection="1">
      <alignment horizontal="left" vertical="center" wrapText="1"/>
      <protection hidden="1"/>
    </xf>
    <xf numFmtId="0" fontId="10" fillId="3" borderId="12" xfId="0" applyFont="1" applyFill="1" applyBorder="1" applyAlignment="1" applyProtection="1">
      <alignment horizontal="left" vertical="center" wrapText="1"/>
      <protection hidden="1"/>
    </xf>
    <xf numFmtId="0" fontId="10" fillId="3" borderId="8" xfId="0" applyFont="1" applyFill="1" applyBorder="1" applyAlignment="1" applyProtection="1">
      <alignment horizontal="left" vertical="center" wrapText="1"/>
      <protection hidden="1"/>
    </xf>
    <xf numFmtId="0" fontId="12" fillId="3" borderId="13" xfId="0" applyFont="1" applyFill="1" applyBorder="1" applyAlignment="1" applyProtection="1">
      <alignment horizontal="center" vertical="center" wrapText="1"/>
      <protection hidden="1"/>
    </xf>
    <xf numFmtId="0" fontId="12" fillId="3" borderId="15" xfId="0" applyFont="1" applyFill="1" applyBorder="1" applyAlignment="1" applyProtection="1">
      <alignment horizontal="center" vertical="center" wrapText="1"/>
      <protection hidden="1"/>
    </xf>
    <xf numFmtId="0" fontId="12" fillId="0" borderId="12" xfId="1" applyFont="1" applyBorder="1" applyAlignment="1" applyProtection="1">
      <alignment horizontal="left" vertical="center"/>
      <protection hidden="1"/>
    </xf>
    <xf numFmtId="0" fontId="10" fillId="3" borderId="6" xfId="0" applyFont="1" applyFill="1" applyBorder="1" applyAlignment="1" applyProtection="1">
      <alignment horizontal="left" vertical="center"/>
      <protection hidden="1"/>
    </xf>
    <xf numFmtId="0" fontId="10" fillId="3" borderId="0" xfId="0" applyFont="1" applyFill="1" applyBorder="1" applyAlignment="1" applyProtection="1">
      <alignment horizontal="left" vertical="center"/>
      <protection hidden="1"/>
    </xf>
    <xf numFmtId="0" fontId="10" fillId="3" borderId="11" xfId="0" applyFont="1" applyFill="1" applyBorder="1" applyAlignment="1" applyProtection="1">
      <alignment horizontal="left" vertical="center"/>
      <protection hidden="1"/>
    </xf>
    <xf numFmtId="0" fontId="10" fillId="0" borderId="0" xfId="0" applyFont="1" applyBorder="1" applyAlignment="1" applyProtection="1">
      <alignment horizontal="left" vertical="center"/>
      <protection hidden="1"/>
    </xf>
    <xf numFmtId="0" fontId="7" fillId="4" borderId="3" xfId="0" applyFont="1" applyFill="1" applyBorder="1" applyAlignment="1" applyProtection="1">
      <alignment horizontal="center" vertical="center"/>
      <protection hidden="1"/>
    </xf>
    <xf numFmtId="0" fontId="21" fillId="0" borderId="0" xfId="0" applyFont="1" applyBorder="1" applyAlignment="1" applyProtection="1">
      <alignment horizontal="left"/>
      <protection hidden="1"/>
    </xf>
    <xf numFmtId="0" fontId="12" fillId="3" borderId="13" xfId="25" applyFont="1" applyFill="1" applyBorder="1" applyAlignment="1" applyProtection="1">
      <alignment horizontal="center" vertical="center" wrapText="1"/>
      <protection hidden="1"/>
    </xf>
    <xf numFmtId="0" fontId="12" fillId="3" borderId="15" xfId="25" applyFont="1" applyFill="1" applyBorder="1" applyAlignment="1" applyProtection="1">
      <alignment horizontal="center" vertical="center" wrapText="1"/>
      <protection hidden="1"/>
    </xf>
    <xf numFmtId="0" fontId="12" fillId="3" borderId="2" xfId="25" applyFont="1" applyFill="1" applyBorder="1" applyAlignment="1" applyProtection="1">
      <alignment horizontal="center" vertical="center" wrapText="1"/>
      <protection hidden="1"/>
    </xf>
    <xf numFmtId="0" fontId="12" fillId="3" borderId="5" xfId="25" applyFont="1" applyFill="1" applyBorder="1" applyAlignment="1" applyProtection="1">
      <alignment horizontal="center" vertical="center" wrapText="1"/>
      <protection hidden="1"/>
    </xf>
    <xf numFmtId="0" fontId="7" fillId="4" borderId="0" xfId="0" applyFont="1" applyFill="1" applyBorder="1" applyAlignment="1" applyProtection="1">
      <alignment horizontal="center" vertical="center"/>
      <protection hidden="1"/>
    </xf>
    <xf numFmtId="0" fontId="8" fillId="0" borderId="0" xfId="0" applyFont="1" applyBorder="1" applyAlignment="1" applyProtection="1">
      <alignment horizontal="left" vertical="top" wrapText="1"/>
      <protection hidden="1"/>
    </xf>
    <xf numFmtId="0" fontId="0" fillId="0" borderId="0" xfId="0" applyAlignment="1">
      <alignment horizontal="left" vertical="top" wrapText="1"/>
    </xf>
  </cellXfs>
  <cellStyles count="34">
    <cellStyle name="Comma 2" xfId="11"/>
    <cellStyle name="Comma 2 2" xfId="27"/>
    <cellStyle name="Comma 3" xfId="4"/>
    <cellStyle name="Comma 3 2" xfId="29"/>
    <cellStyle name="Comma 4" xfId="26"/>
    <cellStyle name="Normal" xfId="0" builtinId="0"/>
    <cellStyle name="Normal 2" xfId="2"/>
    <cellStyle name="Normal 2 2" xfId="5"/>
    <cellStyle name="Normal 2 2 2" xfId="12"/>
    <cellStyle name="Normal 2 2 2 2" xfId="22"/>
    <cellStyle name="Normal 2 2 3" xfId="16"/>
    <cellStyle name="Normal 2 3" xfId="6"/>
    <cellStyle name="Normal 2 3 2" xfId="13"/>
    <cellStyle name="Normal 2 3 2 2" xfId="23"/>
    <cellStyle name="Normal 2 3 3" xfId="17"/>
    <cellStyle name="Normal 2 4" xfId="10"/>
    <cellStyle name="Normal 2 4 2" xfId="21"/>
    <cellStyle name="Normal 2 5" xfId="15"/>
    <cellStyle name="Normal 3" xfId="3"/>
    <cellStyle name="Normal 3 2" xfId="25"/>
    <cellStyle name="Normal 4" xfId="9"/>
    <cellStyle name="Normal 4 2" xfId="20"/>
    <cellStyle name="Normal 4 2 2" xfId="28"/>
    <cellStyle name="Normal 4 3" xfId="31"/>
    <cellStyle name="Normal 4 3 2" xfId="33"/>
    <cellStyle name="Normal 5" xfId="8"/>
    <cellStyle name="Normal 5 2" xfId="19"/>
    <cellStyle name="Normal 6" xfId="1"/>
    <cellStyle name="Normal 6 2" xfId="30"/>
    <cellStyle name="Normal 6 2 2" xfId="32"/>
    <cellStyle name="Percent 2" xfId="7"/>
    <cellStyle name="Percent 2 2" xfId="14"/>
    <cellStyle name="Percent 2 2 2" xfId="24"/>
    <cellStyle name="Percent 2 3"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805815</xdr:colOff>
      <xdr:row>4</xdr:row>
      <xdr:rowOff>16510</xdr:rowOff>
    </xdr:to>
    <xdr:pic>
      <xdr:nvPicPr>
        <xdr:cNvPr id="4" name="Picture 3">
          <a:extLst>
            <a:ext uri="{FF2B5EF4-FFF2-40B4-BE49-F238E27FC236}">
              <a16:creationId xmlns:a16="http://schemas.microsoft.com/office/drawing/2014/main" id="{514DD5B7-296B-4FE7-B5CC-453D180762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3320414" cy="11118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222250</xdr:colOff>
      <xdr:row>0</xdr:row>
      <xdr:rowOff>1</xdr:rowOff>
    </xdr:from>
    <xdr:to>
      <xdr:col>2</xdr:col>
      <xdr:colOff>1052830</xdr:colOff>
      <xdr:row>4</xdr:row>
      <xdr:rowOff>127001</xdr:rowOff>
    </xdr:to>
    <xdr:pic>
      <xdr:nvPicPr>
        <xdr:cNvPr id="2" name="Picture 1">
          <a:extLst>
            <a:ext uri="{FF2B5EF4-FFF2-40B4-BE49-F238E27FC236}">
              <a16:creationId xmlns:a16="http://schemas.microsoft.com/office/drawing/2014/main" id="{514DD5B7-296B-4FE7-B5CC-453D180762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250" y="1"/>
          <a:ext cx="2799080" cy="1111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7620</xdr:rowOff>
    </xdr:from>
    <xdr:to>
      <xdr:col>2</xdr:col>
      <xdr:colOff>523875</xdr:colOff>
      <xdr:row>3</xdr:row>
      <xdr:rowOff>22860</xdr:rowOff>
    </xdr:to>
    <xdr:pic>
      <xdr:nvPicPr>
        <xdr:cNvPr id="2" name="Picture 1">
          <a:extLst>
            <a:ext uri="{FF2B5EF4-FFF2-40B4-BE49-F238E27FC236}">
              <a16:creationId xmlns:a16="http://schemas.microsoft.com/office/drawing/2014/main" id="{514DD5B7-296B-4FE7-B5CC-453D180762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620"/>
          <a:ext cx="2857500"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tabSelected="1" workbookViewId="0">
      <selection activeCell="B5" sqref="B5"/>
    </sheetView>
  </sheetViews>
  <sheetFormatPr defaultColWidth="8.81640625" defaultRowHeight="14.5" x14ac:dyDescent="0.35"/>
  <cols>
    <col min="1" max="1" width="4.7265625" style="6" customWidth="1"/>
    <col min="2" max="2" width="101.81640625" style="6" customWidth="1"/>
    <col min="3" max="3" width="4.1796875" style="6" customWidth="1"/>
    <col min="4" max="16384" width="8.81640625" style="6"/>
  </cols>
  <sheetData>
    <row r="1" spans="1:3" x14ac:dyDescent="0.35">
      <c r="A1" s="101"/>
      <c r="B1" s="14"/>
      <c r="C1" s="101"/>
    </row>
    <row r="2" spans="1:3" ht="33.65" customHeight="1" x14ac:dyDescent="0.35">
      <c r="A2" s="101"/>
      <c r="B2" s="16" t="s">
        <v>39</v>
      </c>
      <c r="C2" s="101"/>
    </row>
    <row r="3" spans="1:3" ht="105.75" customHeight="1" x14ac:dyDescent="0.35">
      <c r="A3" s="101"/>
      <c r="B3" s="18" t="s">
        <v>132</v>
      </c>
      <c r="C3" s="101"/>
    </row>
    <row r="4" spans="1:3" ht="24" customHeight="1" x14ac:dyDescent="0.35">
      <c r="A4" s="101"/>
      <c r="B4" s="7" t="s">
        <v>40</v>
      </c>
      <c r="C4" s="101"/>
    </row>
    <row r="5" spans="1:3" ht="70.5" customHeight="1" x14ac:dyDescent="0.35">
      <c r="A5" s="101"/>
      <c r="B5" s="18" t="s">
        <v>41</v>
      </c>
      <c r="C5" s="101"/>
    </row>
    <row r="6" spans="1:3" ht="29" x14ac:dyDescent="0.35">
      <c r="A6" s="101"/>
      <c r="B6" s="17" t="s">
        <v>42</v>
      </c>
      <c r="C6" s="101"/>
    </row>
    <row r="7" spans="1:3" x14ac:dyDescent="0.35">
      <c r="A7" s="101"/>
      <c r="B7" s="51" t="s">
        <v>100</v>
      </c>
      <c r="C7" s="101"/>
    </row>
    <row r="8" spans="1:3" ht="46.5" customHeight="1" x14ac:dyDescent="0.35">
      <c r="A8" s="101"/>
      <c r="B8" s="52" t="s">
        <v>131</v>
      </c>
      <c r="C8" s="101"/>
    </row>
    <row r="9" spans="1:3" ht="37.9" customHeight="1" x14ac:dyDescent="0.35">
      <c r="A9" s="101"/>
      <c r="B9" s="43" t="s">
        <v>44</v>
      </c>
      <c r="C9" s="101"/>
    </row>
    <row r="10" spans="1:3" x14ac:dyDescent="0.35">
      <c r="A10" s="101"/>
      <c r="B10" s="10"/>
      <c r="C10" s="101"/>
    </row>
    <row r="11" spans="1:3" x14ac:dyDescent="0.35">
      <c r="B11" s="15"/>
    </row>
    <row r="12" spans="1:3" x14ac:dyDescent="0.35">
      <c r="B12" s="15"/>
    </row>
    <row r="13" spans="1:3" x14ac:dyDescent="0.35">
      <c r="B13" s="15"/>
    </row>
    <row r="14" spans="1:3" x14ac:dyDescent="0.35">
      <c r="B14" s="15"/>
    </row>
    <row r="15" spans="1:3" x14ac:dyDescent="0.35">
      <c r="B15" s="15"/>
    </row>
    <row r="16" spans="1:3" x14ac:dyDescent="0.35">
      <c r="B16" s="15"/>
    </row>
    <row r="17" spans="2:2" x14ac:dyDescent="0.35">
      <c r="B17" s="15"/>
    </row>
    <row r="18" spans="2:2" x14ac:dyDescent="0.35">
      <c r="B18" s="15"/>
    </row>
    <row r="19" spans="2:2" x14ac:dyDescent="0.35">
      <c r="B19" s="15"/>
    </row>
    <row r="20" spans="2:2" x14ac:dyDescent="0.35">
      <c r="B20" s="15"/>
    </row>
  </sheetData>
  <sheetProtection algorithmName="SHA-512" hashValue="C9AcJNdI55gHo7x6avzk5y2zzHY4UY1ti96XVuIRJBZByc5qtuBuz4UL6DwOmu33z17hgsGJ2RP+hOsPBD/1FA==" saltValue="s4viydJasdV3u5qe2Byitw==" spinCount="100000" sheet="1" objects="1" scenarios="1"/>
  <mergeCells count="2">
    <mergeCell ref="A1:A10"/>
    <mergeCell ref="C1:C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zoomScaleNormal="100" workbookViewId="0">
      <selection activeCell="C16" sqref="C16"/>
    </sheetView>
  </sheetViews>
  <sheetFormatPr defaultColWidth="8.81640625" defaultRowHeight="12" x14ac:dyDescent="0.3"/>
  <cols>
    <col min="1" max="1" width="23.453125" style="11" customWidth="1"/>
    <col min="2" max="13" width="14.26953125" style="11" customWidth="1"/>
    <col min="14" max="16384" width="8.81640625" style="11"/>
  </cols>
  <sheetData>
    <row r="1" spans="1:13" ht="20.25" customHeight="1" x14ac:dyDescent="0.3">
      <c r="C1" s="13"/>
      <c r="D1" s="117" t="s">
        <v>27</v>
      </c>
      <c r="E1" s="117"/>
      <c r="F1" s="117"/>
      <c r="G1" s="117"/>
      <c r="H1" s="118"/>
    </row>
    <row r="2" spans="1:13" ht="37.5" customHeight="1" x14ac:dyDescent="0.3">
      <c r="C2" s="12"/>
      <c r="D2" s="119"/>
      <c r="E2" s="120"/>
      <c r="F2" s="95" t="s">
        <v>58</v>
      </c>
      <c r="G2" s="95" t="s">
        <v>157</v>
      </c>
      <c r="H2" s="95" t="s">
        <v>31</v>
      </c>
    </row>
    <row r="3" spans="1:13" ht="14.5" customHeight="1" x14ac:dyDescent="0.3">
      <c r="C3" s="9"/>
      <c r="D3" s="102" t="s">
        <v>32</v>
      </c>
      <c r="E3" s="104"/>
      <c r="F3" s="38" t="str">
        <f t="shared" ref="F3:H4" si="0">D10</f>
        <v xml:space="preserve"> </v>
      </c>
      <c r="G3" s="39" t="str">
        <f t="shared" si="0"/>
        <v xml:space="preserve"> </v>
      </c>
      <c r="H3" s="39" t="str">
        <f t="shared" si="0"/>
        <v xml:space="preserve"> </v>
      </c>
    </row>
    <row r="4" spans="1:13" ht="14.25" customHeight="1" x14ac:dyDescent="0.3">
      <c r="C4" s="9"/>
      <c r="D4" s="102" t="s">
        <v>121</v>
      </c>
      <c r="E4" s="104"/>
      <c r="F4" s="39" t="str">
        <f t="shared" si="0"/>
        <v xml:space="preserve"> </v>
      </c>
      <c r="G4" s="39" t="str">
        <f t="shared" si="0"/>
        <v xml:space="preserve"> </v>
      </c>
      <c r="H4" s="39" t="str">
        <f t="shared" si="0"/>
        <v xml:space="preserve"> </v>
      </c>
    </row>
    <row r="5" spans="1:13" ht="18" customHeight="1" x14ac:dyDescent="0.3">
      <c r="C5" s="9"/>
      <c r="D5" s="102" t="s">
        <v>2</v>
      </c>
      <c r="E5" s="104"/>
      <c r="F5" s="40" t="str">
        <f>D12</f>
        <v/>
      </c>
      <c r="G5" s="40" t="str">
        <f>E12</f>
        <v/>
      </c>
      <c r="H5" s="39"/>
    </row>
    <row r="6" spans="1:13" ht="14.5" customHeight="1" x14ac:dyDescent="0.3">
      <c r="C6" s="9"/>
    </row>
    <row r="7" spans="1:13" ht="14.5" hidden="1" customHeight="1" x14ac:dyDescent="0.3">
      <c r="C7" s="9"/>
    </row>
    <row r="8" spans="1:13" ht="14.5" hidden="1" customHeight="1" x14ac:dyDescent="0.3">
      <c r="B8" s="117" t="s">
        <v>102</v>
      </c>
      <c r="C8" s="117"/>
      <c r="D8" s="117"/>
      <c r="E8" s="117"/>
      <c r="F8" s="118"/>
      <c r="J8" s="117" t="s">
        <v>103</v>
      </c>
      <c r="K8" s="117"/>
      <c r="L8" s="117"/>
      <c r="M8" s="118"/>
    </row>
    <row r="9" spans="1:13" ht="37.5" hidden="1" customHeight="1" x14ac:dyDescent="0.3">
      <c r="B9" s="119"/>
      <c r="C9" s="120"/>
      <c r="D9" s="95" t="s">
        <v>58</v>
      </c>
      <c r="E9" s="95" t="s">
        <v>101</v>
      </c>
      <c r="F9" s="95" t="s">
        <v>31</v>
      </c>
      <c r="J9" s="119"/>
      <c r="K9" s="120"/>
      <c r="L9" s="95" t="s">
        <v>58</v>
      </c>
      <c r="M9" s="95" t="s">
        <v>31</v>
      </c>
    </row>
    <row r="10" spans="1:13" ht="14.5" hidden="1" customHeight="1" x14ac:dyDescent="0.3">
      <c r="B10" s="102" t="s">
        <v>32</v>
      </c>
      <c r="C10" s="104"/>
      <c r="D10" s="38" t="str">
        <f>IF(G21&gt;0, H22, " ")</f>
        <v xml:space="preserve"> </v>
      </c>
      <c r="E10" s="39" t="str">
        <f>IF(E33&gt;0,E33, " ")</f>
        <v xml:space="preserve"> </v>
      </c>
      <c r="F10" s="39" t="str">
        <f>IF(AND(G21&gt;0,E33&gt; 0), ROUND(SUM(D13:E13), 1), " ")</f>
        <v xml:space="preserve"> </v>
      </c>
      <c r="J10" s="102" t="s">
        <v>32</v>
      </c>
      <c r="K10" s="104"/>
      <c r="L10" s="38" t="str">
        <f>IF(G21&gt;0, H22, " ")</f>
        <v xml:space="preserve"> </v>
      </c>
      <c r="M10" s="39" t="str">
        <f>IF(G21&gt;0, (ROUND(L13, 1)), "")</f>
        <v/>
      </c>
    </row>
    <row r="11" spans="1:13" ht="14.5" hidden="1" customHeight="1" x14ac:dyDescent="0.3">
      <c r="B11" s="102" t="s">
        <v>121</v>
      </c>
      <c r="C11" s="104"/>
      <c r="D11" s="39" t="str">
        <f>IF(G21&gt;0, IF(D10&lt;50, "F", IF(D10&lt;60, "D", IF(D10&lt;75, "C", IF(D10&lt;90, "B", "A")))), " ")</f>
        <v xml:space="preserve"> </v>
      </c>
      <c r="E11" s="39" t="str">
        <f>IF(E33&gt;0, IF(E10&lt;50, "F", IF(E10&lt;60, "D", IF(E10&lt;75, "C", IF(E10&lt;90, "B", "A")))), " ")</f>
        <v xml:space="preserve"> </v>
      </c>
      <c r="F11" s="39" t="str">
        <f>IF(AND(G21&gt;0,E33&gt; 0), IF(F10&lt;50, "F", IF(F10&lt;60, "D", IF(F10&lt;75, "C", IF(F10&lt;90, "B", "A")))), " ")</f>
        <v xml:space="preserve"> </v>
      </c>
      <c r="J11" s="102" t="s">
        <v>121</v>
      </c>
      <c r="K11" s="104"/>
      <c r="L11" s="39" t="str">
        <f>IF(G21&gt;0, IF(L10&lt;50, "F", IF(L10&lt;60, "D", IF(L10&lt;75, "C", IF(L10&lt;90, "B", "A")))), " ")</f>
        <v xml:space="preserve"> </v>
      </c>
      <c r="M11" s="39" t="str">
        <f>IF(G21&gt;0, IF(M10&lt;50, "F", IF(M10&lt;60, "D", IF(M10&lt;75, "C", IF(M10&lt;90, "B", "A")))), " ")</f>
        <v xml:space="preserve"> </v>
      </c>
    </row>
    <row r="12" spans="1:13" ht="14.5" hidden="1" customHeight="1" x14ac:dyDescent="0.3">
      <c r="B12" s="102" t="s">
        <v>2</v>
      </c>
      <c r="C12" s="104"/>
      <c r="D12" s="40" t="str">
        <f>IF(G21&gt;0, 0.95, "")</f>
        <v/>
      </c>
      <c r="E12" s="40" t="str">
        <f>IF(E33&gt;0, 0.05, "")</f>
        <v/>
      </c>
      <c r="F12" s="39"/>
      <c r="J12" s="102" t="s">
        <v>2</v>
      </c>
      <c r="K12" s="104"/>
      <c r="L12" s="40" t="str">
        <f>IF(G21&gt;0, 1, "")</f>
        <v/>
      </c>
      <c r="M12" s="39"/>
    </row>
    <row r="13" spans="1:13" ht="14.25" hidden="1" customHeight="1" x14ac:dyDescent="0.3">
      <c r="C13" s="9"/>
      <c r="D13" s="11" t="str">
        <f>IF(G21&gt;0, ROUND(D10*D12, 3), " ")</f>
        <v xml:space="preserve"> </v>
      </c>
      <c r="E13" s="11" t="str">
        <f>IF(E33&gt;0, ROUND(E10*E12, 3), " ")</f>
        <v xml:space="preserve"> </v>
      </c>
      <c r="L13" s="11" t="str">
        <f>IF(G21&gt;0, ROUND(L10*L12, 3), " ")</f>
        <v xml:space="preserve"> </v>
      </c>
    </row>
    <row r="14" spans="1:13" s="64" customFormat="1" ht="12" hidden="1" customHeight="1" x14ac:dyDescent="0.3">
      <c r="A14" s="74"/>
      <c r="B14" s="74"/>
      <c r="C14" s="74"/>
      <c r="D14" s="74"/>
      <c r="E14" s="74"/>
      <c r="F14" s="74"/>
      <c r="G14" s="74"/>
      <c r="H14" s="74"/>
      <c r="I14" s="74"/>
      <c r="J14" s="74"/>
      <c r="K14" s="74"/>
    </row>
    <row r="15" spans="1:13" ht="20.5" customHeight="1" x14ac:dyDescent="0.3">
      <c r="A15" s="125" t="s">
        <v>43</v>
      </c>
      <c r="B15" s="117"/>
      <c r="C15" s="117"/>
      <c r="D15" s="117"/>
      <c r="E15" s="117"/>
      <c r="F15" s="117"/>
      <c r="G15" s="117"/>
      <c r="H15" s="117"/>
      <c r="I15" s="8"/>
    </row>
    <row r="16" spans="1:13" ht="139.15" customHeight="1" x14ac:dyDescent="0.3">
      <c r="A16" s="19" t="s">
        <v>0</v>
      </c>
      <c r="B16" s="19" t="s">
        <v>45</v>
      </c>
      <c r="C16" s="19" t="s">
        <v>46</v>
      </c>
      <c r="D16" s="19" t="s">
        <v>47</v>
      </c>
      <c r="E16" s="19" t="s">
        <v>48</v>
      </c>
      <c r="F16" s="19" t="s">
        <v>49</v>
      </c>
      <c r="G16" s="44" t="s">
        <v>52</v>
      </c>
      <c r="H16" s="44" t="s">
        <v>53</v>
      </c>
      <c r="I16" s="8"/>
    </row>
    <row r="17" spans="1:9" x14ac:dyDescent="0.3">
      <c r="A17" s="20" t="s">
        <v>125</v>
      </c>
      <c r="B17" s="22"/>
      <c r="C17" s="22"/>
      <c r="D17" s="22"/>
      <c r="E17" s="22"/>
      <c r="F17" s="22"/>
      <c r="G17" s="39">
        <f>SUM(B17:F17)</f>
        <v>0</v>
      </c>
      <c r="H17" s="39">
        <f>B17*150 + C17*115+D17*85+E17*25+F17*0</f>
        <v>0</v>
      </c>
      <c r="I17" s="8"/>
    </row>
    <row r="18" spans="1:9" ht="12.5" thickBot="1" x14ac:dyDescent="0.35">
      <c r="A18" s="48" t="s">
        <v>126</v>
      </c>
      <c r="B18" s="49"/>
      <c r="C18" s="49"/>
      <c r="D18" s="49"/>
      <c r="E18" s="49"/>
      <c r="F18" s="49"/>
      <c r="G18" s="50">
        <f>SUM(B18:F18)</f>
        <v>0</v>
      </c>
      <c r="H18" s="50">
        <f>B18*150 + C18*115+D18*85+E18*25+F18*0</f>
        <v>0</v>
      </c>
      <c r="I18" s="8"/>
    </row>
    <row r="19" spans="1:9" ht="12.5" thickTop="1" x14ac:dyDescent="0.3">
      <c r="A19" s="47" t="s">
        <v>133</v>
      </c>
      <c r="B19" s="45"/>
      <c r="C19" s="45"/>
      <c r="D19" s="45"/>
      <c r="E19" s="45"/>
      <c r="F19" s="45"/>
      <c r="G19" s="46">
        <f>SUM(B19:F19)</f>
        <v>0</v>
      </c>
      <c r="H19" s="46">
        <f>B19*150 + C19*115+D19*85+E19*25+F19*0</f>
        <v>0</v>
      </c>
      <c r="I19" s="8"/>
    </row>
    <row r="20" spans="1:9" x14ac:dyDescent="0.3">
      <c r="A20" s="20" t="s">
        <v>134</v>
      </c>
      <c r="B20" s="22"/>
      <c r="C20" s="22"/>
      <c r="D20" s="22"/>
      <c r="E20" s="22"/>
      <c r="F20" s="22"/>
      <c r="G20" s="39">
        <f>SUM(B20:F20)</f>
        <v>0</v>
      </c>
      <c r="H20" s="39">
        <f>B20*150 + C20*115+D20*85+E20*25+F20*0</f>
        <v>0</v>
      </c>
      <c r="I20" s="8"/>
    </row>
    <row r="21" spans="1:9" x14ac:dyDescent="0.3">
      <c r="A21" s="122" t="s">
        <v>1</v>
      </c>
      <c r="B21" s="123"/>
      <c r="C21" s="123"/>
      <c r="D21" s="123"/>
      <c r="E21" s="123"/>
      <c r="F21" s="124"/>
      <c r="G21" s="72">
        <f>SUM(G17:G20)</f>
        <v>0</v>
      </c>
      <c r="H21" s="72">
        <f>SUM(H17:H20)</f>
        <v>0</v>
      </c>
      <c r="I21" s="8"/>
    </row>
    <row r="22" spans="1:9" x14ac:dyDescent="0.3">
      <c r="A22" s="122" t="s">
        <v>76</v>
      </c>
      <c r="B22" s="123"/>
      <c r="C22" s="123"/>
      <c r="D22" s="123"/>
      <c r="E22" s="123"/>
      <c r="F22" s="123"/>
      <c r="G22" s="124"/>
      <c r="H22" s="42">
        <f>IF(G21&gt;0, ROUND(H21/G21,1), 0)</f>
        <v>0</v>
      </c>
      <c r="I22" s="8"/>
    </row>
    <row r="23" spans="1:9" x14ac:dyDescent="0.3">
      <c r="A23" s="106" t="s">
        <v>57</v>
      </c>
      <c r="B23" s="106"/>
      <c r="C23" s="106"/>
      <c r="D23" s="106"/>
      <c r="E23" s="106"/>
      <c r="F23" s="106"/>
      <c r="G23" s="106"/>
      <c r="H23" s="106"/>
    </row>
    <row r="24" spans="1:9" x14ac:dyDescent="0.3">
      <c r="A24" s="121" t="s">
        <v>60</v>
      </c>
      <c r="B24" s="121"/>
      <c r="C24" s="121"/>
      <c r="D24" s="121"/>
      <c r="E24" s="121"/>
      <c r="F24" s="121"/>
      <c r="G24" s="121"/>
      <c r="H24" s="121"/>
    </row>
    <row r="25" spans="1:9" x14ac:dyDescent="0.3">
      <c r="A25" s="121" t="s">
        <v>61</v>
      </c>
      <c r="B25" s="121"/>
      <c r="C25" s="121"/>
      <c r="D25" s="121"/>
      <c r="E25" s="121"/>
      <c r="F25" s="121"/>
      <c r="G25" s="121"/>
      <c r="H25" s="121"/>
    </row>
    <row r="26" spans="1:9" hidden="1" x14ac:dyDescent="0.3"/>
    <row r="28" spans="1:9" ht="20.25" customHeight="1" x14ac:dyDescent="0.3">
      <c r="A28" s="107" t="s">
        <v>156</v>
      </c>
      <c r="B28" s="108"/>
      <c r="C28" s="108"/>
      <c r="D28" s="108"/>
      <c r="E28" s="109"/>
    </row>
    <row r="29" spans="1:9" ht="13.5" customHeight="1" x14ac:dyDescent="0.3">
      <c r="A29" s="110" t="s">
        <v>150</v>
      </c>
      <c r="B29" s="113" t="s">
        <v>151</v>
      </c>
      <c r="C29" s="114"/>
      <c r="D29" s="99"/>
      <c r="E29" s="100">
        <f>IF(D29&gt;37.5, 37.5, D29)</f>
        <v>0</v>
      </c>
    </row>
    <row r="30" spans="1:9" ht="13.5" customHeight="1" x14ac:dyDescent="0.3">
      <c r="A30" s="111"/>
      <c r="B30" s="113" t="s">
        <v>152</v>
      </c>
      <c r="C30" s="114"/>
      <c r="D30" s="99"/>
      <c r="E30" s="100">
        <f t="shared" ref="E30:E32" si="1">IF(D30&gt;37.5, 37.5, D30)</f>
        <v>0</v>
      </c>
    </row>
    <row r="31" spans="1:9" ht="22.5" customHeight="1" x14ac:dyDescent="0.3">
      <c r="A31" s="111"/>
      <c r="B31" s="115" t="s">
        <v>153</v>
      </c>
      <c r="C31" s="116"/>
      <c r="D31" s="99"/>
      <c r="E31" s="100">
        <f t="shared" si="1"/>
        <v>0</v>
      </c>
    </row>
    <row r="32" spans="1:9" ht="13.5" customHeight="1" x14ac:dyDescent="0.3">
      <c r="A32" s="112"/>
      <c r="B32" s="113" t="s">
        <v>154</v>
      </c>
      <c r="C32" s="114"/>
      <c r="D32" s="99"/>
      <c r="E32" s="100">
        <f t="shared" si="1"/>
        <v>0</v>
      </c>
    </row>
    <row r="33" spans="1:5" ht="13" x14ac:dyDescent="0.3">
      <c r="A33" s="102" t="s">
        <v>155</v>
      </c>
      <c r="B33" s="103"/>
      <c r="C33" s="103"/>
      <c r="D33" s="104"/>
      <c r="E33" s="98">
        <f>SUM(E29:E32)</f>
        <v>0</v>
      </c>
    </row>
    <row r="34" spans="1:5" ht="24" customHeight="1" x14ac:dyDescent="0.3">
      <c r="A34" s="105" t="s">
        <v>149</v>
      </c>
      <c r="B34" s="106"/>
      <c r="C34" s="106"/>
      <c r="D34" s="106"/>
      <c r="E34" s="106"/>
    </row>
  </sheetData>
  <sheetProtection algorithmName="SHA-512" hashValue="vn+F0qMtmVna0ax6LGBfg9U4tRNL+APdy7OZtf4P0CPnV7zYhNGqbzaeoj+Wx9wxBkVl8EpluMjyvh6XkwPepw==" saltValue="CmSAKQS7poqsP+fJnbarOA==" spinCount="100000" sheet="1" objects="1" scenarios="1"/>
  <mergeCells count="29">
    <mergeCell ref="A23:H23"/>
    <mergeCell ref="A24:H24"/>
    <mergeCell ref="A25:H25"/>
    <mergeCell ref="J8:M8"/>
    <mergeCell ref="J9:K9"/>
    <mergeCell ref="J10:K10"/>
    <mergeCell ref="J11:K11"/>
    <mergeCell ref="J12:K12"/>
    <mergeCell ref="A22:G22"/>
    <mergeCell ref="A21:F21"/>
    <mergeCell ref="A15:H15"/>
    <mergeCell ref="B12:C12"/>
    <mergeCell ref="D1:H1"/>
    <mergeCell ref="B8:F8"/>
    <mergeCell ref="B9:C9"/>
    <mergeCell ref="B10:C10"/>
    <mergeCell ref="B11:C11"/>
    <mergeCell ref="D2:E2"/>
    <mergeCell ref="D3:E3"/>
    <mergeCell ref="D4:E4"/>
    <mergeCell ref="D5:E5"/>
    <mergeCell ref="A33:D33"/>
    <mergeCell ref="A34:E34"/>
    <mergeCell ref="A28:E28"/>
    <mergeCell ref="A29:A32"/>
    <mergeCell ref="B29:C29"/>
    <mergeCell ref="B30:C30"/>
    <mergeCell ref="B31:C31"/>
    <mergeCell ref="B32:C32"/>
  </mergeCells>
  <conditionalFormatting sqref="D2:E5">
    <cfRule type="colorScale" priority="3">
      <colorScale>
        <cfvo type="min"/>
        <cfvo type="max"/>
        <color rgb="FFF8696B"/>
        <color rgb="FFFCFCFF"/>
      </colorScale>
    </cfRule>
  </conditionalFormatting>
  <conditionalFormatting sqref="B9:C12">
    <cfRule type="colorScale" priority="2">
      <colorScale>
        <cfvo type="min"/>
        <cfvo type="max"/>
        <color rgb="FFF8696B"/>
        <color rgb="FFFCFCFF"/>
      </colorScale>
    </cfRule>
  </conditionalFormatting>
  <conditionalFormatting sqref="J9:K12">
    <cfRule type="colorScale" priority="1">
      <colorScale>
        <cfvo type="min"/>
        <cfvo type="max"/>
        <color rgb="FFF8696B"/>
        <color rgb="FFFCFCFF"/>
      </colorScale>
    </cfRule>
  </conditionalFormatting>
  <pageMargins left="0.7" right="0.7" top="0.75" bottom="0.75" header="0.3" footer="0.3"/>
  <pageSetup orientation="portrait" r:id="rId1"/>
  <ignoredErrors>
    <ignoredError sqref="E30:E32"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workbookViewId="0">
      <selection activeCell="E79" sqref="E79"/>
    </sheetView>
  </sheetViews>
  <sheetFormatPr defaultColWidth="8.81640625" defaultRowHeight="12" x14ac:dyDescent="0.3"/>
  <cols>
    <col min="1" max="1" width="16.7265625" style="11" customWidth="1"/>
    <col min="2" max="2" width="12.81640625" style="11" customWidth="1"/>
    <col min="3" max="3" width="16.26953125" style="11" customWidth="1"/>
    <col min="4" max="11" width="14.26953125" style="11" customWidth="1"/>
    <col min="12" max="12" width="12.81640625" style="11" customWidth="1"/>
    <col min="13" max="13" width="9" style="11" customWidth="1"/>
    <col min="14" max="14" width="8.81640625" style="11" customWidth="1"/>
    <col min="15" max="21" width="14.26953125" style="11" customWidth="1"/>
    <col min="22" max="16384" width="8.81640625" style="11"/>
  </cols>
  <sheetData>
    <row r="1" spans="1:21" ht="18" customHeight="1" x14ac:dyDescent="0.3">
      <c r="D1" s="117" t="s">
        <v>26</v>
      </c>
      <c r="E1" s="117"/>
      <c r="F1" s="117"/>
      <c r="G1" s="117"/>
      <c r="H1" s="117"/>
      <c r="I1" s="117"/>
      <c r="J1" s="117"/>
      <c r="K1" s="118"/>
    </row>
    <row r="2" spans="1:21" ht="36" x14ac:dyDescent="0.3">
      <c r="D2" s="126"/>
      <c r="E2" s="126"/>
      <c r="F2" s="95" t="s">
        <v>59</v>
      </c>
      <c r="G2" s="95" t="s">
        <v>72</v>
      </c>
      <c r="H2" s="95" t="s">
        <v>7</v>
      </c>
      <c r="I2" s="95" t="s">
        <v>75</v>
      </c>
      <c r="J2" s="93" t="s">
        <v>104</v>
      </c>
      <c r="K2" s="94" t="s">
        <v>34</v>
      </c>
    </row>
    <row r="3" spans="1:21" x14ac:dyDescent="0.3">
      <c r="D3" s="127" t="s">
        <v>32</v>
      </c>
      <c r="E3" s="127"/>
      <c r="F3" s="38" t="str">
        <f t="shared" ref="F3:K4" si="0">D10</f>
        <v/>
      </c>
      <c r="G3" s="39" t="str">
        <f t="shared" si="0"/>
        <v/>
      </c>
      <c r="H3" s="39" t="str">
        <f t="shared" si="0"/>
        <v/>
      </c>
      <c r="I3" s="38" t="str">
        <f t="shared" si="0"/>
        <v/>
      </c>
      <c r="J3" s="84" t="str">
        <f t="shared" si="0"/>
        <v/>
      </c>
      <c r="K3" s="39" t="str">
        <f t="shared" si="0"/>
        <v xml:space="preserve"> </v>
      </c>
    </row>
    <row r="4" spans="1:21" x14ac:dyDescent="0.3">
      <c r="D4" s="127" t="s">
        <v>121</v>
      </c>
      <c r="E4" s="127"/>
      <c r="F4" s="39" t="str">
        <f t="shared" si="0"/>
        <v xml:space="preserve"> </v>
      </c>
      <c r="G4" s="39" t="str">
        <f t="shared" si="0"/>
        <v xml:space="preserve"> </v>
      </c>
      <c r="H4" s="39" t="str">
        <f t="shared" si="0"/>
        <v xml:space="preserve"> </v>
      </c>
      <c r="I4" s="39" t="str">
        <f t="shared" si="0"/>
        <v xml:space="preserve"> </v>
      </c>
      <c r="J4" s="84" t="str">
        <f t="shared" si="0"/>
        <v xml:space="preserve"> </v>
      </c>
      <c r="K4" s="39" t="str">
        <f t="shared" si="0"/>
        <v xml:space="preserve"> </v>
      </c>
    </row>
    <row r="5" spans="1:21" x14ac:dyDescent="0.3">
      <c r="D5" s="127" t="s">
        <v>2</v>
      </c>
      <c r="E5" s="127"/>
      <c r="F5" s="79" t="str">
        <f>D12</f>
        <v xml:space="preserve"> </v>
      </c>
      <c r="G5" s="79" t="str">
        <f>E12</f>
        <v xml:space="preserve"> </v>
      </c>
      <c r="H5" s="79" t="str">
        <f>F12</f>
        <v xml:space="preserve"> </v>
      </c>
      <c r="I5" s="79" t="str">
        <f>G12</f>
        <v xml:space="preserve"> </v>
      </c>
      <c r="J5" s="92" t="str">
        <f>H12</f>
        <v xml:space="preserve"> </v>
      </c>
      <c r="K5" s="39"/>
    </row>
    <row r="6" spans="1:21" ht="15" customHeight="1" x14ac:dyDescent="0.3">
      <c r="D6" s="5"/>
      <c r="E6" s="5"/>
      <c r="F6" s="25"/>
      <c r="G6" s="25"/>
      <c r="H6" s="25"/>
      <c r="I6" s="25"/>
      <c r="J6" s="25"/>
      <c r="K6" s="8"/>
    </row>
    <row r="7" spans="1:21" ht="15" hidden="1" customHeight="1" x14ac:dyDescent="0.3">
      <c r="D7" s="5"/>
      <c r="E7" s="5"/>
      <c r="F7" s="25"/>
      <c r="G7" s="25"/>
      <c r="H7" s="25"/>
      <c r="I7" s="25"/>
      <c r="J7" s="25"/>
      <c r="K7" s="8"/>
    </row>
    <row r="8" spans="1:21" ht="18" hidden="1" customHeight="1" x14ac:dyDescent="0.3">
      <c r="B8" s="117" t="s">
        <v>122</v>
      </c>
      <c r="C8" s="117"/>
      <c r="D8" s="117"/>
      <c r="E8" s="117"/>
      <c r="F8" s="117"/>
      <c r="G8" s="117"/>
      <c r="H8" s="117"/>
      <c r="I8" s="118"/>
      <c r="J8" s="25"/>
      <c r="K8" s="8"/>
      <c r="M8" s="117" t="s">
        <v>123</v>
      </c>
      <c r="N8" s="117"/>
      <c r="O8" s="117"/>
      <c r="P8" s="117"/>
      <c r="Q8" s="117"/>
      <c r="R8" s="117"/>
      <c r="S8" s="118"/>
    </row>
    <row r="9" spans="1:21" ht="36" hidden="1" customHeight="1" x14ac:dyDescent="0.3">
      <c r="B9" s="126"/>
      <c r="C9" s="126"/>
      <c r="D9" s="95" t="s">
        <v>59</v>
      </c>
      <c r="E9" s="95" t="s">
        <v>72</v>
      </c>
      <c r="F9" s="95" t="s">
        <v>7</v>
      </c>
      <c r="G9" s="95" t="s">
        <v>75</v>
      </c>
      <c r="H9" s="93" t="s">
        <v>104</v>
      </c>
      <c r="I9" s="94" t="s">
        <v>34</v>
      </c>
      <c r="J9" s="25"/>
      <c r="K9" s="8"/>
      <c r="M9" s="126"/>
      <c r="N9" s="126"/>
      <c r="O9" s="95" t="s">
        <v>59</v>
      </c>
      <c r="P9" s="95" t="s">
        <v>72</v>
      </c>
      <c r="Q9" s="95" t="s">
        <v>7</v>
      </c>
      <c r="R9" s="95" t="s">
        <v>75</v>
      </c>
      <c r="S9" s="94" t="s">
        <v>34</v>
      </c>
    </row>
    <row r="10" spans="1:21" ht="12" hidden="1" customHeight="1" x14ac:dyDescent="0.3">
      <c r="B10" s="127" t="s">
        <v>32</v>
      </c>
      <c r="C10" s="127"/>
      <c r="D10" s="38" t="str">
        <f>IF(G49&gt;0, H50, "")</f>
        <v/>
      </c>
      <c r="E10" s="39" t="str">
        <f>IF(J35&gt;=10, K36, "")</f>
        <v/>
      </c>
      <c r="F10" s="39" t="str">
        <f>IF(K80&gt;=10, L81, "")</f>
        <v/>
      </c>
      <c r="G10" s="38" t="str">
        <f>IF(G74&gt;=10, H75, "")</f>
        <v/>
      </c>
      <c r="H10" s="91" t="str">
        <f>IF(SUM(G49, J35)&gt;0,E89, "")</f>
        <v/>
      </c>
      <c r="I10" s="39" t="str">
        <f>IF(SUM(J35, G49, G74, K80)&gt;0, ROUND(SUM(D13:H13), 1), " ")</f>
        <v xml:space="preserve"> </v>
      </c>
      <c r="J10" s="25"/>
      <c r="K10" s="8"/>
      <c r="M10" s="127" t="s">
        <v>32</v>
      </c>
      <c r="N10" s="127"/>
      <c r="O10" s="38" t="str">
        <f>IF(G49&gt;0, H50, "")</f>
        <v/>
      </c>
      <c r="P10" s="39" t="str">
        <f>IF(J35&gt;=10, K36, "")</f>
        <v/>
      </c>
      <c r="Q10" s="39" t="str">
        <f>IF(K80&gt;=10, L81, "")</f>
        <v/>
      </c>
      <c r="R10" s="38" t="str">
        <f>IF(G74&gt;=10, H75, "")</f>
        <v/>
      </c>
      <c r="S10" s="39" t="str">
        <f>IF(SUM(J35, G49, G74, K80)&gt;0, ROUND(SUM(O13:R13), 1), " ")</f>
        <v xml:space="preserve"> </v>
      </c>
    </row>
    <row r="11" spans="1:21" ht="12" hidden="1" customHeight="1" x14ac:dyDescent="0.3">
      <c r="B11" s="127" t="s">
        <v>121</v>
      </c>
      <c r="C11" s="127"/>
      <c r="D11" s="39" t="str">
        <f>IF(G49&gt;0, IF(D10&lt;50, "F", IF(D10&lt;60, "D", IF(D10&lt;75, "C", IF(D10&lt;90, "B", "A")))), " ")</f>
        <v xml:space="preserve"> </v>
      </c>
      <c r="E11" s="39" t="str">
        <f>IF(J35&gt;=10, IF(E10&lt;50, "F", IF(E10&lt;60, "D", IF(E10&lt;75, "C", IF(E10&lt;90, "B", "A")))), " ")</f>
        <v xml:space="preserve"> </v>
      </c>
      <c r="F11" s="39" t="str">
        <f>IF(K80&gt;=10, IF(F10&lt;50, "F", IF(F10&lt;60, "D", IF(F10&lt;75, "C", IF(F10&lt;90, "B", "A")))), " ")</f>
        <v xml:space="preserve"> </v>
      </c>
      <c r="G11" s="39" t="str">
        <f>IF(G74&gt;=10, IF(G10&lt;50, "F", IF(G10&lt;60, "D", IF(G10&lt;75, "C", IF(G10&lt;90, "B", "A")))), " ")</f>
        <v xml:space="preserve"> </v>
      </c>
      <c r="H11" s="84" t="str">
        <f>IF(SUM(G49, J35)&gt;0, IF(H10&lt;50, "F", IF(H10&lt;60, "D", IF(H10&lt;75, "C", IF(H10&lt;90, "B", "A")))), " ")</f>
        <v xml:space="preserve"> </v>
      </c>
      <c r="I11" s="39" t="str">
        <f>IF(SUM(J35, G49, G74, K80)&gt;0, IF(I10&lt;50, "F", IF(I10&lt;60, "D", IF(I10&lt;75, "C", IF(I10&lt;90, "B", "A")))), " ")</f>
        <v xml:space="preserve"> </v>
      </c>
      <c r="J11" s="25"/>
      <c r="K11" s="8"/>
      <c r="M11" s="127" t="s">
        <v>121</v>
      </c>
      <c r="N11" s="127"/>
      <c r="O11" s="39" t="str">
        <f>IF(G49&gt;0, IF(O10&lt;50, "F", IF(O10&lt;60, "D", IF(O10&lt;75, "C", IF(O10&lt;90, "B", "A")))), " ")</f>
        <v xml:space="preserve"> </v>
      </c>
      <c r="P11" s="39" t="str">
        <f>IF(J35&gt;=10, IF(P10&lt;50, "F", IF(P10&lt;60, "D", IF(P10&lt;75, "C", IF(P10&lt;90, "B", "A")))), " ")</f>
        <v xml:space="preserve"> </v>
      </c>
      <c r="Q11" s="39" t="str">
        <f>IF(K80&gt;=10, IF(Q10&lt;50, "F", IF(Q10&lt;60, "D", IF(Q10&lt;75, "C", IF(Q10&lt;90, "B", "A")))), " ")</f>
        <v xml:space="preserve"> </v>
      </c>
      <c r="R11" s="39" t="str">
        <f>IF(G74&gt;=10, IF(R10&lt;50, "F", IF(R10&lt;60, "D", IF(R10&lt;75, "C", IF(R10&lt;90, "B", "A")))), " ")</f>
        <v xml:space="preserve"> </v>
      </c>
      <c r="S11" s="39" t="str">
        <f>IF(SUM(J35, G49, G74, K80)&gt;0, IF(S10&lt;50, "F", IF(S10&lt;60, "D", IF(S10&lt;75, "C", IF(S10&lt;90, "B", "A")))), " ")</f>
        <v xml:space="preserve"> </v>
      </c>
    </row>
    <row r="12" spans="1:21" ht="12" hidden="1" customHeight="1" x14ac:dyDescent="0.3">
      <c r="B12" s="127" t="s">
        <v>2</v>
      </c>
      <c r="C12" s="127"/>
      <c r="D12" s="79" t="str">
        <f>IF(G49&gt;0, SUM(F15:F29), " ")</f>
        <v xml:space="preserve"> </v>
      </c>
      <c r="E12" s="79" t="str">
        <f>IF(J35&gt;=10, SUM(G15:G29), " ")</f>
        <v xml:space="preserve"> </v>
      </c>
      <c r="F12" s="79" t="str">
        <f>IF(K80&gt;=10, SUM(H15:H29), " ")</f>
        <v xml:space="preserve"> </v>
      </c>
      <c r="G12" s="79" t="str">
        <f>IF(G74&gt;=10, SUM(I15:I29), " ")</f>
        <v xml:space="preserve"> </v>
      </c>
      <c r="H12" s="92" t="str">
        <f>IF(SUM(G49, J35)&gt;0, SUM(J15:J29), " ")</f>
        <v xml:space="preserve"> </v>
      </c>
      <c r="I12" s="39"/>
      <c r="J12" s="25"/>
      <c r="K12" s="8"/>
      <c r="M12" s="127" t="s">
        <v>2</v>
      </c>
      <c r="N12" s="127"/>
      <c r="O12" s="79" t="str">
        <f>IF(G49&gt;0, SUM(R15:R29), " ")</f>
        <v xml:space="preserve"> </v>
      </c>
      <c r="P12" s="79" t="str">
        <f>IF(J35&gt;=10, SUM(S15:S29), " ")</f>
        <v xml:space="preserve"> </v>
      </c>
      <c r="Q12" s="79" t="str">
        <f>IF(K80&gt;=10, SUM(T15:T29), " ")</f>
        <v xml:space="preserve"> </v>
      </c>
      <c r="R12" s="79" t="str">
        <f>IF(G74&gt;=10, SUM(U15:U29), " ")</f>
        <v xml:space="preserve"> </v>
      </c>
      <c r="S12" s="39"/>
    </row>
    <row r="13" spans="1:21" ht="19.899999999999999" hidden="1" customHeight="1" x14ac:dyDescent="0.3">
      <c r="D13" s="25" t="str">
        <f>IF(G49&gt;0, ROUND(D10*D12,3), " ")</f>
        <v xml:space="preserve"> </v>
      </c>
      <c r="E13" s="25" t="str">
        <f>IF(J35&gt;=10, ROUND(E10*E12,3), " ")</f>
        <v xml:space="preserve"> </v>
      </c>
      <c r="F13" s="25" t="str">
        <f>IF(K80&gt;=10, ROUND(F10*F12,3), " ")</f>
        <v xml:space="preserve"> </v>
      </c>
      <c r="G13" s="25" t="str">
        <f>IF(G74&gt;=10, ROUND(G10*G12,3), " ")</f>
        <v xml:space="preserve"> </v>
      </c>
      <c r="H13" s="25" t="str">
        <f>IF(SUM(G49, J35)&gt;0, ROUND(H10*H12,3), " ")</f>
        <v xml:space="preserve"> </v>
      </c>
      <c r="I13" s="25"/>
      <c r="J13" s="25"/>
      <c r="K13" s="8"/>
      <c r="O13" s="90" t="str">
        <f>IF(G49&gt;0, ROUND(O10*O12,3), " ")</f>
        <v xml:space="preserve"> </v>
      </c>
      <c r="P13" s="90" t="str">
        <f>IF(J35&gt;=10, ROUND(P10*P12,3), " ")</f>
        <v xml:space="preserve"> </v>
      </c>
      <c r="Q13" s="90" t="str">
        <f>IF(K80&gt;=10, ROUND(Q10*Q12,3), " ")</f>
        <v xml:space="preserve"> </v>
      </c>
      <c r="R13" s="90" t="str">
        <f>IF(G74&gt;=10, ROUND(R10*R12,3), " ")</f>
        <v xml:space="preserve"> </v>
      </c>
      <c r="S13" s="89"/>
    </row>
    <row r="14" spans="1:21" ht="14.5" hidden="1" x14ac:dyDescent="0.35">
      <c r="A14" s="75" t="s">
        <v>28</v>
      </c>
      <c r="B14" s="128" t="s">
        <v>29</v>
      </c>
      <c r="C14" s="129"/>
      <c r="D14" s="129"/>
      <c r="E14" s="130"/>
      <c r="F14" s="87" t="s">
        <v>92</v>
      </c>
      <c r="G14" s="87" t="s">
        <v>93</v>
      </c>
      <c r="H14" s="87" t="s">
        <v>94</v>
      </c>
      <c r="I14" s="87" t="s">
        <v>95</v>
      </c>
      <c r="J14" s="88" t="s">
        <v>105</v>
      </c>
      <c r="K14" s="86"/>
      <c r="L14" s="86"/>
      <c r="M14" s="83" t="s">
        <v>28</v>
      </c>
      <c r="N14" s="128" t="s">
        <v>29</v>
      </c>
      <c r="O14" s="129"/>
      <c r="P14" s="129"/>
      <c r="Q14" s="130"/>
      <c r="R14" s="87" t="s">
        <v>92</v>
      </c>
      <c r="S14" s="87" t="s">
        <v>93</v>
      </c>
      <c r="T14" s="87" t="s">
        <v>94</v>
      </c>
      <c r="U14" s="87" t="s">
        <v>95</v>
      </c>
    </row>
    <row r="15" spans="1:21" ht="14.5" hidden="1" x14ac:dyDescent="0.35">
      <c r="A15" s="26">
        <v>1</v>
      </c>
      <c r="B15" s="131" t="s">
        <v>106</v>
      </c>
      <c r="C15" s="132"/>
      <c r="D15" s="132"/>
      <c r="E15" s="133"/>
      <c r="F15" s="27">
        <f>IF(AND(G49&gt;0, J35&gt;=10, K80&gt;=10, G74&gt;=10, SUM(G49, J35)&gt;0), 0.25, 0)</f>
        <v>0</v>
      </c>
      <c r="G15" s="27">
        <f>IF(AND(G49&gt;0, J35&gt;=10, K80&gt;=10, G74&gt;=10, SUM(G49, J35)&gt;0), 0.25, 0)</f>
        <v>0</v>
      </c>
      <c r="H15" s="27">
        <f>IF(AND(G49&gt;0, J35&gt;=10, K80&gt;=10, G74&gt;=10, SUM(G49, J35)&gt;0), 0.25, 0)</f>
        <v>0</v>
      </c>
      <c r="I15" s="27">
        <f>IF(AND(G49&gt;0, J35&gt;=10, K80&gt;=10, G74&gt;=10, SUM(G49, J35)&gt;0), 0.2, 0)</f>
        <v>0</v>
      </c>
      <c r="J15" s="26">
        <f>IF(AND(G49&gt;0, J35&gt;=10, K80&gt;=10, G74&gt;=10, SUM(G49, J35)&gt;0), 0.05, 0)</f>
        <v>0</v>
      </c>
      <c r="K15" s="85"/>
      <c r="L15" s="85"/>
      <c r="M15" s="26">
        <v>16</v>
      </c>
      <c r="N15" s="131" t="s">
        <v>77</v>
      </c>
      <c r="O15" s="132"/>
      <c r="P15" s="132"/>
      <c r="Q15" s="133"/>
      <c r="R15" s="27">
        <f>IF(AND(G49&gt;0, J35&gt;=10, K80&gt;=10, G74&gt;=10), 0.25, 0)</f>
        <v>0</v>
      </c>
      <c r="S15" s="27">
        <f>IF(AND(G49&gt;0, J35&gt;=10, K80&gt;=10, G74&gt;=10), 0.25, 0)</f>
        <v>0</v>
      </c>
      <c r="T15" s="27">
        <f>IF(AND(G49&gt;0, J35&gt;=10, K80&gt;=10, G74&gt;=10), 0.25, 0)</f>
        <v>0</v>
      </c>
      <c r="U15" s="27">
        <f>IF(AND(G49&gt;0, J35&gt;=10, K80&gt;=10, G74&gt;=10), 0.25, 0)</f>
        <v>0</v>
      </c>
    </row>
    <row r="16" spans="1:21" ht="14.5" hidden="1" x14ac:dyDescent="0.35">
      <c r="A16" s="26">
        <v>2</v>
      </c>
      <c r="B16" s="131" t="s">
        <v>107</v>
      </c>
      <c r="C16" s="132"/>
      <c r="D16" s="132"/>
      <c r="E16" s="133"/>
      <c r="F16" s="27">
        <f>IF(AND(G49&gt;0, J35&gt;=10, K80&gt;=10, G74&lt;10, SUM(G49, J35)&gt;0), 0.3167, 0)</f>
        <v>0</v>
      </c>
      <c r="G16" s="27">
        <f>IF(AND(G49&gt;0, J35&gt;=10, K80&gt;=10, G74&lt;10, SUM(G49, J35)&gt;0), 0.3167, 0)</f>
        <v>0</v>
      </c>
      <c r="H16" s="27">
        <f>IF(AND(G49&gt;0, J35&gt;=10, K80&gt;=10, G74&lt;10, SUM(G49, J35)&gt;0), 0.3167, 0)</f>
        <v>0</v>
      </c>
      <c r="I16" s="27">
        <f>IF(AND(G49&gt;0, J35&gt;=10, K80&gt;=10, G74&lt;10, SUM(G49, J35)&gt;0), 0, 0)</f>
        <v>0</v>
      </c>
      <c r="J16" s="26">
        <f>IF(AND(G49&gt;0, J35&gt;=10, K80&gt;=10, G74&lt;10, SUM(G49, J35)&gt;0), 0.05, 0)</f>
        <v>0</v>
      </c>
      <c r="K16" s="85"/>
      <c r="L16" s="85"/>
      <c r="M16" s="26">
        <v>17</v>
      </c>
      <c r="N16" s="131" t="s">
        <v>78</v>
      </c>
      <c r="O16" s="132"/>
      <c r="P16" s="132"/>
      <c r="Q16" s="133"/>
      <c r="R16" s="27">
        <f>IF(AND(G49&gt;0, J35&gt;=10, K80&gt;=10, G74&lt;10), 0.3333, 0)</f>
        <v>0</v>
      </c>
      <c r="S16" s="27">
        <f>IF(AND(G49&gt;0, J35&gt;=10, K80&gt;=10, G74&lt;10), 0.3333, 0)</f>
        <v>0</v>
      </c>
      <c r="T16" s="27">
        <f>IF(AND(G49&gt;0, J35&gt;=10, K80&gt;=10, G74&lt;10), 0.3333, 0)</f>
        <v>0</v>
      </c>
      <c r="U16" s="27">
        <v>0</v>
      </c>
    </row>
    <row r="17" spans="1:21" ht="14.5" hidden="1" x14ac:dyDescent="0.35">
      <c r="A17" s="26">
        <v>3</v>
      </c>
      <c r="B17" s="131" t="s">
        <v>108</v>
      </c>
      <c r="C17" s="132"/>
      <c r="D17" s="132"/>
      <c r="E17" s="133"/>
      <c r="F17" s="27">
        <f>IF(AND(G49&gt;0, J35&gt;=10, K80&lt;10, G74&gt;=10, SUM(G49, J35)&gt;0), 0.3333, 0)</f>
        <v>0</v>
      </c>
      <c r="G17" s="27">
        <f>IF(AND(G49&gt;0, J35&gt;=10, K80&lt;10, G74&gt;=10, SUM(G49, J35)&gt;0), 0.3333, 0)</f>
        <v>0</v>
      </c>
      <c r="H17" s="27">
        <f>IF(AND(G49&gt;0, J35&gt;=10, K80&lt;10, G74&gt;=10, SUM(G49, J35)&gt;0), 0, 0)</f>
        <v>0</v>
      </c>
      <c r="I17" s="27">
        <f>IF(AND(G49&gt;0, J35&gt;=10, K80&lt;10, G74&gt;=10, SUM(G49, J35)&gt;0), 0.2833, 0)</f>
        <v>0</v>
      </c>
      <c r="J17" s="26">
        <f>IF(AND(G49&gt;0, J35&gt;=10, K80&lt;10, G74&gt;=10, SUM(G49, J35)&gt;0), 0.05, 0)</f>
        <v>0</v>
      </c>
      <c r="K17" s="85"/>
      <c r="L17" s="85"/>
      <c r="M17" s="26">
        <v>18</v>
      </c>
      <c r="N17" s="131" t="s">
        <v>79</v>
      </c>
      <c r="O17" s="132"/>
      <c r="P17" s="132"/>
      <c r="Q17" s="133"/>
      <c r="R17" s="27">
        <f>IF(AND(G49&gt;0, J35&gt;=10, K80&lt;10, G74&gt;=10), 0.3333, 0)</f>
        <v>0</v>
      </c>
      <c r="S17" s="27">
        <f>IF(AND(G49&gt;0, J35&gt;=10, K80&lt;10, G74&gt;=10), 0.3333, 0)</f>
        <v>0</v>
      </c>
      <c r="T17" s="27">
        <v>0</v>
      </c>
      <c r="U17" s="27">
        <f>IF(AND(G49&gt;0, J35&gt;=10, K80&lt;10, G74&gt;=10), 0.3333, 0)</f>
        <v>0</v>
      </c>
    </row>
    <row r="18" spans="1:21" ht="14.5" hidden="1" x14ac:dyDescent="0.35">
      <c r="A18" s="26">
        <v>4</v>
      </c>
      <c r="B18" s="131" t="s">
        <v>109</v>
      </c>
      <c r="C18" s="132"/>
      <c r="D18" s="132"/>
      <c r="E18" s="133"/>
      <c r="F18" s="27">
        <f>IF(AND(G49&gt;0, J35&lt;10, K80&gt;=10, G74&gt;=10, SUM(G49, J35)&gt;0), 0.3333, 0)</f>
        <v>0</v>
      </c>
      <c r="G18" s="27">
        <f>IF(AND(G49&gt;0, J35&lt;10, K80&gt;=10, G74&gt;=10, SUM(G49, J35)&gt;0), 0, 0)</f>
        <v>0</v>
      </c>
      <c r="H18" s="27">
        <f>IF(AND(G49&gt;0, J35&lt;10, K80&gt;=10, G74&gt;=10, SUM(G49, J35)&gt;0), 0.3333, 0)</f>
        <v>0</v>
      </c>
      <c r="I18" s="27">
        <f>IF(AND(G49&gt;0, J35&lt;10, K80&gt;=10, G74&gt;=10, SUM(G49, J35)&gt;0), 0.2833, 0)</f>
        <v>0</v>
      </c>
      <c r="J18" s="26">
        <f>IF(AND(G49&gt;0, J35&lt;10, K80&gt;=10, G74&gt;=10, SUM(G49, J35)&gt;0), 0.05, 0)</f>
        <v>0</v>
      </c>
      <c r="K18" s="85"/>
      <c r="L18" s="85"/>
      <c r="M18" s="26">
        <v>19</v>
      </c>
      <c r="N18" s="131" t="s">
        <v>80</v>
      </c>
      <c r="O18" s="132"/>
      <c r="P18" s="132"/>
      <c r="Q18" s="133"/>
      <c r="R18" s="27">
        <f>IF(AND(G49&gt;0, J35&lt;10, K80&gt;=10, G74&gt;=10), 0.3333, 0)</f>
        <v>0</v>
      </c>
      <c r="S18" s="27">
        <f>IF(AND(G49&gt;0, J35&lt;10, K80&gt;=10, G74&gt;=10), 0.3333, 0)</f>
        <v>0</v>
      </c>
      <c r="T18" s="27">
        <f>IF(AND(G49&gt;0, J35&lt;10, K80&gt;=10, G74&gt;=10), 0.3333, 0)</f>
        <v>0</v>
      </c>
      <c r="U18" s="27">
        <f>IF(AND(G49&gt;0, J35&lt;10, K80&gt;=10, G74&gt;=10), 0.3333, 0)</f>
        <v>0</v>
      </c>
    </row>
    <row r="19" spans="1:21" ht="14.5" hidden="1" x14ac:dyDescent="0.35">
      <c r="A19" s="26">
        <v>5</v>
      </c>
      <c r="B19" s="131" t="s">
        <v>110</v>
      </c>
      <c r="C19" s="132"/>
      <c r="D19" s="132"/>
      <c r="E19" s="133"/>
      <c r="F19" s="27">
        <f>IF(AND(G49=0, J35&gt;=10, K80&gt;=10, G74&gt;=10, SUM(G49, J35)&gt;0), 0, 0)</f>
        <v>0</v>
      </c>
      <c r="G19" s="27">
        <f>IF(AND(G49=0, J35&gt;=10, K80&gt;=10, G74&gt;=10, SUM(G49, J35)&gt;0), 0.3333, 0)</f>
        <v>0</v>
      </c>
      <c r="H19" s="27">
        <f>IF(AND(G49=0, J35&gt;=10, K80&gt;=10, G74&gt;=10, SUM(G49, J35)&gt;0), 0.3333, 0)</f>
        <v>0</v>
      </c>
      <c r="I19" s="27">
        <f>IF(AND(G49=0, J35&gt;=10, K80&gt;=10, G74&gt;=10, SUM(G49, J35)&gt;0), 0.2833, 0)</f>
        <v>0</v>
      </c>
      <c r="J19" s="26">
        <f>IF(AND(G49=0, J35&gt;=10, K80&gt;=10, G74&gt;=10, SUM(G49, J35)&gt;0), 0.05, 0)</f>
        <v>0</v>
      </c>
      <c r="K19" s="85"/>
      <c r="L19" s="85"/>
      <c r="M19" s="26">
        <v>20</v>
      </c>
      <c r="N19" s="131" t="s">
        <v>81</v>
      </c>
      <c r="O19" s="132"/>
      <c r="P19" s="132"/>
      <c r="Q19" s="133"/>
      <c r="R19" s="27">
        <v>0</v>
      </c>
      <c r="S19" s="27">
        <f>IF(AND(G49&lt;1, J35&gt;=10, K80&gt;=10, G74&gt;=10), 0.3333, 0)</f>
        <v>0</v>
      </c>
      <c r="T19" s="27">
        <f>IF(AND(G49&lt;1, J35&gt;=10, K80&gt;=10, G74&gt;=10), 0.3333, 0)</f>
        <v>0</v>
      </c>
      <c r="U19" s="27">
        <f>IF(AND(G49&lt;1, J35&gt;=10, K80&gt;=10, G74&gt;=10), 0.3333, 0)</f>
        <v>0</v>
      </c>
    </row>
    <row r="20" spans="1:21" ht="14.5" hidden="1" x14ac:dyDescent="0.35">
      <c r="A20" s="26">
        <v>6</v>
      </c>
      <c r="B20" s="131" t="s">
        <v>111</v>
      </c>
      <c r="C20" s="132"/>
      <c r="D20" s="132"/>
      <c r="E20" s="133"/>
      <c r="F20" s="27">
        <f>IF(AND(G49&gt;0, J35&gt;=10, K80&lt;10, G74&lt;10, SUM(G49, J35)&gt;0), 0.475, 0)</f>
        <v>0</v>
      </c>
      <c r="G20" s="27">
        <f>IF(AND(G49&gt;0, J35&gt;=10, K80&lt;10, G74&lt;10, SUM(G49, J35)&gt;0), 0.475, 0)</f>
        <v>0</v>
      </c>
      <c r="H20" s="27">
        <f>IF(AND(G49&gt;0, J35&gt;=10, K80&lt;10, G74&lt;10, SUM(G49, J35)&gt;0), 0, 0)</f>
        <v>0</v>
      </c>
      <c r="I20" s="27">
        <f>IF(AND(G49&gt;0, J35&gt;=10, K80&lt;10, G74&lt;10, SUM(G49, J35)&gt;0), 0, 0)</f>
        <v>0</v>
      </c>
      <c r="J20" s="26">
        <f>IF(AND(G49&gt;0, J35&gt;=10, K80&lt;10, G74&lt;10, SUM(G49, J35)&gt;0), 0.05, 0)</f>
        <v>0</v>
      </c>
      <c r="K20" s="85"/>
      <c r="L20" s="85"/>
      <c r="M20" s="26">
        <v>21</v>
      </c>
      <c r="N20" s="131" t="s">
        <v>82</v>
      </c>
      <c r="O20" s="132"/>
      <c r="P20" s="132"/>
      <c r="Q20" s="133"/>
      <c r="R20" s="27">
        <f>IF(AND(G49&gt;0, J35&gt;=10, K80&lt;10, G74&lt;10), 0.5, 0)</f>
        <v>0</v>
      </c>
      <c r="S20" s="27">
        <f>IF(AND(G49&gt;0, J35&gt;=10, K80&lt;10, G74&lt;10), 0.5, 0)</f>
        <v>0</v>
      </c>
      <c r="T20" s="27">
        <v>0</v>
      </c>
      <c r="U20" s="27">
        <v>0</v>
      </c>
    </row>
    <row r="21" spans="1:21" ht="14.5" hidden="1" x14ac:dyDescent="0.35">
      <c r="A21" s="26">
        <v>7</v>
      </c>
      <c r="B21" s="131" t="s">
        <v>112</v>
      </c>
      <c r="C21" s="132"/>
      <c r="D21" s="132"/>
      <c r="E21" s="133"/>
      <c r="F21" s="27">
        <f>IF(AND(G49&gt;0, J35&lt;10, K80&gt;=10, G74&lt;10, SUM(G49, J35)&gt;0), 0.475, 0)</f>
        <v>0</v>
      </c>
      <c r="G21" s="27">
        <f>IF(AND(G49&gt;0, J35&lt;10, K80&gt;=10, G74&lt;10, SUM(G49, J35)&gt;0), 0, 0)</f>
        <v>0</v>
      </c>
      <c r="H21" s="27">
        <f>IF(AND(G49&gt;0, J35&lt;10, K80&gt;=10, G74&lt;10, SUM(G49, J35)&gt;0), 0.475, 0)</f>
        <v>0</v>
      </c>
      <c r="I21" s="27">
        <f>IF(AND(G49&gt;0, J35&lt;10, K80&gt;=10, G74&lt;10, SUM(G49, J35)&gt;0), 0, 0)</f>
        <v>0</v>
      </c>
      <c r="J21" s="26">
        <f>IF(AND(G49&gt;0, J35&lt;10, K80&gt;=10, G74&lt;10, SUM(G49, J35)&gt;0), 0.05, 0)</f>
        <v>0</v>
      </c>
      <c r="K21" s="85"/>
      <c r="L21" s="85"/>
      <c r="M21" s="26">
        <v>22</v>
      </c>
      <c r="N21" s="131" t="s">
        <v>83</v>
      </c>
      <c r="O21" s="132"/>
      <c r="P21" s="132"/>
      <c r="Q21" s="133"/>
      <c r="R21" s="27">
        <f>IF(AND(G49&gt;0, J35&lt;10, K80&gt;=10, G74&lt;10), 0.5, 0)</f>
        <v>0</v>
      </c>
      <c r="S21" s="27">
        <v>0</v>
      </c>
      <c r="T21" s="27">
        <f>IF(AND(G49&gt;0, J35&lt;10, K80&gt;=10, G74&lt;10), 0.5, 0)</f>
        <v>0</v>
      </c>
      <c r="U21" s="27">
        <v>0</v>
      </c>
    </row>
    <row r="22" spans="1:21" ht="14.5" hidden="1" x14ac:dyDescent="0.35">
      <c r="A22" s="26">
        <v>8</v>
      </c>
      <c r="B22" s="131" t="s">
        <v>113</v>
      </c>
      <c r="C22" s="132"/>
      <c r="D22" s="132"/>
      <c r="E22" s="133"/>
      <c r="F22" s="27">
        <f>IF(AND(G49&gt;0, J35&lt;10, K80&lt;10, G74&gt;=10, SUM(G49, J35)&gt;0), 0.5, 0)</f>
        <v>0</v>
      </c>
      <c r="G22" s="27">
        <f>IF(AND(G49&gt;0, J35&lt;10, K80&lt;10, G74&gt;=10, SUM(G49, J35)&gt;0), 0, 0)</f>
        <v>0</v>
      </c>
      <c r="H22" s="28">
        <f>IF(AND(G49&gt;0, J35&lt;10, K80&lt;10, G74&gt;=10, SUM(G49, J35)&gt;0), 0, 0)</f>
        <v>0</v>
      </c>
      <c r="I22" s="27">
        <f>IF(AND(G49&gt;0, J35&lt;10, K80&lt;10, G74&gt;=10, SUM(G49, J35)&gt;0), 0.45, 0)</f>
        <v>0</v>
      </c>
      <c r="J22" s="26">
        <f>IF(AND(G49&gt;0, J35&lt;10, K80&lt;10, G74&gt;=10, SUM(G49, J35)&gt;0), 0.05, 0)</f>
        <v>0</v>
      </c>
      <c r="K22" s="85"/>
      <c r="L22" s="85"/>
      <c r="M22" s="26">
        <v>23</v>
      </c>
      <c r="N22" s="131" t="s">
        <v>84</v>
      </c>
      <c r="O22" s="132"/>
      <c r="P22" s="132"/>
      <c r="Q22" s="133"/>
      <c r="R22" s="27">
        <f>IF(AND(G49&gt;0, J35&lt;10, K80&lt;10, G74&gt;=10), 0.5, 0)</f>
        <v>0</v>
      </c>
      <c r="S22" s="27">
        <v>0</v>
      </c>
      <c r="T22" s="28">
        <v>0</v>
      </c>
      <c r="U22" s="27">
        <f>IF(AND(G49&gt;0, J35&lt;10, K80&lt;10, G74&gt;=10), 0.5, 0)</f>
        <v>0</v>
      </c>
    </row>
    <row r="23" spans="1:21" ht="14.5" hidden="1" x14ac:dyDescent="0.35">
      <c r="A23" s="26">
        <v>9</v>
      </c>
      <c r="B23" s="131" t="s">
        <v>114</v>
      </c>
      <c r="C23" s="132"/>
      <c r="D23" s="132"/>
      <c r="E23" s="133"/>
      <c r="F23" s="27">
        <f>IF(AND(G49=0, J35&gt;=10, K80&gt;=10, G74&lt;10, SUM(G49, J35)&gt;0), 0, 0)</f>
        <v>0</v>
      </c>
      <c r="G23" s="27">
        <f>IF(AND(G49=0, J35&gt;=10, K80&gt;=10, G74&lt;10, SUM(G49, J35)&gt;0), 0.475, 0)</f>
        <v>0</v>
      </c>
      <c r="H23" s="27">
        <f>IF(AND(G49=0, J35&gt;=10, K80&gt;=10, G74&lt;10, SUM(G49, J35)&gt;0), 0.475, 0)</f>
        <v>0</v>
      </c>
      <c r="I23" s="27">
        <f>IF(AND(G49=0, J35&gt;=10, K80&gt;=10, G74&lt;10, SUM(G49, J35)&gt;0), 0, 0)</f>
        <v>0</v>
      </c>
      <c r="J23" s="26">
        <f>IF(AND(G49=0, J35&gt;=10, K80&gt;=10, G74&lt;10, SUM(G49, J35)&gt;0), 0.05, 0)</f>
        <v>0</v>
      </c>
      <c r="K23" s="85"/>
      <c r="L23" s="85"/>
      <c r="M23" s="26">
        <v>24</v>
      </c>
      <c r="N23" s="131" t="s">
        <v>85</v>
      </c>
      <c r="O23" s="132"/>
      <c r="P23" s="132"/>
      <c r="Q23" s="133"/>
      <c r="R23" s="27">
        <v>0</v>
      </c>
      <c r="S23" s="27">
        <f>IF(AND(G49&lt;1, J35&gt;=10, K80&gt;=10, G74&lt;10), 0.5, 0)</f>
        <v>0</v>
      </c>
      <c r="T23" s="27">
        <f>IF(AND(G49&lt;1, J35&gt;=10, K80&gt;=10, G74&lt;10), 0.5, 0)</f>
        <v>0</v>
      </c>
      <c r="U23" s="27">
        <v>0</v>
      </c>
    </row>
    <row r="24" spans="1:21" ht="14.5" hidden="1" x14ac:dyDescent="0.35">
      <c r="A24" s="26">
        <v>10</v>
      </c>
      <c r="B24" s="131" t="s">
        <v>115</v>
      </c>
      <c r="C24" s="132"/>
      <c r="D24" s="132"/>
      <c r="E24" s="133"/>
      <c r="F24" s="27">
        <f>IF(AND(G49=0, J35&gt;=10, K80&lt;10, G74&gt;=10, SUM(G49, J35)&gt;0), 0, 0)</f>
        <v>0</v>
      </c>
      <c r="G24" s="27">
        <f>IF(AND(G49=0, J35&gt;=10, K80&lt;10, G74&gt;=10, SUM(G49, J35)&gt;0), 0.5, 0)</f>
        <v>0</v>
      </c>
      <c r="H24" s="27">
        <f>IF(AND(G49=0, J35&gt;=10, K80&lt;10, G74&gt;=10, SUM(G49, J35)&gt;0), 0, 0)</f>
        <v>0</v>
      </c>
      <c r="I24" s="27">
        <f>IF(AND(G49=0, J35&gt;=10, K80&lt;10, G74&gt;=10, SUM(G49, J35)&gt;0), 0.45, 0)</f>
        <v>0</v>
      </c>
      <c r="J24" s="26">
        <f>IF(AND(G49=0, J35&gt;=10, K80&lt;10, G74&gt;=10, SUM(G49, J35)&gt;0), 0.05, 0)</f>
        <v>0</v>
      </c>
      <c r="K24" s="85"/>
      <c r="L24" s="85"/>
      <c r="M24" s="26">
        <v>25</v>
      </c>
      <c r="N24" s="131" t="s">
        <v>86</v>
      </c>
      <c r="O24" s="132"/>
      <c r="P24" s="132"/>
      <c r="Q24" s="133"/>
      <c r="R24" s="27">
        <v>0</v>
      </c>
      <c r="S24" s="27">
        <f>IF(AND(G49&lt;1, J35&gt;=10, K80&lt;10, G74&gt;=10), 0.5, 0)</f>
        <v>0</v>
      </c>
      <c r="T24" s="27">
        <v>0</v>
      </c>
      <c r="U24" s="27">
        <f>IF(AND(G49&lt;1, J35&gt;=10, K80&lt;10, G74&gt;=10), 0.5, 0)</f>
        <v>0</v>
      </c>
    </row>
    <row r="25" spans="1:21" ht="14.5" hidden="1" x14ac:dyDescent="0.35">
      <c r="A25" s="26">
        <v>11</v>
      </c>
      <c r="B25" s="131" t="s">
        <v>116</v>
      </c>
      <c r="C25" s="132"/>
      <c r="D25" s="132"/>
      <c r="E25" s="133"/>
      <c r="F25" s="27">
        <f>IF(AND(G49=0, J35&lt;10, K80&gt;=10, G74&gt;=10, SUM(G49, J35)&gt;0), 0, 0)</f>
        <v>0</v>
      </c>
      <c r="G25" s="27">
        <f>IF(AND(G49=0, J35&lt;10, K80&gt;=10, G74&gt;=10, SUM(G49, J35)&gt;0), 0, 0)</f>
        <v>0</v>
      </c>
      <c r="H25" s="27">
        <f>IF(AND(G49=0, J35&lt;10, K80&gt;=10, G74&gt;=10, SUM(G49, J35)&gt;0), 0.5, 0)</f>
        <v>0</v>
      </c>
      <c r="I25" s="27">
        <f>IF(AND(G49=0, J35&lt;10, K80&gt;=10, G74&gt;=10, SUM(G49, J35)&gt;0), 0.45, 0)</f>
        <v>0</v>
      </c>
      <c r="J25" s="26">
        <f>IF(AND(G49=0, J35&lt;10, K80&gt;=10, G74&gt;=10, SUM(G49, J35)&gt;0), 0.05, 0)</f>
        <v>0</v>
      </c>
      <c r="K25" s="85"/>
      <c r="L25" s="85"/>
      <c r="M25" s="26">
        <v>26</v>
      </c>
      <c r="N25" s="131" t="s">
        <v>87</v>
      </c>
      <c r="O25" s="132"/>
      <c r="P25" s="132"/>
      <c r="Q25" s="133"/>
      <c r="R25" s="27">
        <v>0</v>
      </c>
      <c r="S25" s="27">
        <v>0</v>
      </c>
      <c r="T25" s="27">
        <f>IF(AND(G49&lt;1, J35&lt;10, K80&gt;=10, G74&gt;=10), 0.5, 0)</f>
        <v>0</v>
      </c>
      <c r="U25" s="27">
        <f>IF(AND(G49&lt;1, J35&lt;10, K80&gt;=10, G74&gt;=10), 0.5, 0)</f>
        <v>0</v>
      </c>
    </row>
    <row r="26" spans="1:21" ht="14.5" hidden="1" x14ac:dyDescent="0.35">
      <c r="A26" s="26">
        <v>12</v>
      </c>
      <c r="B26" s="131" t="s">
        <v>117</v>
      </c>
      <c r="C26" s="132"/>
      <c r="D26" s="132"/>
      <c r="E26" s="133"/>
      <c r="F26" s="27">
        <f>IF(AND(G49&gt;0, J35&lt;10, K80&lt;10, G74&lt;10, SUM(G49, J35)&gt;0), 0.95, 0)</f>
        <v>0</v>
      </c>
      <c r="G26" s="27">
        <f>IF(AND(G49&gt;0, J35&lt;10, K80&lt;10, G74&lt;10, SUM(G49, J35)&gt;0), 0, 0)</f>
        <v>0</v>
      </c>
      <c r="H26" s="27">
        <f>IF(AND(G49&gt;0, J35&lt;10, K80&lt;10, G74&lt;10, SUM(G49, J35)&gt;0), 0, 0)</f>
        <v>0</v>
      </c>
      <c r="I26" s="27">
        <f>IF(AND(G49&gt;0, J35&lt;10, K80&lt;10, G74&lt;10, SUM(G49, J35)&gt;0), 0, 0)</f>
        <v>0</v>
      </c>
      <c r="J26" s="26">
        <f>IF(AND(G49&gt;0, J35&lt;10, K80&lt;10, G74&lt;10, SUM(G49, J35)&gt;0), 0.05, 0)</f>
        <v>0</v>
      </c>
      <c r="K26" s="85"/>
      <c r="L26" s="85"/>
      <c r="M26" s="26">
        <v>27</v>
      </c>
      <c r="N26" s="131" t="s">
        <v>88</v>
      </c>
      <c r="O26" s="132"/>
      <c r="P26" s="132"/>
      <c r="Q26" s="133"/>
      <c r="R26" s="27">
        <f>IF(AND(G49&gt;0, J35&lt;10, K80&lt;10, G74&lt;10), 1, 0)</f>
        <v>0</v>
      </c>
      <c r="S26" s="27">
        <v>0</v>
      </c>
      <c r="T26" s="27">
        <v>0</v>
      </c>
      <c r="U26" s="27">
        <v>0</v>
      </c>
    </row>
    <row r="27" spans="1:21" ht="14.5" hidden="1" x14ac:dyDescent="0.35">
      <c r="A27" s="26">
        <v>13</v>
      </c>
      <c r="B27" s="131" t="s">
        <v>118</v>
      </c>
      <c r="C27" s="132"/>
      <c r="D27" s="132"/>
      <c r="E27" s="133"/>
      <c r="F27" s="27">
        <f>IF(AND(G49=0, J35&gt;=10, K80&lt;10, G74&lt;10, SUM(G49, J35)&gt;0), 0, 0)</f>
        <v>0</v>
      </c>
      <c r="G27" s="27">
        <f>IF(AND(G49=0, J35&gt;=10, K80&lt;10, G74&lt;10, SUM(G49, J35)&gt;0), 0.95, 0)</f>
        <v>0</v>
      </c>
      <c r="H27" s="27">
        <f>IF(AND(G49=0, J35&gt;=10, K80&lt;10, G74&lt;10, SUM(G49, J35)&gt;0), 0, 0)</f>
        <v>0</v>
      </c>
      <c r="I27" s="27">
        <f>IF(AND(G49=0, J35&gt;=10, K80&lt;10, G74&lt;10, SUM(G49, J35)&gt;0), 0, 0)</f>
        <v>0</v>
      </c>
      <c r="J27" s="26">
        <f>IF(AND(G49=0, J35&gt;=10, K80&lt;10, G74&lt;10, SUM(G49, J35)&gt;0), 0.05, 0)</f>
        <v>0</v>
      </c>
      <c r="K27" s="85"/>
      <c r="L27" s="85"/>
      <c r="M27" s="26">
        <v>28</v>
      </c>
      <c r="N27" s="131" t="s">
        <v>89</v>
      </c>
      <c r="O27" s="132"/>
      <c r="P27" s="132"/>
      <c r="Q27" s="133"/>
      <c r="R27" s="27">
        <v>0</v>
      </c>
      <c r="S27" s="27">
        <f>IF(AND(G49&lt;1, J35&gt;=10, K80&lt;10, G74&lt;10), 1, 0)</f>
        <v>0</v>
      </c>
      <c r="T27" s="27">
        <v>0</v>
      </c>
      <c r="U27" s="27">
        <v>0</v>
      </c>
    </row>
    <row r="28" spans="1:21" ht="14.5" hidden="1" x14ac:dyDescent="0.35">
      <c r="A28" s="26">
        <v>14</v>
      </c>
      <c r="B28" s="131" t="s">
        <v>119</v>
      </c>
      <c r="C28" s="132"/>
      <c r="D28" s="132"/>
      <c r="E28" s="133"/>
      <c r="F28" s="27">
        <f>IF(AND(G49=0, J35&lt;10, K80&gt;=10, G74&lt;10, SUM(G49, J35)&gt;0), 0, 0)</f>
        <v>0</v>
      </c>
      <c r="G28" s="27">
        <f>IF(AND(G49=0, J35&lt;10, K80&gt;=10, G74&lt;10, SUM(G49, J35)&gt;0), 0, 0)</f>
        <v>0</v>
      </c>
      <c r="H28" s="27">
        <f>IF(AND(G49=0, J35&lt;10, K80&gt;=10, G74&lt;10, SUM(G49, J35)&gt;0), 0.95, 0)</f>
        <v>0</v>
      </c>
      <c r="I28" s="27">
        <f>IF(AND(G49=0, J35&lt;10, K80&gt;=10, G74&lt;10, SUM(G49, J35)&gt;0), 0, 0)</f>
        <v>0</v>
      </c>
      <c r="J28" s="26">
        <f>IF(AND(G49=0, J35&lt;10, K80&gt;=10, G74&lt;10, SUM(G49, J35)&gt;0), 0.05, 0)</f>
        <v>0</v>
      </c>
      <c r="K28" s="85"/>
      <c r="L28" s="85"/>
      <c r="M28" s="26">
        <v>29</v>
      </c>
      <c r="N28" s="131" t="s">
        <v>90</v>
      </c>
      <c r="O28" s="132"/>
      <c r="P28" s="132"/>
      <c r="Q28" s="133"/>
      <c r="R28" s="27">
        <v>0</v>
      </c>
      <c r="S28" s="27">
        <v>0</v>
      </c>
      <c r="T28" s="27">
        <f>IF(AND(G49&lt;1, J35&lt;10, K80&gt;=10, G74&lt;10), 1, 0)</f>
        <v>0</v>
      </c>
      <c r="U28" s="27">
        <v>0</v>
      </c>
    </row>
    <row r="29" spans="1:21" ht="14.5" hidden="1" x14ac:dyDescent="0.35">
      <c r="A29" s="26">
        <v>15</v>
      </c>
      <c r="B29" s="131" t="s">
        <v>120</v>
      </c>
      <c r="C29" s="132"/>
      <c r="D29" s="132"/>
      <c r="E29" s="133"/>
      <c r="F29" s="27">
        <f>IF(AND(G49=0, J35&lt;10, K80&lt;10, G74&gt;=10, SUM(G49, J35)&gt;0), 0, 0)</f>
        <v>0</v>
      </c>
      <c r="G29" s="27">
        <f>IF(AND(G49=0, J35&lt;10, K80&lt;10, G74&gt;=10, SUM(G49, J35)&gt;0), 0, 0)</f>
        <v>0</v>
      </c>
      <c r="H29" s="27">
        <f>IF(AND(G49=0, J35&lt;10, K80&lt;10, G74&gt;=10, SUM(G49, J35)&gt;0), 0, 0)</f>
        <v>0</v>
      </c>
      <c r="I29" s="27">
        <f>IF(AND(G49=0, J35&lt;10, K80&lt;10, G74&gt;=10, SUM(G49, J35)&gt;0), 0.95, 0)</f>
        <v>0</v>
      </c>
      <c r="J29" s="26">
        <f>IF(AND(G49=0, J35&lt;10, K80&lt;10, G74&gt;=10, SUM(G49, J35)&gt;0), 0.05, 0)</f>
        <v>0</v>
      </c>
      <c r="K29" s="85"/>
      <c r="L29" s="85"/>
      <c r="M29" s="26">
        <v>30</v>
      </c>
      <c r="N29" s="131" t="s">
        <v>91</v>
      </c>
      <c r="O29" s="132"/>
      <c r="P29" s="132"/>
      <c r="Q29" s="133"/>
      <c r="R29" s="27">
        <v>0</v>
      </c>
      <c r="S29" s="27">
        <v>0</v>
      </c>
      <c r="T29" s="27">
        <v>0</v>
      </c>
      <c r="U29" s="27">
        <f>IF(AND(G49&lt;1, J35&lt;10, K80&lt;10, G74&gt;=10), 1, 0)</f>
        <v>0</v>
      </c>
    </row>
    <row r="30" spans="1:21" hidden="1" x14ac:dyDescent="0.3">
      <c r="D30" s="5"/>
      <c r="E30" s="5"/>
      <c r="F30" s="23"/>
      <c r="G30" s="23"/>
      <c r="H30" s="23"/>
      <c r="I30" s="24"/>
    </row>
    <row r="31" spans="1:21" hidden="1" x14ac:dyDescent="0.3">
      <c r="F31" s="194"/>
      <c r="G31" s="194"/>
      <c r="H31" s="194"/>
      <c r="I31" s="194"/>
      <c r="J31" s="194"/>
      <c r="K31" s="194"/>
      <c r="L31" s="194"/>
      <c r="M31" s="194"/>
    </row>
    <row r="32" spans="1:21" ht="18" customHeight="1" x14ac:dyDescent="0.3">
      <c r="A32" s="107" t="s">
        <v>71</v>
      </c>
      <c r="B32" s="108"/>
      <c r="C32" s="108"/>
      <c r="D32" s="108"/>
      <c r="E32" s="108"/>
      <c r="F32" s="108"/>
      <c r="G32" s="108"/>
      <c r="H32" s="108"/>
      <c r="I32" s="62"/>
      <c r="J32" s="62"/>
      <c r="K32" s="62"/>
      <c r="L32" s="63"/>
      <c r="M32" s="63"/>
    </row>
    <row r="33" spans="1:12" ht="25.15" customHeight="1" x14ac:dyDescent="0.3">
      <c r="A33" s="1"/>
      <c r="B33" s="65" t="s">
        <v>70</v>
      </c>
      <c r="C33" s="68"/>
      <c r="D33" s="69"/>
      <c r="E33" s="69"/>
      <c r="F33" s="69"/>
      <c r="G33" s="69"/>
      <c r="H33" s="69"/>
      <c r="I33" s="70"/>
      <c r="J33" s="188" t="s">
        <v>52</v>
      </c>
      <c r="K33" s="148" t="s">
        <v>53</v>
      </c>
    </row>
    <row r="34" spans="1:12" ht="34.15" customHeight="1" x14ac:dyDescent="0.3">
      <c r="A34" s="44"/>
      <c r="B34" s="44" t="s">
        <v>63</v>
      </c>
      <c r="C34" s="44" t="s">
        <v>64</v>
      </c>
      <c r="D34" s="44" t="s">
        <v>65</v>
      </c>
      <c r="E34" s="44" t="s">
        <v>66</v>
      </c>
      <c r="F34" s="44" t="s">
        <v>67</v>
      </c>
      <c r="G34" s="44" t="s">
        <v>68</v>
      </c>
      <c r="H34" s="44" t="s">
        <v>69</v>
      </c>
      <c r="I34" s="44" t="s">
        <v>6</v>
      </c>
      <c r="J34" s="189"/>
      <c r="K34" s="148"/>
    </row>
    <row r="35" spans="1:12" ht="12" customHeight="1" x14ac:dyDescent="0.3">
      <c r="A35" s="58" t="s">
        <v>99</v>
      </c>
      <c r="B35" s="60"/>
      <c r="C35" s="60"/>
      <c r="D35" s="60"/>
      <c r="E35" s="60"/>
      <c r="F35" s="60"/>
      <c r="G35" s="60"/>
      <c r="H35" s="60"/>
      <c r="I35" s="60"/>
      <c r="J35" s="39">
        <f>SUM(B35:I35)</f>
        <v>0</v>
      </c>
      <c r="K35" s="39">
        <f>SUM(B35*150, C35*125, D35*100, E35*75, F35*50, G35*25, H35*0, I35*0)</f>
        <v>0</v>
      </c>
      <c r="L35" s="66"/>
    </row>
    <row r="36" spans="1:12" ht="12" customHeight="1" x14ac:dyDescent="0.3">
      <c r="A36" s="122" t="s">
        <v>71</v>
      </c>
      <c r="B36" s="123"/>
      <c r="C36" s="123"/>
      <c r="D36" s="123"/>
      <c r="E36" s="123"/>
      <c r="F36" s="123"/>
      <c r="G36" s="123"/>
      <c r="H36" s="123"/>
      <c r="I36" s="123"/>
      <c r="J36" s="124"/>
      <c r="K36" s="81">
        <f>IF(J35&gt;=10, ROUND(K35/J35,1),0)</f>
        <v>0</v>
      </c>
      <c r="L36" s="67"/>
    </row>
    <row r="37" spans="1:12" hidden="1" x14ac:dyDescent="0.3">
      <c r="A37" s="162"/>
      <c r="B37" s="162"/>
      <c r="C37" s="162"/>
      <c r="D37" s="162"/>
      <c r="E37" s="162"/>
      <c r="F37" s="162"/>
      <c r="G37" s="162"/>
      <c r="H37" s="162"/>
      <c r="I37" s="162"/>
      <c r="J37" s="162"/>
      <c r="K37" s="162"/>
    </row>
    <row r="39" spans="1:12" ht="18" customHeight="1" x14ac:dyDescent="0.3">
      <c r="A39" s="107" t="s">
        <v>59</v>
      </c>
      <c r="B39" s="108"/>
      <c r="C39" s="108"/>
      <c r="D39" s="108"/>
      <c r="E39" s="108"/>
      <c r="F39" s="108"/>
      <c r="G39" s="108"/>
      <c r="H39" s="108"/>
    </row>
    <row r="40" spans="1:12" ht="36" x14ac:dyDescent="0.3">
      <c r="A40" s="44" t="s">
        <v>0</v>
      </c>
      <c r="B40" s="44" t="s">
        <v>50</v>
      </c>
      <c r="C40" s="44" t="s">
        <v>51</v>
      </c>
      <c r="D40" s="44" t="s">
        <v>54</v>
      </c>
      <c r="E40" s="44" t="s">
        <v>48</v>
      </c>
      <c r="F40" s="29" t="s">
        <v>49</v>
      </c>
      <c r="G40" s="44" t="s">
        <v>52</v>
      </c>
      <c r="H40" s="44" t="s">
        <v>53</v>
      </c>
    </row>
    <row r="41" spans="1:12" x14ac:dyDescent="0.3">
      <c r="A41" s="53" t="s">
        <v>127</v>
      </c>
      <c r="B41" s="31"/>
      <c r="C41" s="31"/>
      <c r="D41" s="31"/>
      <c r="E41" s="31"/>
      <c r="F41" s="31"/>
      <c r="G41" s="39">
        <f t="shared" ref="G41:G48" si="1">SUM(B41:F41)</f>
        <v>0</v>
      </c>
      <c r="H41" s="39">
        <f t="shared" ref="H41:H48" si="2">B41*150 + C41*115+D41*85+E41*25+F41*0</f>
        <v>0</v>
      </c>
    </row>
    <row r="42" spans="1:12" x14ac:dyDescent="0.3">
      <c r="A42" s="53" t="s">
        <v>128</v>
      </c>
      <c r="B42" s="31"/>
      <c r="C42" s="31"/>
      <c r="D42" s="31"/>
      <c r="E42" s="31"/>
      <c r="F42" s="31"/>
      <c r="G42" s="39">
        <f t="shared" si="1"/>
        <v>0</v>
      </c>
      <c r="H42" s="39">
        <f t="shared" si="2"/>
        <v>0</v>
      </c>
    </row>
    <row r="43" spans="1:12" x14ac:dyDescent="0.3">
      <c r="A43" s="53" t="s">
        <v>129</v>
      </c>
      <c r="B43" s="31"/>
      <c r="C43" s="31"/>
      <c r="D43" s="31"/>
      <c r="E43" s="31"/>
      <c r="F43" s="31"/>
      <c r="G43" s="39">
        <f t="shared" si="1"/>
        <v>0</v>
      </c>
      <c r="H43" s="39">
        <f t="shared" si="2"/>
        <v>0</v>
      </c>
    </row>
    <row r="44" spans="1:12" ht="12.5" thickBot="1" x14ac:dyDescent="0.35">
      <c r="A44" s="48" t="s">
        <v>130</v>
      </c>
      <c r="B44" s="56"/>
      <c r="C44" s="56"/>
      <c r="D44" s="56"/>
      <c r="E44" s="56"/>
      <c r="F44" s="56"/>
      <c r="G44" s="50">
        <f t="shared" si="1"/>
        <v>0</v>
      </c>
      <c r="H44" s="50">
        <f t="shared" si="2"/>
        <v>0</v>
      </c>
    </row>
    <row r="45" spans="1:12" ht="12.5" thickTop="1" x14ac:dyDescent="0.3">
      <c r="A45" s="55" t="s">
        <v>135</v>
      </c>
      <c r="B45" s="57"/>
      <c r="C45" s="57"/>
      <c r="D45" s="57"/>
      <c r="E45" s="57"/>
      <c r="F45" s="57"/>
      <c r="G45" s="54">
        <f t="shared" si="1"/>
        <v>0</v>
      </c>
      <c r="H45" s="54">
        <f t="shared" si="2"/>
        <v>0</v>
      </c>
    </row>
    <row r="46" spans="1:12" x14ac:dyDescent="0.3">
      <c r="A46" s="53" t="s">
        <v>136</v>
      </c>
      <c r="B46" s="31"/>
      <c r="C46" s="31"/>
      <c r="D46" s="31"/>
      <c r="E46" s="31"/>
      <c r="F46" s="31"/>
      <c r="G46" s="39">
        <f t="shared" si="1"/>
        <v>0</v>
      </c>
      <c r="H46" s="39">
        <f t="shared" si="2"/>
        <v>0</v>
      </c>
    </row>
    <row r="47" spans="1:12" x14ac:dyDescent="0.3">
      <c r="A47" s="53" t="s">
        <v>137</v>
      </c>
      <c r="B47" s="31"/>
      <c r="C47" s="31"/>
      <c r="D47" s="31"/>
      <c r="E47" s="31"/>
      <c r="F47" s="31"/>
      <c r="G47" s="39">
        <f t="shared" si="1"/>
        <v>0</v>
      </c>
      <c r="H47" s="39">
        <f t="shared" si="2"/>
        <v>0</v>
      </c>
    </row>
    <row r="48" spans="1:12" x14ac:dyDescent="0.3">
      <c r="A48" s="53" t="s">
        <v>138</v>
      </c>
      <c r="B48" s="31"/>
      <c r="C48" s="31"/>
      <c r="D48" s="31"/>
      <c r="E48" s="31"/>
      <c r="F48" s="31"/>
      <c r="G48" s="39">
        <f t="shared" si="1"/>
        <v>0</v>
      </c>
      <c r="H48" s="39">
        <f t="shared" si="2"/>
        <v>0</v>
      </c>
    </row>
    <row r="49" spans="1:8" x14ac:dyDescent="0.3">
      <c r="A49" s="122" t="s">
        <v>62</v>
      </c>
      <c r="B49" s="123"/>
      <c r="C49" s="123"/>
      <c r="D49" s="123"/>
      <c r="E49" s="123"/>
      <c r="F49" s="124"/>
      <c r="G49" s="71">
        <f>SUM(G41:G48)</f>
        <v>0</v>
      </c>
      <c r="H49" s="71">
        <f>SUM(H41:H48)</f>
        <v>0</v>
      </c>
    </row>
    <row r="50" spans="1:8" x14ac:dyDescent="0.3">
      <c r="A50" s="122" t="s">
        <v>97</v>
      </c>
      <c r="B50" s="123"/>
      <c r="C50" s="123"/>
      <c r="D50" s="123"/>
      <c r="E50" s="123"/>
      <c r="F50" s="123"/>
      <c r="G50" s="124"/>
      <c r="H50" s="81">
        <f>IF(G49&gt;0, ROUND(H49/G49,1), 0)</f>
        <v>0</v>
      </c>
    </row>
    <row r="51" spans="1:8" x14ac:dyDescent="0.3">
      <c r="A51" s="106" t="s">
        <v>98</v>
      </c>
      <c r="B51" s="106"/>
      <c r="C51" s="106"/>
      <c r="D51" s="106"/>
      <c r="E51" s="106"/>
      <c r="F51" s="106"/>
      <c r="G51" s="106"/>
      <c r="H51" s="106"/>
    </row>
    <row r="52" spans="1:8" x14ac:dyDescent="0.3">
      <c r="A52" s="121" t="s">
        <v>56</v>
      </c>
      <c r="B52" s="121"/>
      <c r="C52" s="121"/>
      <c r="D52" s="121"/>
      <c r="E52" s="121"/>
      <c r="F52" s="121"/>
      <c r="G52" s="121"/>
      <c r="H52" s="121"/>
    </row>
    <row r="54" spans="1:8" ht="18" customHeight="1" x14ac:dyDescent="0.3">
      <c r="A54" s="117" t="s">
        <v>75</v>
      </c>
      <c r="B54" s="117"/>
      <c r="C54" s="117"/>
      <c r="D54" s="117"/>
      <c r="E54" s="117"/>
      <c r="F54" s="117"/>
      <c r="G54" s="117"/>
      <c r="H54" s="117"/>
    </row>
    <row r="55" spans="1:8" x14ac:dyDescent="0.3">
      <c r="A55" s="127" t="s">
        <v>10</v>
      </c>
      <c r="B55" s="127"/>
      <c r="C55" s="127"/>
      <c r="D55" s="127"/>
      <c r="E55" s="102"/>
      <c r="F55" s="59" t="s">
        <v>19</v>
      </c>
      <c r="G55" s="59" t="s">
        <v>96</v>
      </c>
      <c r="H55" s="59" t="s">
        <v>9</v>
      </c>
    </row>
    <row r="56" spans="1:8" ht="14.5" customHeight="1" x14ac:dyDescent="0.3">
      <c r="A56" s="149" t="s">
        <v>11</v>
      </c>
      <c r="B56" s="150"/>
      <c r="C56" s="150"/>
      <c r="D56" s="150"/>
      <c r="E56" s="151"/>
      <c r="F56" s="127">
        <v>160</v>
      </c>
      <c r="G56" s="152"/>
      <c r="H56" s="153">
        <f>F56*G56</f>
        <v>0</v>
      </c>
    </row>
    <row r="57" spans="1:8" ht="15" customHeight="1" x14ac:dyDescent="0.3">
      <c r="A57" s="156" t="s">
        <v>23</v>
      </c>
      <c r="B57" s="157"/>
      <c r="C57" s="157"/>
      <c r="D57" s="157"/>
      <c r="E57" s="158"/>
      <c r="F57" s="127"/>
      <c r="G57" s="152"/>
      <c r="H57" s="154"/>
    </row>
    <row r="58" spans="1:8" ht="18" customHeight="1" x14ac:dyDescent="0.3">
      <c r="A58" s="159" t="s">
        <v>24</v>
      </c>
      <c r="B58" s="160"/>
      <c r="C58" s="160"/>
      <c r="D58" s="160"/>
      <c r="E58" s="161"/>
      <c r="F58" s="127"/>
      <c r="G58" s="152"/>
      <c r="H58" s="155"/>
    </row>
    <row r="59" spans="1:8" ht="15" customHeight="1" x14ac:dyDescent="0.3">
      <c r="A59" s="163" t="s">
        <v>11</v>
      </c>
      <c r="B59" s="164"/>
      <c r="C59" s="164"/>
      <c r="D59" s="164"/>
      <c r="E59" s="165"/>
      <c r="F59" s="127">
        <v>150</v>
      </c>
      <c r="G59" s="166"/>
      <c r="H59" s="153">
        <f>F59*G59</f>
        <v>0</v>
      </c>
    </row>
    <row r="60" spans="1:8" ht="16.899999999999999" customHeight="1" x14ac:dyDescent="0.3">
      <c r="A60" s="156" t="s">
        <v>12</v>
      </c>
      <c r="B60" s="157"/>
      <c r="C60" s="157"/>
      <c r="D60" s="157"/>
      <c r="E60" s="158"/>
      <c r="F60" s="127"/>
      <c r="G60" s="167"/>
      <c r="H60" s="154"/>
    </row>
    <row r="61" spans="1:8" ht="14.5" customHeight="1" x14ac:dyDescent="0.3">
      <c r="A61" s="156" t="s">
        <v>13</v>
      </c>
      <c r="B61" s="157"/>
      <c r="C61" s="157"/>
      <c r="D61" s="157"/>
      <c r="E61" s="158"/>
      <c r="F61" s="127"/>
      <c r="G61" s="168"/>
      <c r="H61" s="155"/>
    </row>
    <row r="62" spans="1:8" ht="15" customHeight="1" x14ac:dyDescent="0.3">
      <c r="A62" s="163" t="s">
        <v>11</v>
      </c>
      <c r="B62" s="164"/>
      <c r="C62" s="164"/>
      <c r="D62" s="164"/>
      <c r="E62" s="165"/>
      <c r="F62" s="110">
        <v>115</v>
      </c>
      <c r="G62" s="166"/>
      <c r="H62" s="153">
        <f>F62*G62</f>
        <v>0</v>
      </c>
    </row>
    <row r="63" spans="1:8" ht="24.65" customHeight="1" x14ac:dyDescent="0.3">
      <c r="A63" s="170" t="s">
        <v>20</v>
      </c>
      <c r="B63" s="171"/>
      <c r="C63" s="171"/>
      <c r="D63" s="171"/>
      <c r="E63" s="172"/>
      <c r="F63" s="111"/>
      <c r="G63" s="167"/>
      <c r="H63" s="154"/>
    </row>
    <row r="64" spans="1:8" ht="14.5" customHeight="1" x14ac:dyDescent="0.3">
      <c r="A64" s="191" t="s">
        <v>14</v>
      </c>
      <c r="B64" s="192"/>
      <c r="C64" s="192"/>
      <c r="D64" s="192"/>
      <c r="E64" s="193"/>
      <c r="F64" s="111"/>
      <c r="G64" s="167"/>
      <c r="H64" s="154"/>
    </row>
    <row r="65" spans="1:12" ht="15" customHeight="1" x14ac:dyDescent="0.3">
      <c r="A65" s="134" t="s">
        <v>21</v>
      </c>
      <c r="B65" s="135"/>
      <c r="C65" s="135"/>
      <c r="D65" s="135"/>
      <c r="E65" s="136"/>
      <c r="F65" s="112"/>
      <c r="G65" s="168"/>
      <c r="H65" s="155"/>
    </row>
    <row r="66" spans="1:12" ht="18.649999999999999" customHeight="1" x14ac:dyDescent="0.3">
      <c r="A66" s="185" t="s">
        <v>11</v>
      </c>
      <c r="B66" s="186"/>
      <c r="C66" s="186"/>
      <c r="D66" s="186"/>
      <c r="E66" s="187"/>
      <c r="F66" s="127">
        <v>110</v>
      </c>
      <c r="G66" s="166"/>
      <c r="H66" s="153">
        <f>F66*G66</f>
        <v>0</v>
      </c>
    </row>
    <row r="67" spans="1:12" ht="24.65" customHeight="1" x14ac:dyDescent="0.3">
      <c r="A67" s="170" t="s">
        <v>22</v>
      </c>
      <c r="B67" s="171"/>
      <c r="C67" s="171"/>
      <c r="D67" s="171"/>
      <c r="E67" s="172"/>
      <c r="F67" s="127"/>
      <c r="G67" s="167"/>
      <c r="H67" s="154"/>
    </row>
    <row r="68" spans="1:12" ht="15.65" customHeight="1" x14ac:dyDescent="0.3">
      <c r="A68" s="170" t="s">
        <v>15</v>
      </c>
      <c r="B68" s="171"/>
      <c r="C68" s="171"/>
      <c r="D68" s="171"/>
      <c r="E68" s="172"/>
      <c r="F68" s="127"/>
      <c r="G68" s="167"/>
      <c r="H68" s="154"/>
    </row>
    <row r="69" spans="1:12" ht="15" customHeight="1" x14ac:dyDescent="0.3">
      <c r="A69" s="173" t="s">
        <v>21</v>
      </c>
      <c r="B69" s="174"/>
      <c r="C69" s="174"/>
      <c r="D69" s="174"/>
      <c r="E69" s="175"/>
      <c r="F69" s="127"/>
      <c r="G69" s="168"/>
      <c r="H69" s="155"/>
    </row>
    <row r="70" spans="1:12" ht="30" customHeight="1" x14ac:dyDescent="0.3">
      <c r="A70" s="115" t="s">
        <v>16</v>
      </c>
      <c r="B70" s="169"/>
      <c r="C70" s="169"/>
      <c r="D70" s="169"/>
      <c r="E70" s="116"/>
      <c r="F70" s="58">
        <v>100</v>
      </c>
      <c r="G70" s="60"/>
      <c r="H70" s="39">
        <f>F70*G70</f>
        <v>0</v>
      </c>
    </row>
    <row r="71" spans="1:12" ht="18" customHeight="1" x14ac:dyDescent="0.3">
      <c r="A71" s="180" t="s">
        <v>25</v>
      </c>
      <c r="B71" s="180"/>
      <c r="C71" s="180"/>
      <c r="D71" s="180"/>
      <c r="E71" s="180"/>
      <c r="F71" s="30">
        <v>40</v>
      </c>
      <c r="G71" s="32"/>
      <c r="H71" s="39">
        <f>F71*G71</f>
        <v>0</v>
      </c>
    </row>
    <row r="72" spans="1:12" ht="15" customHeight="1" x14ac:dyDescent="0.3">
      <c r="A72" s="184" t="s">
        <v>17</v>
      </c>
      <c r="B72" s="184"/>
      <c r="C72" s="184"/>
      <c r="D72" s="184"/>
      <c r="E72" s="184"/>
      <c r="F72" s="58">
        <v>25</v>
      </c>
      <c r="G72" s="60"/>
      <c r="H72" s="39">
        <f>F72*G72</f>
        <v>0</v>
      </c>
    </row>
    <row r="73" spans="1:12" ht="15" customHeight="1" x14ac:dyDescent="0.3">
      <c r="A73" s="184" t="s">
        <v>18</v>
      </c>
      <c r="B73" s="184"/>
      <c r="C73" s="184"/>
      <c r="D73" s="184"/>
      <c r="E73" s="184"/>
      <c r="F73" s="58">
        <v>0</v>
      </c>
      <c r="G73" s="60"/>
      <c r="H73" s="39">
        <f>F73*G73</f>
        <v>0</v>
      </c>
    </row>
    <row r="74" spans="1:12" ht="15.65" customHeight="1" x14ac:dyDescent="0.3">
      <c r="A74" s="181" t="s">
        <v>73</v>
      </c>
      <c r="B74" s="182"/>
      <c r="C74" s="182"/>
      <c r="D74" s="182"/>
      <c r="E74" s="182"/>
      <c r="F74" s="183"/>
      <c r="G74" s="42">
        <f>SUM(G56:G73)</f>
        <v>0</v>
      </c>
      <c r="H74" s="61">
        <f>SUM(H56:H73)</f>
        <v>0</v>
      </c>
    </row>
    <row r="75" spans="1:12" ht="14.5" customHeight="1" x14ac:dyDescent="0.3">
      <c r="A75" s="181" t="s">
        <v>74</v>
      </c>
      <c r="B75" s="182"/>
      <c r="C75" s="182"/>
      <c r="D75" s="182"/>
      <c r="E75" s="182"/>
      <c r="F75" s="182"/>
      <c r="G75" s="183"/>
      <c r="H75" s="81">
        <f>IF(G74&gt;=10,ROUND(H74/G74,1), 0)</f>
        <v>0</v>
      </c>
    </row>
    <row r="76" spans="1:12" x14ac:dyDescent="0.3">
      <c r="A76" s="162"/>
      <c r="B76" s="162"/>
      <c r="C76" s="162"/>
      <c r="D76" s="162"/>
      <c r="E76" s="162"/>
      <c r="F76" s="162"/>
      <c r="G76" s="162"/>
      <c r="H76" s="162"/>
    </row>
    <row r="77" spans="1:12" ht="18" customHeight="1" x14ac:dyDescent="0.3">
      <c r="A77" s="140" t="s">
        <v>8</v>
      </c>
      <c r="B77" s="141"/>
      <c r="C77" s="141"/>
      <c r="D77" s="141"/>
      <c r="E77" s="141"/>
      <c r="F77" s="141"/>
      <c r="G77" s="141"/>
      <c r="H77" s="141"/>
      <c r="I77" s="141"/>
      <c r="J77" s="141"/>
      <c r="K77" s="141"/>
      <c r="L77" s="142"/>
    </row>
    <row r="78" spans="1:12" ht="25.15" customHeight="1" x14ac:dyDescent="0.3">
      <c r="A78" s="1"/>
      <c r="B78" s="143" t="s">
        <v>140</v>
      </c>
      <c r="C78" s="144"/>
      <c r="D78" s="144"/>
      <c r="E78" s="144"/>
      <c r="F78" s="144"/>
      <c r="G78" s="144"/>
      <c r="H78" s="144"/>
      <c r="I78" s="144"/>
      <c r="J78" s="145"/>
      <c r="K78" s="146" t="s">
        <v>4</v>
      </c>
      <c r="L78" s="147" t="s">
        <v>5</v>
      </c>
    </row>
    <row r="79" spans="1:12" s="21" customFormat="1" ht="34.15" customHeight="1" x14ac:dyDescent="0.3">
      <c r="A79" s="2"/>
      <c r="B79" s="3" t="s">
        <v>141</v>
      </c>
      <c r="C79" s="4" t="s">
        <v>142</v>
      </c>
      <c r="D79" s="4" t="s">
        <v>143</v>
      </c>
      <c r="E79" s="4" t="s">
        <v>144</v>
      </c>
      <c r="F79" s="4" t="s">
        <v>145</v>
      </c>
      <c r="G79" s="4" t="s">
        <v>146</v>
      </c>
      <c r="H79" s="4" t="s">
        <v>147</v>
      </c>
      <c r="I79" s="176" t="s">
        <v>148</v>
      </c>
      <c r="J79" s="177"/>
      <c r="K79" s="146"/>
      <c r="L79" s="147"/>
    </row>
    <row r="80" spans="1:12" s="21" customFormat="1" x14ac:dyDescent="0.3">
      <c r="A80" s="3" t="s">
        <v>55</v>
      </c>
      <c r="B80" s="37"/>
      <c r="C80" s="37"/>
      <c r="D80" s="37"/>
      <c r="E80" s="37"/>
      <c r="F80" s="37"/>
      <c r="G80" s="37"/>
      <c r="H80" s="37"/>
      <c r="I80" s="178"/>
      <c r="J80" s="179"/>
      <c r="K80" s="41">
        <f>SUM(B80:J80)</f>
        <v>0</v>
      </c>
      <c r="L80" s="41">
        <f>SUM(B80*150,C80*125,D80*100,E80*75,F80*50,G80*25,H80*0,I80*0,J80*0)</f>
        <v>0</v>
      </c>
    </row>
    <row r="81" spans="1:12" x14ac:dyDescent="0.3">
      <c r="A81" s="137" t="s">
        <v>139</v>
      </c>
      <c r="B81" s="138"/>
      <c r="C81" s="138"/>
      <c r="D81" s="138"/>
      <c r="E81" s="138"/>
      <c r="F81" s="138"/>
      <c r="G81" s="138"/>
      <c r="H81" s="138"/>
      <c r="I81" s="138"/>
      <c r="J81" s="138"/>
      <c r="K81" s="139"/>
      <c r="L81" s="82">
        <f>IF(K80&gt;=10, ROUND(L80/K80,1),0)</f>
        <v>0</v>
      </c>
    </row>
    <row r="82" spans="1:12" x14ac:dyDescent="0.3">
      <c r="A82" s="190" t="s">
        <v>124</v>
      </c>
      <c r="B82" s="190"/>
      <c r="C82" s="190"/>
      <c r="D82" s="190"/>
      <c r="E82" s="190"/>
      <c r="F82" s="190"/>
      <c r="G82" s="190"/>
      <c r="H82" s="190"/>
      <c r="I82" s="190"/>
      <c r="J82" s="190"/>
      <c r="K82" s="190"/>
      <c r="L82" s="190"/>
    </row>
    <row r="84" spans="1:12" ht="18" customHeight="1" x14ac:dyDescent="0.3">
      <c r="A84" s="107" t="s">
        <v>157</v>
      </c>
      <c r="B84" s="108"/>
      <c r="C84" s="108"/>
      <c r="D84" s="108"/>
      <c r="E84" s="109"/>
    </row>
    <row r="85" spans="1:12" ht="13.5" customHeight="1" x14ac:dyDescent="0.3">
      <c r="A85" s="110" t="s">
        <v>158</v>
      </c>
      <c r="B85" s="115" t="s">
        <v>151</v>
      </c>
      <c r="C85" s="116"/>
      <c r="D85" s="37"/>
      <c r="E85" s="100">
        <f>IF(D85&gt;37.5, 37.5, D85)</f>
        <v>0</v>
      </c>
    </row>
    <row r="86" spans="1:12" ht="13.5" customHeight="1" x14ac:dyDescent="0.3">
      <c r="A86" s="111"/>
      <c r="B86" s="115" t="s">
        <v>152</v>
      </c>
      <c r="C86" s="116"/>
      <c r="D86" s="37"/>
      <c r="E86" s="100">
        <f t="shared" ref="E86:E88" si="3">IF(D86&gt;37.5, 37.5, D86)</f>
        <v>0</v>
      </c>
    </row>
    <row r="87" spans="1:12" ht="22.5" customHeight="1" x14ac:dyDescent="0.3">
      <c r="A87" s="111"/>
      <c r="B87" s="115" t="s">
        <v>153</v>
      </c>
      <c r="C87" s="116"/>
      <c r="D87" s="37"/>
      <c r="E87" s="100">
        <f t="shared" si="3"/>
        <v>0</v>
      </c>
    </row>
    <row r="88" spans="1:12" ht="13.5" customHeight="1" x14ac:dyDescent="0.3">
      <c r="A88" s="112"/>
      <c r="B88" s="115" t="s">
        <v>154</v>
      </c>
      <c r="C88" s="116"/>
      <c r="D88" s="37"/>
      <c r="E88" s="100">
        <f t="shared" si="3"/>
        <v>0</v>
      </c>
    </row>
    <row r="89" spans="1:12" ht="13" x14ac:dyDescent="0.3">
      <c r="A89" s="102" t="s">
        <v>155</v>
      </c>
      <c r="B89" s="103"/>
      <c r="C89" s="103"/>
      <c r="D89" s="104"/>
      <c r="E89" s="98">
        <f>SUM(E85:E88)</f>
        <v>0</v>
      </c>
    </row>
    <row r="90" spans="1:12" ht="24" customHeight="1" x14ac:dyDescent="0.3">
      <c r="A90" s="105" t="s">
        <v>159</v>
      </c>
      <c r="B90" s="106"/>
      <c r="C90" s="106"/>
      <c r="D90" s="106"/>
      <c r="E90" s="106"/>
    </row>
  </sheetData>
  <sheetProtection algorithmName="SHA-512" hashValue="DZrS6/3DFQ5+A9rENRffKPzHLZwINMe+FoDe8xwLTD6IrIoJ50gEsvHNyFxN3j+7iV4wjjEF5nu2XWIwaB/llQ==" saltValue="2ye+rMvBLBb0I46egsVafw==" spinCount="100000" sheet="1" objects="1" scenarios="1"/>
  <mergeCells count="109">
    <mergeCell ref="N24:Q24"/>
    <mergeCell ref="N25:Q25"/>
    <mergeCell ref="N26:Q26"/>
    <mergeCell ref="N27:Q27"/>
    <mergeCell ref="N28:Q28"/>
    <mergeCell ref="N29:Q29"/>
    <mergeCell ref="A51:H51"/>
    <mergeCell ref="A52:H52"/>
    <mergeCell ref="A82:L82"/>
    <mergeCell ref="B27:E27"/>
    <mergeCell ref="B28:E28"/>
    <mergeCell ref="B29:E29"/>
    <mergeCell ref="A74:F74"/>
    <mergeCell ref="A59:E59"/>
    <mergeCell ref="F59:F61"/>
    <mergeCell ref="G59:G61"/>
    <mergeCell ref="H59:H61"/>
    <mergeCell ref="A60:E60"/>
    <mergeCell ref="A61:E61"/>
    <mergeCell ref="H62:H65"/>
    <mergeCell ref="A63:E63"/>
    <mergeCell ref="A64:E64"/>
    <mergeCell ref="A32:H32"/>
    <mergeCell ref="F31:M31"/>
    <mergeCell ref="N22:Q22"/>
    <mergeCell ref="N23:Q23"/>
    <mergeCell ref="B16:E16"/>
    <mergeCell ref="B17:E17"/>
    <mergeCell ref="B19:E19"/>
    <mergeCell ref="B20:E20"/>
    <mergeCell ref="B21:E21"/>
    <mergeCell ref="N16:Q16"/>
    <mergeCell ref="N17:Q17"/>
    <mergeCell ref="N18:Q18"/>
    <mergeCell ref="N19:Q19"/>
    <mergeCell ref="N20:Q20"/>
    <mergeCell ref="N21:Q21"/>
    <mergeCell ref="B18:E18"/>
    <mergeCell ref="N14:Q14"/>
    <mergeCell ref="B15:E15"/>
    <mergeCell ref="M8:S8"/>
    <mergeCell ref="M9:N9"/>
    <mergeCell ref="M10:N10"/>
    <mergeCell ref="M11:N11"/>
    <mergeCell ref="M12:N12"/>
    <mergeCell ref="B12:C12"/>
    <mergeCell ref="B8:I8"/>
    <mergeCell ref="B9:C9"/>
    <mergeCell ref="B10:C10"/>
    <mergeCell ref="B11:C11"/>
    <mergeCell ref="N15:Q15"/>
    <mergeCell ref="D1:K1"/>
    <mergeCell ref="A62:E62"/>
    <mergeCell ref="F62:F65"/>
    <mergeCell ref="G62:G65"/>
    <mergeCell ref="A70:E70"/>
    <mergeCell ref="A68:E68"/>
    <mergeCell ref="A69:E69"/>
    <mergeCell ref="I79:J79"/>
    <mergeCell ref="I80:J80"/>
    <mergeCell ref="A76:H76"/>
    <mergeCell ref="A71:E71"/>
    <mergeCell ref="A75:G75"/>
    <mergeCell ref="A72:E72"/>
    <mergeCell ref="A73:E73"/>
    <mergeCell ref="A66:E66"/>
    <mergeCell ref="F66:F69"/>
    <mergeCell ref="G66:G69"/>
    <mergeCell ref="H66:H69"/>
    <mergeCell ref="A67:E67"/>
    <mergeCell ref="J33:J34"/>
    <mergeCell ref="B22:E22"/>
    <mergeCell ref="B23:E23"/>
    <mergeCell ref="B24:E24"/>
    <mergeCell ref="B25:E25"/>
    <mergeCell ref="A56:E56"/>
    <mergeCell ref="F56:F58"/>
    <mergeCell ref="G56:G58"/>
    <mergeCell ref="H56:H58"/>
    <mergeCell ref="A57:E57"/>
    <mergeCell ref="A58:E58"/>
    <mergeCell ref="A37:K37"/>
    <mergeCell ref="A39:H39"/>
    <mergeCell ref="A49:F49"/>
    <mergeCell ref="A50:G50"/>
    <mergeCell ref="A84:E84"/>
    <mergeCell ref="A85:A88"/>
    <mergeCell ref="A89:D89"/>
    <mergeCell ref="A90:E90"/>
    <mergeCell ref="D2:E2"/>
    <mergeCell ref="D3:E3"/>
    <mergeCell ref="D4:E4"/>
    <mergeCell ref="D5:E5"/>
    <mergeCell ref="B14:E14"/>
    <mergeCell ref="B26:E26"/>
    <mergeCell ref="A65:E65"/>
    <mergeCell ref="A81:K81"/>
    <mergeCell ref="A77:L77"/>
    <mergeCell ref="B78:J78"/>
    <mergeCell ref="K78:K79"/>
    <mergeCell ref="L78:L79"/>
    <mergeCell ref="B85:C85"/>
    <mergeCell ref="B86:C86"/>
    <mergeCell ref="B87:C87"/>
    <mergeCell ref="B88:C88"/>
    <mergeCell ref="K33:K34"/>
    <mergeCell ref="A36:J36"/>
    <mergeCell ref="A54:H54"/>
    <mergeCell ref="A55:E55"/>
  </mergeCells>
  <pageMargins left="0.7" right="0.7" top="0.75" bottom="0.75" header="0.3" footer="0.3"/>
  <pageSetup orientation="portrait" r:id="rId1"/>
  <ignoredErrors>
    <ignoredError sqref="E86:E88"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election activeCell="G14" sqref="G14"/>
    </sheetView>
  </sheetViews>
  <sheetFormatPr defaultColWidth="8.81640625" defaultRowHeight="13" x14ac:dyDescent="0.3"/>
  <cols>
    <col min="1" max="1" width="21.1796875" style="33" customWidth="1"/>
    <col min="2" max="8" width="12.81640625" style="33" customWidth="1"/>
    <col min="9" max="9" width="26.1796875" style="33" customWidth="1"/>
    <col min="10" max="16384" width="8.81640625" style="33"/>
  </cols>
  <sheetData>
    <row r="1" spans="1:11" ht="23.5" customHeight="1" x14ac:dyDescent="0.3">
      <c r="D1" s="195" t="s">
        <v>33</v>
      </c>
      <c r="E1" s="195"/>
      <c r="F1" s="195"/>
      <c r="G1" s="195"/>
      <c r="H1" s="195"/>
      <c r="I1" s="73"/>
    </row>
    <row r="2" spans="1:11" ht="26.5" customHeight="1" x14ac:dyDescent="0.3">
      <c r="D2" s="199" t="s">
        <v>35</v>
      </c>
      <c r="E2" s="200"/>
      <c r="F2" s="197" t="s">
        <v>37</v>
      </c>
      <c r="G2" s="197" t="s">
        <v>34</v>
      </c>
      <c r="H2" s="197" t="s">
        <v>38</v>
      </c>
    </row>
    <row r="3" spans="1:11" ht="24" customHeight="1" x14ac:dyDescent="0.3">
      <c r="D3" s="96" t="s">
        <v>30</v>
      </c>
      <c r="E3" s="97" t="s">
        <v>36</v>
      </c>
      <c r="F3" s="198"/>
      <c r="G3" s="198"/>
      <c r="H3" s="198"/>
    </row>
    <row r="4" spans="1:11" ht="15" customHeight="1" x14ac:dyDescent="0.3">
      <c r="D4" s="36"/>
      <c r="E4" s="77"/>
      <c r="F4" s="34" t="str">
        <f>IF(D4&gt;0, 'K8'!H3, " ")</f>
        <v xml:space="preserve"> </v>
      </c>
      <c r="G4" s="34" t="str">
        <f>IF(E4&gt;0, HS!K3, " ")</f>
        <v xml:space="preserve"> </v>
      </c>
      <c r="H4" s="34" t="str">
        <f>IF(AND(D4&gt;0,E4&gt;0), ROUND((F4*D4+G4*E4)/(D4+E4), 1), " ")</f>
        <v xml:space="preserve"> </v>
      </c>
    </row>
    <row r="5" spans="1:11" ht="38.5" customHeight="1" x14ac:dyDescent="0.3">
      <c r="D5" s="202" t="s">
        <v>160</v>
      </c>
      <c r="E5" s="203"/>
      <c r="F5" s="203"/>
      <c r="G5" s="203"/>
      <c r="H5" s="203"/>
      <c r="I5" s="203"/>
      <c r="J5" s="203"/>
      <c r="K5" s="203"/>
    </row>
    <row r="6" spans="1:11" ht="19.149999999999999" customHeight="1" x14ac:dyDescent="0.3">
      <c r="A6" s="201" t="s">
        <v>33</v>
      </c>
      <c r="B6" s="201"/>
      <c r="C6" s="201"/>
      <c r="D6" s="201"/>
      <c r="E6" s="201"/>
      <c r="F6" s="201"/>
      <c r="G6" s="201"/>
      <c r="H6" s="201"/>
    </row>
    <row r="7" spans="1:11" ht="36" x14ac:dyDescent="0.3">
      <c r="A7" s="95"/>
      <c r="B7" s="95" t="s">
        <v>58</v>
      </c>
      <c r="C7" s="95" t="s">
        <v>3</v>
      </c>
      <c r="D7" s="95" t="s">
        <v>72</v>
      </c>
      <c r="E7" s="95" t="s">
        <v>59</v>
      </c>
      <c r="F7" s="95" t="s">
        <v>75</v>
      </c>
      <c r="G7" s="95" t="s">
        <v>101</v>
      </c>
      <c r="H7" s="95" t="s">
        <v>104</v>
      </c>
    </row>
    <row r="8" spans="1:11" x14ac:dyDescent="0.3">
      <c r="A8" s="94" t="s">
        <v>32</v>
      </c>
      <c r="B8" s="35" t="str">
        <f>IF(D4&gt;0, 'K8'!F3, " ")</f>
        <v xml:space="preserve"> </v>
      </c>
      <c r="C8" s="35" t="str">
        <f>IF(E4&gt;0, HS!H3, " ")</f>
        <v xml:space="preserve"> </v>
      </c>
      <c r="D8" s="35" t="str">
        <f>IF(E4&gt;0, HS!G3, " ")</f>
        <v xml:space="preserve"> </v>
      </c>
      <c r="E8" s="35" t="str">
        <f>IF(E4&gt;0, HS!F3, " ")</f>
        <v xml:space="preserve"> </v>
      </c>
      <c r="F8" s="35" t="str">
        <f>IF(E4&gt;0, HS!I3, " ")</f>
        <v xml:space="preserve"> </v>
      </c>
      <c r="G8" s="34" t="str">
        <f>IF(D4&gt;0, 'K8'!G3, " ")</f>
        <v xml:space="preserve"> </v>
      </c>
      <c r="H8" s="34" t="str">
        <f>IF(E4&gt;0, HS!J3, " ")</f>
        <v xml:space="preserve"> </v>
      </c>
    </row>
    <row r="9" spans="1:11" x14ac:dyDescent="0.3">
      <c r="A9" s="94" t="s">
        <v>121</v>
      </c>
      <c r="B9" s="35" t="str">
        <f>IF(D4&gt;0, 'K8'!F4, " ")</f>
        <v xml:space="preserve"> </v>
      </c>
      <c r="C9" s="35" t="str">
        <f>IF(E4&gt;0, HS!H4, " ")</f>
        <v xml:space="preserve"> </v>
      </c>
      <c r="D9" s="35" t="str">
        <f>IF(E4&gt;0, HS!G4, " ")</f>
        <v xml:space="preserve"> </v>
      </c>
      <c r="E9" s="35" t="str">
        <f>IF(E4&gt;0, HS!F4, " ")</f>
        <v xml:space="preserve"> </v>
      </c>
      <c r="F9" s="35" t="str">
        <f>IF(E4&gt;0, HS!I4, " ")</f>
        <v xml:space="preserve"> </v>
      </c>
      <c r="G9" s="34" t="str">
        <f>IF(D4&gt;0, 'K8'!G4, " ")</f>
        <v xml:space="preserve"> </v>
      </c>
      <c r="H9" s="34" t="str">
        <f>IF(E4&gt;0, HS!J4, " ")</f>
        <v xml:space="preserve"> </v>
      </c>
    </row>
    <row r="10" spans="1:11" x14ac:dyDescent="0.3">
      <c r="A10" s="94" t="s">
        <v>2</v>
      </c>
      <c r="B10" s="76" t="str">
        <f>IF(D4&gt;0, 'K8'!F5, " ")</f>
        <v xml:space="preserve"> </v>
      </c>
      <c r="C10" s="80" t="str">
        <f>IF(E4&gt;0, HS!H5, " ")</f>
        <v xml:space="preserve"> </v>
      </c>
      <c r="D10" s="80" t="str">
        <f>IF(E4&gt;0, HS!G5, " ")</f>
        <v xml:space="preserve"> </v>
      </c>
      <c r="E10" s="80" t="str">
        <f>IF(E4&gt;0, HS!F5, " ")</f>
        <v xml:space="preserve"> </v>
      </c>
      <c r="F10" s="80" t="str">
        <f>IF(E4&gt;0, HS!I5, " ")</f>
        <v xml:space="preserve"> </v>
      </c>
      <c r="G10" s="80" t="str">
        <f>IF(D4&gt;0, 'K8'!G5, " ")</f>
        <v xml:space="preserve"> </v>
      </c>
      <c r="H10" s="80" t="str">
        <f>IF(E4&gt;0, HS!J5, " ")</f>
        <v xml:space="preserve"> </v>
      </c>
    </row>
    <row r="11" spans="1:11" s="78" customFormat="1" x14ac:dyDescent="0.3">
      <c r="A11" s="196"/>
      <c r="B11" s="196"/>
      <c r="C11" s="196"/>
      <c r="D11" s="196"/>
      <c r="E11" s="196"/>
      <c r="F11" s="196"/>
      <c r="G11" s="196"/>
      <c r="H11" s="196"/>
      <c r="I11" s="196"/>
    </row>
  </sheetData>
  <sheetProtection algorithmName="SHA-512" hashValue="5z7mdxQDnTVC4Ep1IliF5Pcdoc/p/tzSeI8kc0hsly8nG8sM1uPklqkTI0JPu+7VL2IBOfqywx5yPNbDQrE85w==" saltValue="dI47DRhd3n5jQjG+M1pW2w==" spinCount="100000" sheet="1" objects="1" scenarios="1"/>
  <mergeCells count="8">
    <mergeCell ref="D1:H1"/>
    <mergeCell ref="A11:I11"/>
    <mergeCell ref="F2:F3"/>
    <mergeCell ref="G2:G3"/>
    <mergeCell ref="H2:H3"/>
    <mergeCell ref="D2:E2"/>
    <mergeCell ref="A6:H6"/>
    <mergeCell ref="D5:K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vt:lpstr>
      <vt:lpstr>K8</vt:lpstr>
      <vt:lpstr>HS</vt:lpstr>
      <vt:lpstr>CB</vt:lpstr>
    </vt:vector>
  </TitlesOfParts>
  <Company>LDOE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Liu</dc:creator>
  <cp:lastModifiedBy>Jennifer Baird</cp:lastModifiedBy>
  <dcterms:created xsi:type="dcterms:W3CDTF">2017-05-19T19:28:15Z</dcterms:created>
  <dcterms:modified xsi:type="dcterms:W3CDTF">2023-08-23T14:45:44Z</dcterms:modified>
</cp:coreProperties>
</file>