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jbaird\Documents\"/>
    </mc:Choice>
  </mc:AlternateContent>
  <workbookProtection workbookAlgorithmName="SHA-512" workbookHashValue="bH6frQ8ZGfIxEKajgBRWltIM4h6olVB/JOXmKSgmYS5a8iKEB9OhFBBmHYuuF6pT307wYjhwqZaHVyTksV7CKw==" workbookSaltValue="HmlMtv/36/wqpWYEsug63g==" workbookSpinCount="100000" lockStructure="1"/>
  <bookViews>
    <workbookView xWindow="0" yWindow="0" windowWidth="20490" windowHeight="9050" activeTab="3"/>
  </bookViews>
  <sheets>
    <sheet name="Info" sheetId="8" r:id="rId1"/>
    <sheet name="K8" sheetId="2" r:id="rId2"/>
    <sheet name="HS" sheetId="3" r:id="rId3"/>
    <sheet name="CB" sheetId="7" r:id="rId4"/>
  </sheets>
  <calcPr calcId="162913"/>
</workbook>
</file>

<file path=xl/calcChain.xml><?xml version="1.0" encoding="utf-8"?>
<calcChain xmlns="http://schemas.openxmlformats.org/spreadsheetml/2006/main">
  <c r="E120" i="3" l="1"/>
  <c r="E78" i="2"/>
  <c r="E123" i="3" l="1"/>
  <c r="E121" i="3"/>
  <c r="E122" i="3"/>
  <c r="E79" i="2"/>
  <c r="E80" i="2"/>
  <c r="E81" i="2"/>
  <c r="E124" i="3" l="1"/>
  <c r="E82" i="2"/>
  <c r="H19" i="2" l="1"/>
  <c r="G11" i="2"/>
  <c r="H16" i="2"/>
  <c r="G10" i="2"/>
  <c r="G19" i="2"/>
  <c r="G18" i="2"/>
  <c r="G17" i="2"/>
  <c r="I19" i="2"/>
  <c r="I18" i="2"/>
  <c r="F18" i="2"/>
  <c r="I16" i="2"/>
  <c r="G12" i="2" s="1"/>
  <c r="F16" i="2"/>
  <c r="H18" i="2"/>
  <c r="G16" i="2"/>
  <c r="I17" i="2"/>
  <c r="H17" i="2"/>
  <c r="F19" i="2"/>
  <c r="F17" i="2"/>
  <c r="L73" i="3"/>
  <c r="M74" i="3" s="1"/>
  <c r="L72" i="3"/>
  <c r="M76" i="3" s="1"/>
  <c r="L71" i="3"/>
  <c r="G13" i="2" l="1"/>
  <c r="M75" i="3"/>
  <c r="M67" i="3"/>
  <c r="M70" i="3"/>
  <c r="M69" i="3"/>
  <c r="M68" i="3"/>
  <c r="N70" i="3" l="1"/>
  <c r="N69" i="3"/>
  <c r="N68" i="3"/>
  <c r="N71" i="3" s="1"/>
  <c r="H100" i="3"/>
  <c r="I100" i="3" s="1"/>
  <c r="H99" i="3"/>
  <c r="I99" i="3" s="1"/>
  <c r="G100" i="3"/>
  <c r="G99" i="3"/>
  <c r="H38" i="2" l="1"/>
  <c r="H37" i="2"/>
  <c r="G38" i="2"/>
  <c r="G37" i="2"/>
  <c r="I38" i="2" l="1"/>
  <c r="I37" i="2"/>
  <c r="M60" i="3"/>
  <c r="M61" i="3"/>
  <c r="M62" i="3"/>
  <c r="K57" i="2" l="1"/>
  <c r="G65" i="2"/>
  <c r="H65" i="2" l="1"/>
  <c r="I4" i="2" l="1"/>
  <c r="I3" i="2"/>
  <c r="H113" i="3"/>
  <c r="G113" i="3"/>
  <c r="H112" i="3"/>
  <c r="G112" i="3"/>
  <c r="H111" i="3"/>
  <c r="G111" i="3"/>
  <c r="H110" i="3"/>
  <c r="G110" i="3"/>
  <c r="H109" i="3"/>
  <c r="G109" i="3"/>
  <c r="H108" i="3"/>
  <c r="G108" i="3"/>
  <c r="H107" i="3"/>
  <c r="G107" i="3"/>
  <c r="H106" i="3"/>
  <c r="G106" i="3"/>
  <c r="G114" i="3" l="1"/>
  <c r="E10" i="3" s="1"/>
  <c r="G3" i="3" s="1"/>
  <c r="H114" i="3"/>
  <c r="R10" i="3" l="1"/>
  <c r="R11" i="3" s="1"/>
  <c r="H115" i="3"/>
  <c r="H98" i="3"/>
  <c r="H101" i="3" s="1"/>
  <c r="I101" i="3" s="1"/>
  <c r="G98" i="3"/>
  <c r="G101" i="3" s="1"/>
  <c r="E11" i="3" l="1"/>
  <c r="G4" i="3" s="1"/>
  <c r="I98" i="3"/>
  <c r="H84" i="3"/>
  <c r="H85" i="3"/>
  <c r="H86" i="3"/>
  <c r="H87" i="3"/>
  <c r="H88" i="3"/>
  <c r="H89" i="3"/>
  <c r="H83" i="3"/>
  <c r="G84" i="3"/>
  <c r="G85" i="3"/>
  <c r="G86" i="3"/>
  <c r="G87" i="3"/>
  <c r="G88" i="3"/>
  <c r="G89" i="3"/>
  <c r="G83" i="3"/>
  <c r="G66" i="2"/>
  <c r="G67" i="2"/>
  <c r="G68" i="2"/>
  <c r="G69" i="2"/>
  <c r="G70" i="2"/>
  <c r="G71" i="2"/>
  <c r="H66" i="2"/>
  <c r="H67" i="2"/>
  <c r="H68" i="2"/>
  <c r="H69" i="2"/>
  <c r="H70" i="2"/>
  <c r="H71" i="2"/>
  <c r="K25" i="2"/>
  <c r="J25" i="2"/>
  <c r="H72" i="2" l="1"/>
  <c r="G72" i="2"/>
  <c r="H90" i="3"/>
  <c r="G90" i="3"/>
  <c r="K27" i="2" l="1"/>
  <c r="J27" i="2"/>
  <c r="L27" i="2" l="1"/>
  <c r="M66" i="3"/>
  <c r="M65" i="3"/>
  <c r="M58" i="3"/>
  <c r="M54" i="3"/>
  <c r="M50" i="3"/>
  <c r="M47" i="3"/>
  <c r="M63" i="3"/>
  <c r="M59" i="3"/>
  <c r="I30" i="3"/>
  <c r="I31" i="3"/>
  <c r="I32" i="3"/>
  <c r="I34" i="3"/>
  <c r="I35" i="3"/>
  <c r="I33" i="3"/>
  <c r="H30" i="3"/>
  <c r="H31" i="3"/>
  <c r="H32" i="3"/>
  <c r="H34" i="3"/>
  <c r="H35" i="3"/>
  <c r="H33" i="3"/>
  <c r="C64" i="3"/>
  <c r="D44" i="3"/>
  <c r="D45" i="3"/>
  <c r="D46" i="3"/>
  <c r="D47" i="3"/>
  <c r="D48" i="3"/>
  <c r="D49" i="3"/>
  <c r="D50" i="3"/>
  <c r="D51" i="3"/>
  <c r="D52" i="3"/>
  <c r="D53" i="3"/>
  <c r="D54" i="3"/>
  <c r="D56" i="3"/>
  <c r="D58" i="3"/>
  <c r="D59" i="3"/>
  <c r="D55" i="3"/>
  <c r="D57" i="3"/>
  <c r="D60" i="3"/>
  <c r="D61" i="3"/>
  <c r="D62" i="3"/>
  <c r="D63" i="3"/>
  <c r="M44" i="3"/>
  <c r="M64" i="3"/>
  <c r="K26" i="2"/>
  <c r="J26" i="2"/>
  <c r="G46" i="2"/>
  <c r="G36" i="2"/>
  <c r="J28" i="2"/>
  <c r="H47" i="2"/>
  <c r="H46" i="2"/>
  <c r="H45" i="2"/>
  <c r="H44" i="2"/>
  <c r="G45" i="2"/>
  <c r="G44" i="2"/>
  <c r="H36" i="2"/>
  <c r="H39" i="2" s="1"/>
  <c r="I39" i="2" s="1"/>
  <c r="K28" i="2"/>
  <c r="L25" i="2"/>
  <c r="L57" i="2"/>
  <c r="L58" i="2" s="1"/>
  <c r="G47" i="2"/>
  <c r="G39" i="2" l="1"/>
  <c r="L36" i="2" s="1"/>
  <c r="M71" i="3"/>
  <c r="M36" i="2"/>
  <c r="F10" i="2"/>
  <c r="H3" i="2" s="1"/>
  <c r="P10" i="2"/>
  <c r="F4" i="7"/>
  <c r="H48" i="2"/>
  <c r="J34" i="3"/>
  <c r="L28" i="2"/>
  <c r="J33" i="3"/>
  <c r="J31" i="3"/>
  <c r="J35" i="3"/>
  <c r="J32" i="3"/>
  <c r="I36" i="2"/>
  <c r="J29" i="2"/>
  <c r="L35" i="2" s="1"/>
  <c r="L26" i="2"/>
  <c r="K29" i="2"/>
  <c r="M35" i="2" s="1"/>
  <c r="I36" i="3"/>
  <c r="H36" i="3"/>
  <c r="H10" i="3"/>
  <c r="J3" i="3" s="1"/>
  <c r="G48" i="2"/>
  <c r="D64" i="3"/>
  <c r="J30" i="3"/>
  <c r="K15" i="3" l="1"/>
  <c r="I10" i="3"/>
  <c r="L37" i="2"/>
  <c r="X24" i="3"/>
  <c r="W22" i="3"/>
  <c r="V20" i="3"/>
  <c r="U18" i="3"/>
  <c r="T16" i="3"/>
  <c r="K17" i="3"/>
  <c r="H23" i="3"/>
  <c r="F19" i="3"/>
  <c r="V19" i="3"/>
  <c r="T15" i="3"/>
  <c r="I24" i="3"/>
  <c r="G20" i="3"/>
  <c r="W20" i="3"/>
  <c r="H21" i="3"/>
  <c r="F16" i="3"/>
  <c r="X23" i="3"/>
  <c r="I23" i="3"/>
  <c r="I21" i="3"/>
  <c r="X22" i="3"/>
  <c r="V18" i="3"/>
  <c r="J15" i="3"/>
  <c r="F15" i="3"/>
  <c r="X21" i="3"/>
  <c r="W19" i="3"/>
  <c r="V17" i="3"/>
  <c r="U15" i="3"/>
  <c r="X20" i="3"/>
  <c r="W18" i="3"/>
  <c r="V16" i="3"/>
  <c r="T24" i="3"/>
  <c r="J24" i="3"/>
  <c r="X19" i="3"/>
  <c r="W17" i="3"/>
  <c r="V15" i="3"/>
  <c r="T23" i="3"/>
  <c r="K24" i="3"/>
  <c r="J23" i="3"/>
  <c r="I20" i="3"/>
  <c r="H18" i="3"/>
  <c r="G16" i="3"/>
  <c r="F24" i="3"/>
  <c r="X15" i="3"/>
  <c r="J19" i="3"/>
  <c r="W24" i="3"/>
  <c r="G23" i="3"/>
  <c r="F17" i="3"/>
  <c r="G18" i="3"/>
  <c r="X18" i="3"/>
  <c r="W16" i="3"/>
  <c r="U24" i="3"/>
  <c r="T22" i="3"/>
  <c r="K23" i="3"/>
  <c r="J22" i="3"/>
  <c r="I19" i="3"/>
  <c r="H17" i="3"/>
  <c r="G15" i="3"/>
  <c r="I18" i="3"/>
  <c r="H15" i="3"/>
  <c r="U21" i="3"/>
  <c r="K20" i="3"/>
  <c r="F22" i="3"/>
  <c r="T18" i="3"/>
  <c r="K19" i="3"/>
  <c r="F21" i="3"/>
  <c r="H20" i="3"/>
  <c r="G17" i="3"/>
  <c r="X17" i="3"/>
  <c r="W15" i="3"/>
  <c r="U23" i="3"/>
  <c r="T21" i="3"/>
  <c r="K22" i="3"/>
  <c r="J21" i="3"/>
  <c r="H16" i="3"/>
  <c r="V23" i="3"/>
  <c r="I16" i="3"/>
  <c r="U20" i="3"/>
  <c r="J18" i="3"/>
  <c r="I22" i="3"/>
  <c r="X16" i="3"/>
  <c r="V24" i="3"/>
  <c r="U22" i="3"/>
  <c r="T20" i="3"/>
  <c r="K21" i="3"/>
  <c r="J20" i="3"/>
  <c r="I17" i="3"/>
  <c r="F23" i="3"/>
  <c r="T19" i="3"/>
  <c r="Q12" i="3" s="1"/>
  <c r="G24" i="3"/>
  <c r="V22" i="3"/>
  <c r="I15" i="3"/>
  <c r="W23" i="3"/>
  <c r="V21" i="3"/>
  <c r="U19" i="3"/>
  <c r="T17" i="3"/>
  <c r="K18" i="3"/>
  <c r="J17" i="3"/>
  <c r="H24" i="3"/>
  <c r="G22" i="3"/>
  <c r="F20" i="3"/>
  <c r="D12" i="3" s="1"/>
  <c r="F5" i="3" s="1"/>
  <c r="J16" i="3"/>
  <c r="G21" i="3"/>
  <c r="W21" i="3"/>
  <c r="U17" i="3"/>
  <c r="K16" i="3"/>
  <c r="H22" i="3"/>
  <c r="F18" i="3"/>
  <c r="U16" i="3"/>
  <c r="G19" i="3"/>
  <c r="H19" i="3"/>
  <c r="Q10" i="3"/>
  <c r="D10" i="3"/>
  <c r="F3" i="3" s="1"/>
  <c r="M37" i="2"/>
  <c r="I8" i="7"/>
  <c r="H11" i="3"/>
  <c r="U10" i="3"/>
  <c r="P11" i="2"/>
  <c r="D8" i="7"/>
  <c r="F11" i="2"/>
  <c r="H4" i="2" s="1"/>
  <c r="H49" i="2"/>
  <c r="O10" i="2" s="1"/>
  <c r="F8" i="7"/>
  <c r="D65" i="3"/>
  <c r="L29" i="2"/>
  <c r="J36" i="3"/>
  <c r="F9" i="7"/>
  <c r="I12" i="3" l="1"/>
  <c r="K5" i="3" s="1"/>
  <c r="K3" i="3"/>
  <c r="Q13" i="3"/>
  <c r="D11" i="3"/>
  <c r="F4" i="3" s="1"/>
  <c r="Q11" i="3"/>
  <c r="I11" i="3"/>
  <c r="K4" i="3" s="1"/>
  <c r="D13" i="3"/>
  <c r="I9" i="7"/>
  <c r="J4" i="3"/>
  <c r="D9" i="7"/>
  <c r="S18" i="2"/>
  <c r="S17" i="2"/>
  <c r="S16" i="2"/>
  <c r="R19" i="2"/>
  <c r="R18" i="2"/>
  <c r="R16" i="2"/>
  <c r="Q19" i="2"/>
  <c r="Q17" i="2"/>
  <c r="R17" i="2"/>
  <c r="Q18" i="2"/>
  <c r="Q16" i="2"/>
  <c r="S19" i="2"/>
  <c r="D10" i="2"/>
  <c r="R12" i="3"/>
  <c r="R13" i="3" s="1"/>
  <c r="G12" i="3"/>
  <c r="I5" i="3" s="1"/>
  <c r="E12" i="3"/>
  <c r="U12" i="3"/>
  <c r="U13" i="3" s="1"/>
  <c r="U11" i="3"/>
  <c r="T12" i="3"/>
  <c r="H12" i="3"/>
  <c r="F12" i="3"/>
  <c r="H5" i="3" s="1"/>
  <c r="S12" i="3"/>
  <c r="S10" i="3"/>
  <c r="F10" i="3"/>
  <c r="H3" i="3" s="1"/>
  <c r="O11" i="2"/>
  <c r="E10" i="2"/>
  <c r="G3" i="2" s="1"/>
  <c r="N10" i="2"/>
  <c r="N11" i="2" s="1"/>
  <c r="E8" i="7"/>
  <c r="I13" i="3" l="1"/>
  <c r="H13" i="3"/>
  <c r="J5" i="3"/>
  <c r="E13" i="3"/>
  <c r="G5" i="3"/>
  <c r="B8" i="7"/>
  <c r="F3" i="2"/>
  <c r="E9" i="7"/>
  <c r="E12" i="2"/>
  <c r="G5" i="2" s="1"/>
  <c r="D12" i="2"/>
  <c r="F5" i="2" s="1"/>
  <c r="G10" i="3"/>
  <c r="I3" i="3" s="1"/>
  <c r="T10" i="3"/>
  <c r="S11" i="3"/>
  <c r="S13" i="3"/>
  <c r="G8" i="7"/>
  <c r="F13" i="3"/>
  <c r="F11" i="3"/>
  <c r="F12" i="2"/>
  <c r="H5" i="2" s="1"/>
  <c r="C8" i="7"/>
  <c r="E11" i="2"/>
  <c r="G4" i="2" s="1"/>
  <c r="D11" i="2"/>
  <c r="F4" i="2" s="1"/>
  <c r="I5" i="2" l="1"/>
  <c r="G9" i="7"/>
  <c r="H4" i="3"/>
  <c r="D13" i="2"/>
  <c r="B9" i="7"/>
  <c r="C9" i="7"/>
  <c r="E13" i="2"/>
  <c r="F13" i="2"/>
  <c r="T11" i="3"/>
  <c r="T13" i="3"/>
  <c r="V10" i="3" s="1"/>
  <c r="V11" i="3" s="1"/>
  <c r="H8" i="7"/>
  <c r="G11" i="3"/>
  <c r="G13" i="3"/>
  <c r="J10" i="3" s="1"/>
  <c r="O12" i="2"/>
  <c r="O13" i="2" s="1"/>
  <c r="P12" i="2"/>
  <c r="P13" i="2" s="1"/>
  <c r="N12" i="2"/>
  <c r="N13" i="2" s="1"/>
  <c r="H10" i="2" l="1"/>
  <c r="J3" i="2" s="1"/>
  <c r="L3" i="3"/>
  <c r="J11" i="3"/>
  <c r="L4" i="3" s="1"/>
  <c r="H9" i="7"/>
  <c r="I4" i="3"/>
  <c r="Q10" i="2"/>
  <c r="B10" i="7" s="1"/>
  <c r="H10" i="7"/>
  <c r="K9" i="7"/>
  <c r="G10" i="7"/>
  <c r="K8" i="7"/>
  <c r="F10" i="7"/>
  <c r="H4" i="7"/>
  <c r="K10" i="7"/>
  <c r="E10" i="7"/>
  <c r="I10" i="7"/>
  <c r="H11" i="2" l="1"/>
  <c r="J4" i="2" s="1"/>
  <c r="J10" i="7"/>
  <c r="J9" i="7"/>
  <c r="Q11" i="2"/>
  <c r="C10" i="7"/>
  <c r="D10" i="7"/>
  <c r="G4" i="7"/>
  <c r="I4" i="7" s="1"/>
  <c r="J8" i="7"/>
</calcChain>
</file>

<file path=xl/sharedStrings.xml><?xml version="1.0" encoding="utf-8"?>
<sst xmlns="http://schemas.openxmlformats.org/spreadsheetml/2006/main" count="413" uniqueCount="262">
  <si>
    <t>Subject</t>
  </si>
  <si>
    <t>Number of Test Units</t>
  </si>
  <si>
    <t>Performance Levels</t>
  </si>
  <si>
    <t>Advanced / Excellent (150)</t>
  </si>
  <si>
    <t>Approaching Basic / Fair (0)</t>
  </si>
  <si>
    <t>Unsatisfactory / Needs Improvement (0)</t>
  </si>
  <si>
    <t>SCI / Biology</t>
  </si>
  <si>
    <t>SS / U.S.History</t>
  </si>
  <si>
    <t>ELA / English I / English II</t>
  </si>
  <si>
    <t>MATH / Algebra I / Geometry</t>
  </si>
  <si>
    <t>Subject Weight</t>
  </si>
  <si>
    <t>Assessment Index by Subject</t>
  </si>
  <si>
    <t>Mastery / Good (25)</t>
  </si>
  <si>
    <t xml:space="preserve">ELA </t>
  </si>
  <si>
    <t>MATH</t>
  </si>
  <si>
    <t>SCI</t>
  </si>
  <si>
    <t>Test Type</t>
  </si>
  <si>
    <t>Total Points Weighted</t>
  </si>
  <si>
    <t>Total Test Units Weighted</t>
  </si>
  <si>
    <t>Sum</t>
  </si>
  <si>
    <t>Weight</t>
  </si>
  <si>
    <t>K-8 Assessment Index</t>
  </si>
  <si>
    <t>K8 Assessment Index</t>
  </si>
  <si>
    <t>Dropout/Credit Index</t>
  </si>
  <si>
    <t>Carnegie Units (Index Point Award)</t>
  </si>
  <si>
    <t>Total Number of Students</t>
  </si>
  <si>
    <t>Total Index Points Awarded</t>
  </si>
  <si>
    <t>7 or more (150)</t>
  </si>
  <si>
    <t>6.5 (125)</t>
  </si>
  <si>
    <t>6 (100)</t>
  </si>
  <si>
    <t>5.5 (75)</t>
  </si>
  <si>
    <t>5 (50)</t>
  </si>
  <si>
    <t>4.5 (25)</t>
  </si>
  <si>
    <t>4 or less (0)</t>
  </si>
  <si>
    <t>3rd year 8th graders (0)</t>
  </si>
  <si>
    <t>Dropout (0)</t>
  </si>
  <si>
    <t xml:space="preserve"> Dropout/Credit Accumulation Index</t>
  </si>
  <si>
    <t>Total Points</t>
  </si>
  <si>
    <t>English II</t>
  </si>
  <si>
    <t>Algebra I</t>
  </si>
  <si>
    <t>Geometry</t>
  </si>
  <si>
    <t>Biology</t>
  </si>
  <si>
    <t>U.S. History</t>
  </si>
  <si>
    <t>English I</t>
  </si>
  <si>
    <t>ACT Composite Score</t>
  </si>
  <si>
    <t>ACT Index Score</t>
  </si>
  <si>
    <t>Grade 12 Number of Test Units</t>
  </si>
  <si>
    <t xml:space="preserve">0-17 </t>
  </si>
  <si>
    <t>18 / Silver</t>
  </si>
  <si>
    <t>ACT Index</t>
  </si>
  <si>
    <t>Student Result</t>
  </si>
  <si>
    <t>HS Diploma plus</t>
  </si>
  <si>
    <t xml:space="preserve">    (a) AP (3+), IB (4+), or CLEP (50+) OR </t>
  </si>
  <si>
    <t xml:space="preserve">    (b) Advanced statewide Jump Start credential.</t>
  </si>
  <si>
    <t xml:space="preserve">    (b) Basic statewide Jump Start credential</t>
  </si>
  <si>
    <t xml:space="preserve">    (b) Basic statewide Jump Start credential </t>
  </si>
  <si>
    <t>Regular HS Diploma (Four-year graduate - Includes Career Diploma student with a regional Jump Start credential)</t>
  </si>
  <si>
    <t>HiSET</t>
  </si>
  <si>
    <t>Non-graduate without HiSET</t>
  </si>
  <si>
    <t xml:space="preserve">5th year graduates </t>
  </si>
  <si>
    <t>6th year graduates</t>
  </si>
  <si>
    <t>Points for Each</t>
  </si>
  <si>
    <t>Cohort Member Count</t>
  </si>
  <si>
    <t xml:space="preserve">    (a) At least one passing course grade for TOPS core curriculum credit of the following type: AP**, college credit, dual enrollment, or IB**;  AND</t>
  </si>
  <si>
    <t>**Students must take the AP/IB exam and pass the course.</t>
  </si>
  <si>
    <t xml:space="preserve">    (a) At least one passing course grade for TOPS core curriculum credit of the following type: AP**, college credit, dual enrollment, or IB**;  OR</t>
  </si>
  <si>
    <t xml:space="preserve">   (a) AP (3+), IB (4+), or CLEP (50+) AND Advanced statewide Jump Start credential OR</t>
  </si>
  <si>
    <t xml:space="preserve">   (b) Earning an associate's degree</t>
  </si>
  <si>
    <t>HiSET plus Jump Start credential</t>
  </si>
  <si>
    <t>Sum (Cohort Graduate Count)</t>
  </si>
  <si>
    <t>Sum (Cohort Member Count)</t>
  </si>
  <si>
    <t>ACT/WorkKeys Index</t>
  </si>
  <si>
    <t>Cohort Grad Rate Index</t>
  </si>
  <si>
    <t>HS SPS Calculator</t>
  </si>
  <si>
    <t>K-8 SPS Calculator</t>
  </si>
  <si>
    <t>ACT/WorkKeys</t>
  </si>
  <si>
    <t>GradRate</t>
  </si>
  <si>
    <t>GradIndex</t>
  </si>
  <si>
    <t>K-8</t>
  </si>
  <si>
    <t>Number of Cohort Members</t>
  </si>
  <si>
    <t>K8 SPS</t>
  </si>
  <si>
    <t>Index</t>
  </si>
  <si>
    <t>Combination SPS Calculator</t>
  </si>
  <si>
    <t>HS SPS</t>
  </si>
  <si>
    <t xml:space="preserve">Number of Eligible Testers </t>
  </si>
  <si>
    <t xml:space="preserve"> HS*</t>
  </si>
  <si>
    <t>K-8 SPS</t>
  </si>
  <si>
    <t>CB SPS</t>
  </si>
  <si>
    <t xml:space="preserve">What is the School Performance Score (SPS) Calculator?
</t>
  </si>
  <si>
    <t xml:space="preserve">How does the calculator work?
</t>
  </si>
  <si>
    <r>
      <t xml:space="preserve">The calculator has two types of fields.  
- Shaded cells:  Do not allow users to input data, as they are prepopulated for calculation purposes. 
- White cells:  For user input data.  </t>
    </r>
    <r>
      <rPr>
        <sz val="11"/>
        <color indexed="8"/>
        <rFont val="Calibri"/>
        <family val="2"/>
        <scheme val="minor"/>
      </rPr>
      <t>When data are added to white cells, new data will be populated in the shaded cells.</t>
    </r>
    <r>
      <rPr>
        <i/>
        <sz val="11"/>
        <color indexed="8"/>
        <rFont val="Calibri"/>
        <family val="2"/>
        <scheme val="minor"/>
      </rPr>
      <t xml:space="preserve">
</t>
    </r>
    <r>
      <rPr>
        <sz val="11"/>
        <rFont val="Calibri"/>
        <family val="2"/>
        <scheme val="minor"/>
      </rPr>
      <t xml:space="preserve">
</t>
    </r>
  </si>
  <si>
    <t xml:space="preserve">Which tables should be completed?
</t>
  </si>
  <si>
    <t>*Please include only full academic year (FAY) students in assessment index calculation calculations. Include students who should have tested but did not.</t>
  </si>
  <si>
    <t>Mastery/Good (100)</t>
  </si>
  <si>
    <t>K-8 Progress Index</t>
  </si>
  <si>
    <r>
      <rPr>
        <sz val="11"/>
        <rFont val="Calibri"/>
        <family val="2"/>
        <scheme val="minor"/>
      </rPr>
      <t xml:space="preserve">Combination schools (includes at least one grade in 3-8 span and one grade from 9-12 span):  complete all tables in tabs </t>
    </r>
    <r>
      <rPr>
        <b/>
        <sz val="11"/>
        <rFont val="Calibri"/>
        <family val="2"/>
        <scheme val="minor"/>
      </rPr>
      <t>K8</t>
    </r>
    <r>
      <rPr>
        <sz val="11"/>
        <rFont val="Calibri"/>
        <family val="2"/>
        <scheme val="minor"/>
      </rPr>
      <t xml:space="preserve"> and </t>
    </r>
    <r>
      <rPr>
        <b/>
        <sz val="11"/>
        <rFont val="Calibri"/>
        <family val="2"/>
        <scheme val="minor"/>
      </rPr>
      <t>HS</t>
    </r>
    <r>
      <rPr>
        <sz val="11"/>
        <rFont val="Calibri"/>
        <family val="2"/>
        <scheme val="minor"/>
      </rPr>
      <t>, as appropriate per grade level configuration.</t>
    </r>
  </si>
  <si>
    <r>
      <t xml:space="preserve">High schools (includes one or more grades in 9-12 grade span): complete all tables as appropriate in tab </t>
    </r>
    <r>
      <rPr>
        <b/>
        <sz val="11"/>
        <color theme="1"/>
        <rFont val="Calibri"/>
        <family val="2"/>
        <scheme val="minor"/>
      </rPr>
      <t xml:space="preserve">HS. </t>
    </r>
    <r>
      <rPr>
        <b/>
        <sz val="11"/>
        <rFont val="Calibri"/>
        <family val="2"/>
        <scheme val="minor"/>
      </rPr>
      <t xml:space="preserve"> Schools should only complete the ACT and  graduation tables if they have a grade 12.</t>
    </r>
  </si>
  <si>
    <r>
      <rPr>
        <sz val="11"/>
        <rFont val="Calibri"/>
        <family val="2"/>
        <scheme val="minor"/>
      </rPr>
      <t>K8 Schools (includes one or more grades in 3-8 grade span)</t>
    </r>
    <r>
      <rPr>
        <sz val="11"/>
        <color theme="1"/>
        <rFont val="Calibri"/>
        <family val="2"/>
        <scheme val="minor"/>
      </rPr>
      <t xml:space="preserve">: complete all tables as appropriate in tab </t>
    </r>
    <r>
      <rPr>
        <b/>
        <sz val="11"/>
        <color theme="1"/>
        <rFont val="Calibri"/>
        <family val="2"/>
        <scheme val="minor"/>
      </rPr>
      <t xml:space="preserve">K8. </t>
    </r>
    <r>
      <rPr>
        <b/>
        <sz val="11"/>
        <rFont val="Calibri"/>
        <family val="2"/>
        <scheme val="minor"/>
      </rPr>
      <t xml:space="preserve"> Schools with no grade 8 should not complete the</t>
    </r>
    <r>
      <rPr>
        <sz val="11"/>
        <rFont val="Calibri"/>
        <family val="2"/>
        <scheme val="minor"/>
      </rPr>
      <t xml:space="preserve"> </t>
    </r>
    <r>
      <rPr>
        <b/>
        <i/>
        <sz val="11"/>
        <rFont val="Calibri"/>
        <family val="2"/>
        <scheme val="minor"/>
      </rPr>
      <t>Dropout/Credit Accumulation Index</t>
    </r>
    <r>
      <rPr>
        <sz val="11"/>
        <rFont val="Calibri"/>
        <family val="2"/>
        <scheme val="minor"/>
      </rPr>
      <t xml:space="preserve"> table.                                                                  </t>
    </r>
    <r>
      <rPr>
        <sz val="11"/>
        <color theme="1"/>
        <rFont val="Calibri"/>
        <family val="2"/>
        <scheme val="minor"/>
      </rPr>
      <t xml:space="preserve">                                      </t>
    </r>
  </si>
  <si>
    <t>LEAP Connect  (Grades 3-8)</t>
  </si>
  <si>
    <t>Level 4                   (150)</t>
  </si>
  <si>
    <t>Level 3                        (100)</t>
  </si>
  <si>
    <t>Level 1                     (0)</t>
  </si>
  <si>
    <t>Strength of Diploma Index</t>
  </si>
  <si>
    <t>Strength of Diploma Index and Cohort Graduation Rate</t>
  </si>
  <si>
    <t>5th year graduates with AP (3+) or IB (4+) CLEP (50+) or Advanced JumpStart Credential</t>
  </si>
  <si>
    <t>Number of students who earned (150)</t>
  </si>
  <si>
    <t>Number of students who earned (115)</t>
  </si>
  <si>
    <t>Number of students who earned (85)</t>
  </si>
  <si>
    <t>Number of students who earned  (25)</t>
  </si>
  <si>
    <t>Number of students who earned (0)</t>
  </si>
  <si>
    <t>Number of students who earned  (150)</t>
  </si>
  <si>
    <t>Number of students who earned  (115)</t>
  </si>
  <si>
    <t>Total number of students</t>
  </si>
  <si>
    <t>Total points awarded</t>
  </si>
  <si>
    <t>Basic  (80)</t>
  </si>
  <si>
    <t>Level 2                               (80)</t>
  </si>
  <si>
    <t>Basic (80)</t>
  </si>
  <si>
    <t>Number of students who earned  (85)</t>
  </si>
  <si>
    <t>*Student performance on the WorkKeys shall be included within the ACT index if a student takes both assessments but the WorkKeys score yields more points than on the ACT.  Student should only be included once, either with ACT or WorkKeys but not both.</t>
  </si>
  <si>
    <t>Strength of Diploma Index*</t>
  </si>
  <si>
    <t>Graduation Rate (Percent)*</t>
  </si>
  <si>
    <t>ACT Index*</t>
  </si>
  <si>
    <t>Number of Students*</t>
  </si>
  <si>
    <t xml:space="preserve">*Include only those students who are full academic year (FAY) for 8th and 9th/transitional 9th grade, unless the student is a dropout. </t>
  </si>
  <si>
    <t>K8 Progress Index</t>
  </si>
  <si>
    <t>Cohort Graduation Rate Index</t>
  </si>
  <si>
    <t>Advanced/Excellent  (50)</t>
  </si>
  <si>
    <t>HS Progress Index</t>
  </si>
  <si>
    <t>Students must be eligible for Steps 1 and 2 to be included in the progress index.</t>
  </si>
  <si>
    <t>Strength of Diploma Index Cohort Member</t>
  </si>
  <si>
    <t>ELPT Index Points</t>
  </si>
  <si>
    <t>Exceeds Trajectory (150)</t>
  </si>
  <si>
    <t>Meets Trajectory (100)</t>
  </si>
  <si>
    <t>Same Or Lower        (0)</t>
  </si>
  <si>
    <t>Same Or Lower (0)</t>
  </si>
  <si>
    <t>HS ELPT Progress Index</t>
  </si>
  <si>
    <t>Grades 9-12</t>
  </si>
  <si>
    <t>K-8 ELPT Progress Index</t>
  </si>
  <si>
    <t>Grades K-8</t>
  </si>
  <si>
    <t>grades 3-8 ELPT</t>
  </si>
  <si>
    <t>HS ELPT</t>
  </si>
  <si>
    <t>LEAP Connect  (Grades 10-11)</t>
  </si>
  <si>
    <t>HS Assessment  Index</t>
  </si>
  <si>
    <t>HS (Grades 9-12)</t>
  </si>
  <si>
    <t xml:space="preserve">                                                   Sum                           </t>
  </si>
  <si>
    <t>LEAP  Assessment Index*</t>
  </si>
  <si>
    <t>LEAP  (Grades 3-8 and HS tests)</t>
  </si>
  <si>
    <t>LEAP 2025</t>
  </si>
  <si>
    <t>K-8 ELPT</t>
  </si>
  <si>
    <t>*It is only the second year of the ELPT assessment, it is not possible to fall in this category for 2018-2019.</t>
  </si>
  <si>
    <t xml:space="preserve">                 *It is only the second year of the ELPT assessment, it is not possible to fall in this category for 2018-2019.</t>
  </si>
  <si>
    <t>For students who score Mastery, the lowest possible points awarded to them in the progress index is 85.</t>
  </si>
  <si>
    <t>For students who score Mastery, the floor, or lowest possible points awarded to them in the progress index, is 85.</t>
  </si>
  <si>
    <t>27/ Platinum</t>
  </si>
  <si>
    <t>22 / Gold</t>
  </si>
  <si>
    <t>At Least One  Above (80)</t>
  </si>
  <si>
    <t>K8 GI</t>
  </si>
  <si>
    <t>DCAI</t>
  </si>
  <si>
    <t>Situations</t>
  </si>
  <si>
    <t>Case</t>
  </si>
  <si>
    <t>K8 AI</t>
  </si>
  <si>
    <t>HS AI</t>
  </si>
  <si>
    <t>HS GI</t>
  </si>
  <si>
    <t>K8 Interest</t>
  </si>
  <si>
    <t>65% K8 AI, 25% K8 GI, 5% DCAI, 5% K8 Interest</t>
  </si>
  <si>
    <t>70% K8 AI, 25% K8 GI, 0% DCAI, 5% K8 Interest</t>
  </si>
  <si>
    <t>95% K8 AI, 0% K8 GI, 0% DCAI, 5% K8 Interest</t>
  </si>
  <si>
    <t>90% K8 AI, 0% K8 GI, 5% DCAI, 5% K8 Interest</t>
  </si>
  <si>
    <t>70% K8 AI, 25% K8 GI, 5% DCAI, 0% K8 Interest</t>
  </si>
  <si>
    <t>95% K8 AI, 0% K8 GI, 5% DCAI, 0% K8 Interest</t>
  </si>
  <si>
    <t>75% K8 AI, 25% K8 GI, 0% DCAI, 0% K8 Interest</t>
  </si>
  <si>
    <t>100% K8 AI, 0% K8 GI, 0% DCAI, 0% K8 Interest</t>
  </si>
  <si>
    <t>HS Interest</t>
  </si>
  <si>
    <t>12.5% HS AI, 12.5% HS GI, 25.0% ACT, 20.0% GradRateIndex, 25.0% GradIndex, 5.0% Interest</t>
  </si>
  <si>
    <t>25.0% HS AI, 0% HS GI, 25.0% ACT, 20.0% GradRateIndex, 25.0% GradIndex, 5.0% Interest</t>
  </si>
  <si>
    <t>25% HS AI, 25% HS GI, 0% ACT, 20.0% GradRateIndex, 25.0% GradIndex, 5.0% Interest</t>
  </si>
  <si>
    <t>50% HS AI, 0% HS GI, 0% ACT, 20.0% GradRateIndex, 25.0% GradIndex, 5.0% Interest</t>
  </si>
  <si>
    <t>0% HS AI, 0% HS GI, 50.0% ACT, 20.0% GradRateIndex, 25.0% GradIndex, 5.0% Interest</t>
  </si>
  <si>
    <t>22.5% HS AI, 22.5% HS GI, 50.0% ACT, 0% GradRateIndex, 0% GradIndex, 5.0% Interest</t>
  </si>
  <si>
    <t>45.0% HS AI, 0% HS GI, 50.0% ACT, 0% GradRateIndex, 0% GradIndex, 5.0% Interest</t>
  </si>
  <si>
    <t>47.5% HS AI, 47.5% HS GI, 0% ACT, 0% GradRateIndex, 0% GradIndex, 5.0% Interest</t>
  </si>
  <si>
    <t>95.0% HS AI, 0% HS GI, 0% ACT, 0% GradRateIndex, 0% GradIndex, 5.0% Interest</t>
  </si>
  <si>
    <t>0% HS AI, 0% HS GI, 95.0% ACT, 0% GradRateIndex, 0% GradIndex, 5.0% Interest</t>
  </si>
  <si>
    <t>25.0% HS AI, 25.0% HS GI, 50.0% ACT, 0% GradRateIndex, 0% GradIndex, 0% Interest</t>
  </si>
  <si>
    <t>50.0% HS AI, 0% HS GI, 50.0% ACT, 0% GradRateIndex, 0% GradIndex, 0% Interest</t>
  </si>
  <si>
    <t>50.0% HS AI, 50.0% HS GI, 0% ACT, 0% GradRateIndex, 0% GradIndex, 0% Interest</t>
  </si>
  <si>
    <t>100.0% HS AI, 0% HS GI, 0% ACT, 0% GradRateIndex, 0% GradIndex, 0% Interest</t>
  </si>
  <si>
    <t>0% HS AI, 0% HS GI, 100.0% ACT, 0% GradRateIndex, 0% GradIndex, 0% Interest</t>
  </si>
  <si>
    <t>12.5% HS AI, 12.5% HS GI, 25.0% ACT, 25.0% GradRateIndex, 25.0% GradIndex, 0% Interest</t>
  </si>
  <si>
    <t>25.0% HS AI, 0% HS GI, 25.0% ACT, 25.0% GradRateIndex, 25.0% GradIndex, 0% Interest</t>
  </si>
  <si>
    <t>25.0% HS AI, 25.0% HS GI, 0% ACT, 25.0% GradRateIndex, 25.0% GradIndex, 0% Interest</t>
  </si>
  <si>
    <t>50.0% HS AI, 0% HS GI, 0% ACT, 25.0% GradRateIndex, 25.0% GradIndex, 0% Interest</t>
  </si>
  <si>
    <t>0% HS AI, 0% HS GI, 50.0% ACT, 25.0% GradRateIndex, 25.0% GradIndex, 0% Interest</t>
  </si>
  <si>
    <t>LEAP Connect</t>
  </si>
  <si>
    <t>N/A</t>
  </si>
  <si>
    <t>*Students taking LEAP Connect assessments are not required to take the ACT but are included in assessment and graduation portions.</t>
  </si>
  <si>
    <t>K8 Interests and Opportunities Index</t>
  </si>
  <si>
    <t>HS Interests and Opportunities</t>
  </si>
  <si>
    <t>HS SPS Calculator Include Interests and Opportunities</t>
  </si>
  <si>
    <t>HS SPS Calculator Exclude Interests and Opportunities</t>
  </si>
  <si>
    <t>K-8 SPS Calculator Include Interests and Opportunities</t>
  </si>
  <si>
    <t>K-8 SPS Calculator Exclude Interests and Opportunities</t>
  </si>
  <si>
    <t>HS Interests and Opportunities Index</t>
  </si>
  <si>
    <t>High School Assessment Index*</t>
  </si>
  <si>
    <t>HS Diploma earned through pathway for students assessed on the LEAP Connect (L1)</t>
  </si>
  <si>
    <t>If there are no ELPT progress points to be reported for any or all points categories, please leave cells in the table blank.</t>
  </si>
  <si>
    <t>If there are no ELPT progress points to report, please leave cells in the table above blank.</t>
  </si>
  <si>
    <t xml:space="preserve">Letter Grade </t>
  </si>
  <si>
    <t>Letter Grade</t>
  </si>
  <si>
    <t xml:space="preserve">* Include full academic year (FAY) students only in the above K-8 assessment index calculation.     </t>
  </si>
  <si>
    <t>Incentive Points</t>
  </si>
  <si>
    <t>HS Diploma not earned by student on pathway for students assessed on the LEAP Connect but remains enrolled and is not older than 22 (L2)</t>
  </si>
  <si>
    <t>HS Diploma not earned by student on pathway for students assessed on the LEAP Connect and did not remain continuously enrolled  (L3)</t>
  </si>
  <si>
    <t>HS Diploma earned through pathway for students assessed on the LEAP Connect with basic credential (L1)</t>
  </si>
  <si>
    <t>HS Diploma earned through pathway for students assessed on the LEAP Connect with advance credential (L1)</t>
  </si>
  <si>
    <t>LEAP Connect Assessment Index*</t>
  </si>
  <si>
    <t>5th year graduates earning an associate's degree</t>
  </si>
  <si>
    <t>2021-2022 Math</t>
  </si>
  <si>
    <t>2021-2022 ELA</t>
  </si>
  <si>
    <t>2021-2022 English I</t>
  </si>
  <si>
    <t>2021-2022  English II</t>
  </si>
  <si>
    <t>2021-2022 Algebra I</t>
  </si>
  <si>
    <t>2021-2022 Geometry</t>
  </si>
  <si>
    <t xml:space="preserve">What ELA assessment index should be used in the K-8 Assessment Index table on K8 tab if schools participated in IAP(Innovative Assessment Program)?
</t>
  </si>
  <si>
    <t>K-8 Progress Index*</t>
  </si>
  <si>
    <t>*The K8 Progress Index is based on the school's average growth for two years.</t>
  </si>
  <si>
    <t>Dropout/Credit Accumulation Index*</t>
  </si>
  <si>
    <t>ELPT Progress Index*</t>
  </si>
  <si>
    <t>2022-2023 ELA</t>
  </si>
  <si>
    <t>2022-2023 Math</t>
  </si>
  <si>
    <t xml:space="preserve">*Grade 12 repeating students included in previous years' SPS are excluded from ACT in 2022-23. </t>
  </si>
  <si>
    <t>HS Progress Index*</t>
  </si>
  <si>
    <t>2022-2023 English I</t>
  </si>
  <si>
    <t>2022-2023  English II</t>
  </si>
  <si>
    <t>2022-2023 Algebra I</t>
  </si>
  <si>
    <t>2022-2023 Geometry</t>
  </si>
  <si>
    <t>HS Assessment Index</t>
  </si>
  <si>
    <t>*Include full academic year (FAY) students only in the above ACT Index calculation.  This includes 12th graders who graduated in December 2022 and students who graduate from grade 11.</t>
  </si>
  <si>
    <t>*Points for high school assessments taken in a middle school grade should not be entered into the Performance Levels section of this table unless the score is from a student who was in grade 8 and took only the Algebra I LEAP 2025 assessment.  For all other grades and subjects, use LEAP 2025 results.  Incentive points can be earned by all grades and subjects.
Beginning in 2022-2023,  for those schools participated in IAP, IAP assessment index shall be used.</t>
  </si>
  <si>
    <r>
      <t xml:space="preserve">The SPS calculator is an Excel tool that helps schools estimate the school performance score for 2022-2023. 
For 2022-2023, there is one calculator with three different tabs: </t>
    </r>
    <r>
      <rPr>
        <b/>
        <i/>
        <sz val="11"/>
        <rFont val="Calibri"/>
        <family val="2"/>
        <scheme val="minor"/>
      </rPr>
      <t>K8, HS and CB</t>
    </r>
    <r>
      <rPr>
        <sz val="11"/>
        <rFont val="Calibri"/>
        <family val="2"/>
        <scheme val="minor"/>
      </rPr>
      <t xml:space="preserve">. Each tab is built to calculate SPS for schools with different grades accordingly. </t>
    </r>
  </si>
  <si>
    <t>In 2022-2023,  the ELA assessment index should include the achievement levels earned by students on the IAP operational end-of-year assessment for grades 6, 7, and 8. The regular grade-appropriate LEAP score can only be used for students who were excused from testing for one or more of the three testing windows. LEAP tests cannot replace the IAP if any end-of-unit IAP assessment was voided or the student was unexcused from testing.</t>
  </si>
  <si>
    <t xml:space="preserve"> Interests and Opportunities Index</t>
  </si>
  <si>
    <t>School-selected Indicators</t>
  </si>
  <si>
    <t>Indicator 1</t>
  </si>
  <si>
    <t>Indicator 2</t>
  </si>
  <si>
    <t>Indicator 3</t>
  </si>
  <si>
    <t>Indicator 4</t>
  </si>
  <si>
    <t>K-12 Interests and Opportunities Index*</t>
  </si>
  <si>
    <t>*The ELPT Progress index compares overall proficiency level from ELPT baseline (first year tested) to current year overall proficiency level.</t>
  </si>
  <si>
    <t>*For the 2022-2023 school year and beyond, the Interests and Opportunities index uses a menu-based approach to assign up to 37.5 points for each of four school-selected indicators.</t>
  </si>
  <si>
    <t xml:space="preserve">For K-8 eligible testers, add all LEAP 2025, LEAP Connect and ELPT testers. Count each student only one time.  For high school testers, count all LEAP 2025, LEAP Connect, ACT and ELPT testers. Count each student only one time. </t>
  </si>
  <si>
    <t xml:space="preserve">* Include full academic year (FAY) initial testing students only in the above high school assessment index calculation.     </t>
  </si>
  <si>
    <t xml:space="preserve">* All students must take the Algebra I and English I high school assessment by their third year of high school, unless they participate in high school level LEAP Connect ELA and math.           </t>
  </si>
  <si>
    <t xml:space="preserve">* Students who take high school assessments in a middle school grade or as T9 have one additional opportunity to retake the test and increase the level if initial achievement levell is Unsatisfactory or Approaching Basic.  The highest achievement level from the first two administrations will be used to award points to the high school.  </t>
  </si>
  <si>
    <t xml:space="preserve">* If student does not retake the high school assessment by their third year of high school, the nonproficient score earned in middle school is used in high school calculations.   </t>
  </si>
  <si>
    <t>Unsatisfactory (0)</t>
  </si>
  <si>
    <t>Approaching Basic (0)</t>
  </si>
  <si>
    <t>Mastery (100)</t>
  </si>
  <si>
    <t>Advanced (150)</t>
  </si>
  <si>
    <t>*The ELPT Progress index is based on  ELPT assessment data from two years:  student's baseline score (first administration) and current year.</t>
  </si>
  <si>
    <t>The high school progress index will be based on data from the prior year and current year.  Students must be eligible for Step 1 (target) and Step 2 (VAM) to be included.</t>
  </si>
  <si>
    <t>Indlcator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</si>
</sst>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0_);\(0\)"/>
    <numFmt numFmtId="166" formatCode="0.0_);\(0.0\)"/>
    <numFmt numFmtId="167" formatCode="0.000"/>
    <numFmt numFmtId="168" formatCode="0.0%"/>
  </numFmts>
  <fonts count="25" x14ac:knownFonts="1">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10"/>
      <name val="Arial"/>
      <family val="2"/>
    </font>
    <font>
      <b/>
      <sz val="10"/>
      <color theme="0"/>
      <name val="Calibri"/>
      <family val="2"/>
      <scheme val="minor"/>
    </font>
    <font>
      <b/>
      <sz val="11"/>
      <color theme="0"/>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b/>
      <sz val="9"/>
      <name val="Arial"/>
      <family val="2"/>
    </font>
    <font>
      <sz val="9"/>
      <name val="Calibri"/>
      <family val="2"/>
      <scheme val="minor"/>
    </font>
    <font>
      <sz val="9"/>
      <name val="Arial"/>
      <family val="2"/>
    </font>
    <font>
      <b/>
      <i/>
      <sz val="11"/>
      <color theme="1"/>
      <name val="Calibri"/>
      <family val="2"/>
      <scheme val="minor"/>
    </font>
    <font>
      <sz val="11"/>
      <name val="Calibri"/>
      <family val="2"/>
      <scheme val="minor"/>
    </font>
    <font>
      <i/>
      <sz val="11"/>
      <color indexed="8"/>
      <name val="Calibri"/>
      <family val="2"/>
      <scheme val="minor"/>
    </font>
    <font>
      <b/>
      <i/>
      <sz val="11"/>
      <name val="Calibri"/>
      <family val="2"/>
      <scheme val="minor"/>
    </font>
    <font>
      <b/>
      <sz val="11"/>
      <color theme="1"/>
      <name val="Calibri"/>
      <family val="2"/>
      <scheme val="minor"/>
    </font>
    <font>
      <sz val="11"/>
      <color indexed="8"/>
      <name val="Calibri"/>
      <family val="2"/>
      <scheme val="minor"/>
    </font>
    <font>
      <sz val="11"/>
      <color rgb="FFFF0000"/>
      <name val="Calibri"/>
      <family val="2"/>
      <scheme val="minor"/>
    </font>
    <font>
      <b/>
      <sz val="11"/>
      <name val="Calibri"/>
      <family val="2"/>
      <scheme val="minor"/>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dashed">
        <color auto="1"/>
      </bottom>
      <diagonal/>
    </border>
    <border>
      <left/>
      <right/>
      <top style="dashed">
        <color auto="1"/>
      </top>
      <bottom style="dashed">
        <color auto="1"/>
      </bottom>
      <diagonal/>
    </border>
  </borders>
  <cellStyleXfs count="34">
    <xf numFmtId="0" fontId="0" fillId="0" borderId="0"/>
    <xf numFmtId="0" fontId="2" fillId="0" borderId="0"/>
    <xf numFmtId="0" fontId="1" fillId="0" borderId="0"/>
    <xf numFmtId="0" fontId="3" fillId="0" borderId="0"/>
    <xf numFmtId="43"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2" fillId="0" borderId="0"/>
    <xf numFmtId="0" fontId="1" fillId="0" borderId="0"/>
    <xf numFmtId="43"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5" fillId="0" borderId="0"/>
    <xf numFmtId="0" fontId="5" fillId="0" borderId="0"/>
    <xf numFmtId="0" fontId="2" fillId="0" borderId="0"/>
    <xf numFmtId="0" fontId="2" fillId="0" borderId="0"/>
  </cellStyleXfs>
  <cellXfs count="302">
    <xf numFmtId="0" fontId="0" fillId="0" borderId="0" xfId="0"/>
    <xf numFmtId="0" fontId="12" fillId="3" borderId="1" xfId="1" applyFont="1" applyFill="1" applyBorder="1" applyAlignment="1" applyProtection="1">
      <alignment horizontal="center" vertical="center" wrapText="1"/>
      <protection hidden="1"/>
    </xf>
    <xf numFmtId="0" fontId="13" fillId="0" borderId="0" xfId="1" applyFont="1" applyFill="1" applyBorder="1" applyAlignment="1" applyProtection="1">
      <alignment horizontal="center" vertical="center" wrapText="1"/>
      <protection hidden="1"/>
    </xf>
    <xf numFmtId="0" fontId="12" fillId="3" borderId="1" xfId="33" applyFont="1" applyFill="1" applyBorder="1" applyAlignment="1" applyProtection="1">
      <alignment horizontal="center"/>
      <protection hidden="1"/>
    </xf>
    <xf numFmtId="0" fontId="14" fillId="2" borderId="1" xfId="33" applyFont="1" applyFill="1" applyBorder="1" applyAlignment="1" applyProtection="1">
      <alignment horizontal="center"/>
      <protection locked="0"/>
    </xf>
    <xf numFmtId="0" fontId="13" fillId="0" borderId="0" xfId="33" applyFont="1" applyFill="1" applyBorder="1" applyAlignment="1" applyProtection="1">
      <alignment horizontal="center"/>
      <protection hidden="1"/>
    </xf>
    <xf numFmtId="0" fontId="13" fillId="0" borderId="0" xfId="33" applyFont="1" applyFill="1" applyBorder="1" applyAlignment="1" applyProtection="1">
      <alignment wrapText="1"/>
      <protection hidden="1"/>
    </xf>
    <xf numFmtId="0" fontId="12" fillId="3" borderId="1" xfId="1" applyFont="1" applyFill="1" applyBorder="1" applyAlignment="1" applyProtection="1">
      <alignment horizontal="center" vertical="center"/>
      <protection hidden="1"/>
    </xf>
    <xf numFmtId="0" fontId="14" fillId="2" borderId="1" xfId="1" applyFont="1" applyFill="1" applyBorder="1" applyAlignment="1" applyProtection="1">
      <alignment horizontal="center" vertical="center"/>
      <protection locked="0"/>
    </xf>
    <xf numFmtId="0" fontId="14" fillId="0" borderId="1" xfId="1" applyFont="1" applyFill="1" applyBorder="1" applyAlignment="1" applyProtection="1">
      <alignment horizontal="center" vertical="center"/>
      <protection locked="0"/>
    </xf>
    <xf numFmtId="0" fontId="12" fillId="3" borderId="2" xfId="1" applyFont="1" applyFill="1" applyBorder="1" applyAlignment="1" applyProtection="1">
      <alignment horizontal="center" vertical="center"/>
      <protection hidden="1"/>
    </xf>
    <xf numFmtId="0" fontId="12" fillId="3" borderId="1" xfId="25" applyFont="1" applyFill="1" applyBorder="1" applyAlignment="1" applyProtection="1">
      <alignment horizontal="center" vertical="center"/>
      <protection hidden="1"/>
    </xf>
    <xf numFmtId="0" fontId="12" fillId="3" borderId="1" xfId="25" applyFont="1" applyFill="1" applyBorder="1" applyAlignment="1" applyProtection="1">
      <alignment horizontal="center" vertical="center" wrapText="1"/>
      <protection hidden="1"/>
    </xf>
    <xf numFmtId="164" fontId="12" fillId="3" borderId="1" xfId="25" applyNumberFormat="1" applyFont="1" applyFill="1" applyBorder="1" applyAlignment="1" applyProtection="1">
      <alignment horizontal="center" vertical="center"/>
      <protection hidden="1"/>
    </xf>
    <xf numFmtId="0" fontId="14" fillId="2" borderId="1" xfId="25" applyFont="1" applyFill="1" applyBorder="1" applyAlignment="1" applyProtection="1">
      <alignment horizontal="center" vertical="center"/>
      <protection locked="0"/>
    </xf>
    <xf numFmtId="0" fontId="12" fillId="0" borderId="0" xfId="1" applyFont="1" applyFill="1" applyBorder="1" applyAlignment="1" applyProtection="1">
      <alignment vertical="center" wrapText="1"/>
      <protection hidden="1"/>
    </xf>
    <xf numFmtId="0" fontId="12" fillId="0" borderId="0" xfId="1" applyFont="1" applyFill="1" applyBorder="1" applyAlignment="1" applyProtection="1">
      <alignment horizontal="center" vertical="center" wrapText="1"/>
      <protection hidden="1"/>
    </xf>
    <xf numFmtId="0" fontId="12" fillId="0" borderId="0" xfId="1" applyFont="1" applyFill="1" applyBorder="1" applyAlignment="1" applyProtection="1">
      <alignment horizontal="left" vertical="center" wrapText="1"/>
      <protection hidden="1"/>
    </xf>
    <xf numFmtId="164" fontId="11" fillId="3" borderId="1" xfId="30" applyNumberFormat="1" applyFont="1" applyFill="1" applyBorder="1" applyAlignment="1" applyProtection="1">
      <alignment vertical="center"/>
      <protection hidden="1"/>
    </xf>
    <xf numFmtId="164" fontId="11" fillId="3" borderId="1" xfId="30" applyNumberFormat="1" applyFont="1" applyFill="1" applyBorder="1" applyAlignment="1" applyProtection="1">
      <alignment vertical="center" wrapText="1"/>
      <protection hidden="1"/>
    </xf>
    <xf numFmtId="0" fontId="10" fillId="3" borderId="1" xfId="30" applyFont="1" applyFill="1" applyBorder="1" applyAlignment="1" applyProtection="1">
      <alignment horizontal="center" vertical="center" wrapText="1"/>
      <protection hidden="1"/>
    </xf>
    <xf numFmtId="0" fontId="12" fillId="3" borderId="1" xfId="30" applyFont="1" applyFill="1" applyBorder="1" applyAlignment="1" applyProtection="1">
      <alignment horizontal="center" vertical="center" wrapText="1"/>
      <protection hidden="1"/>
    </xf>
    <xf numFmtId="0" fontId="12" fillId="0" borderId="0" xfId="1" applyFont="1" applyBorder="1" applyAlignment="1" applyProtection="1">
      <alignment vertical="center"/>
      <protection hidden="1"/>
    </xf>
    <xf numFmtId="0" fontId="9" fillId="0" borderId="0" xfId="0" applyFont="1" applyFill="1" applyBorder="1" applyProtection="1">
      <protection hidden="1"/>
    </xf>
    <xf numFmtId="0" fontId="14" fillId="0" borderId="0" xfId="0" applyFont="1" applyFill="1" applyBorder="1" applyProtection="1">
      <protection hidden="1"/>
    </xf>
    <xf numFmtId="0" fontId="16" fillId="2" borderId="12" xfId="25" applyFont="1" applyFill="1" applyBorder="1" applyAlignment="1" applyProtection="1">
      <alignment horizontal="left" vertical="center" wrapText="1"/>
      <protection hidden="1"/>
    </xf>
    <xf numFmtId="0" fontId="10" fillId="0" borderId="0" xfId="0" applyFont="1" applyFill="1" applyBorder="1" applyAlignment="1" applyProtection="1">
      <alignment horizontal="center" vertical="center"/>
      <protection hidden="1"/>
    </xf>
    <xf numFmtId="0" fontId="0" fillId="0" borderId="0" xfId="0" applyProtection="1">
      <protection hidden="1"/>
    </xf>
    <xf numFmtId="0" fontId="16" fillId="2" borderId="0" xfId="25" applyFont="1" applyFill="1" applyAlignment="1" applyProtection="1">
      <alignment horizontal="justify" vertical="top" wrapText="1"/>
      <protection hidden="1"/>
    </xf>
    <xf numFmtId="0" fontId="9" fillId="0" borderId="0" xfId="0" applyFont="1" applyBorder="1" applyProtection="1">
      <protection hidden="1"/>
    </xf>
    <xf numFmtId="0" fontId="10" fillId="0" borderId="0" xfId="0" applyFont="1" applyFill="1" applyBorder="1" applyProtection="1">
      <protection hidden="1"/>
    </xf>
    <xf numFmtId="0" fontId="0" fillId="2" borderId="0" xfId="25" applyFont="1" applyFill="1" applyAlignment="1" applyProtection="1">
      <alignment horizontal="justify" vertical="center" wrapText="1"/>
      <protection hidden="1"/>
    </xf>
    <xf numFmtId="0" fontId="1" fillId="4" borderId="0" xfId="25" applyFont="1" applyFill="1" applyAlignment="1" applyProtection="1">
      <alignment horizontal="justify" vertical="center" wrapText="1"/>
      <protection hidden="1"/>
    </xf>
    <xf numFmtId="0" fontId="9" fillId="0" borderId="0" xfId="0" applyFont="1" applyProtection="1">
      <protection hidden="1"/>
    </xf>
    <xf numFmtId="0" fontId="9" fillId="0" borderId="0" xfId="0" applyFont="1" applyFill="1" applyBorder="1" applyAlignment="1" applyProtection="1">
      <alignment wrapText="1"/>
      <protection hidden="1"/>
    </xf>
    <xf numFmtId="0" fontId="10" fillId="3" borderId="1" xfId="0" applyFont="1" applyFill="1" applyBorder="1" applyAlignment="1" applyProtection="1">
      <alignment horizontal="center" vertical="center" wrapText="1"/>
      <protection hidden="1"/>
    </xf>
    <xf numFmtId="0" fontId="9" fillId="0" borderId="0" xfId="0" applyFont="1" applyBorder="1" applyAlignment="1" applyProtection="1">
      <alignment horizontal="center" vertical="center"/>
      <protection hidden="1"/>
    </xf>
    <xf numFmtId="0" fontId="11" fillId="0" borderId="0" xfId="0" applyFont="1" applyFill="1" applyBorder="1" applyAlignment="1" applyProtection="1">
      <alignment vertical="center"/>
      <protection hidden="1"/>
    </xf>
    <xf numFmtId="0" fontId="4" fillId="4" borderId="0" xfId="25" applyFont="1" applyFill="1" applyBorder="1" applyAlignment="1" applyProtection="1">
      <alignment horizontal="center"/>
      <protection hidden="1"/>
    </xf>
    <xf numFmtId="0" fontId="2" fillId="0" borderId="0" xfId="25" applyProtection="1">
      <protection hidden="1"/>
    </xf>
    <xf numFmtId="0" fontId="16" fillId="2" borderId="0" xfId="25" applyFont="1" applyFill="1" applyAlignment="1" applyProtection="1">
      <alignment horizontal="justify" wrapText="1"/>
      <protection hidden="1"/>
    </xf>
    <xf numFmtId="0" fontId="16" fillId="2" borderId="0" xfId="25" applyFont="1" applyFill="1" applyAlignment="1" applyProtection="1">
      <alignment horizontal="left" vertical="center" wrapText="1"/>
      <protection hidden="1"/>
    </xf>
    <xf numFmtId="0" fontId="17" fillId="2" borderId="3" xfId="25" applyFont="1" applyFill="1" applyBorder="1" applyAlignment="1" applyProtection="1">
      <alignment horizontal="left" vertical="top" wrapText="1"/>
      <protection hidden="1"/>
    </xf>
    <xf numFmtId="0" fontId="12" fillId="3" borderId="1" xfId="0"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protection hidden="1"/>
    </xf>
    <xf numFmtId="0" fontId="9" fillId="0" borderId="0" xfId="0" applyFont="1" applyAlignment="1" applyProtection="1">
      <alignment wrapText="1"/>
      <protection hidden="1"/>
    </xf>
    <xf numFmtId="9" fontId="9" fillId="0" borderId="0" xfId="0" applyNumberFormat="1"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167" fontId="9" fillId="0" borderId="0" xfId="0" applyNumberFormat="1" applyFont="1" applyFill="1" applyBorder="1" applyAlignment="1" applyProtection="1">
      <alignment horizontal="center" vertical="center"/>
      <protection hidden="1"/>
    </xf>
    <xf numFmtId="0" fontId="12" fillId="3" borderId="2" xfId="0" applyFont="1" applyFill="1" applyBorder="1" applyAlignment="1" applyProtection="1">
      <alignment horizontal="center" vertical="center" wrapText="1"/>
      <protection hidden="1"/>
    </xf>
    <xf numFmtId="0" fontId="12" fillId="3" borderId="1" xfId="0" applyFont="1" applyFill="1" applyBorder="1" applyAlignment="1" applyProtection="1">
      <alignment horizontal="center" vertical="center"/>
      <protection hidden="1"/>
    </xf>
    <xf numFmtId="0" fontId="10" fillId="0" borderId="0" xfId="0" applyFont="1" applyAlignment="1" applyProtection="1">
      <alignment vertical="center" wrapText="1"/>
      <protection hidden="1"/>
    </xf>
    <xf numFmtId="0" fontId="9" fillId="0" borderId="1" xfId="0" applyFont="1" applyBorder="1" applyAlignment="1" applyProtection="1">
      <alignment horizontal="center"/>
      <protection locked="0"/>
    </xf>
    <xf numFmtId="0" fontId="9" fillId="0" borderId="1" xfId="0" applyFont="1" applyFill="1" applyBorder="1" applyAlignment="1" applyProtection="1">
      <alignment horizontal="center" vertical="center"/>
      <protection locked="0"/>
    </xf>
    <xf numFmtId="0" fontId="8" fillId="0" borderId="0" xfId="0" applyFont="1" applyProtection="1">
      <protection hidden="1"/>
    </xf>
    <xf numFmtId="0" fontId="8" fillId="5" borderId="1" xfId="0" applyFont="1" applyFill="1" applyBorder="1" applyAlignment="1" applyProtection="1">
      <alignment horizontal="center" vertical="center"/>
      <protection hidden="1"/>
    </xf>
    <xf numFmtId="164" fontId="8" fillId="5" borderId="1" xfId="0" applyNumberFormat="1" applyFont="1" applyFill="1" applyBorder="1" applyAlignment="1" applyProtection="1">
      <alignment horizontal="center" vertical="center"/>
      <protection hidden="1"/>
    </xf>
    <xf numFmtId="9" fontId="8" fillId="5" borderId="1" xfId="0" applyNumberFormat="1" applyFont="1" applyFill="1" applyBorder="1" applyAlignment="1" applyProtection="1">
      <alignment horizontal="center" vertical="center"/>
      <protection hidden="1"/>
    </xf>
    <xf numFmtId="168" fontId="8" fillId="5" borderId="1" xfId="0"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locked="0"/>
    </xf>
    <xf numFmtId="0" fontId="10" fillId="3" borderId="2" xfId="0" applyFont="1" applyFill="1" applyBorder="1" applyAlignment="1" applyProtection="1">
      <alignment vertical="center" wrapText="1"/>
      <protection hidden="1"/>
    </xf>
    <xf numFmtId="0" fontId="10" fillId="3" borderId="2" xfId="0" applyFont="1" applyFill="1" applyBorder="1" applyAlignment="1" applyProtection="1">
      <alignment horizontal="center" vertical="center"/>
      <protection hidden="1"/>
    </xf>
    <xf numFmtId="0" fontId="14" fillId="2" borderId="1" xfId="25" applyFont="1" applyFill="1" applyBorder="1" applyAlignment="1" applyProtection="1">
      <alignment horizontal="center" wrapText="1"/>
      <protection locked="0"/>
    </xf>
    <xf numFmtId="1" fontId="12" fillId="7" borderId="1" xfId="1" applyNumberFormat="1" applyFont="1" applyFill="1" applyBorder="1" applyAlignment="1" applyProtection="1">
      <alignment horizontal="center" vertical="center"/>
      <protection hidden="1"/>
    </xf>
    <xf numFmtId="1" fontId="12" fillId="7" borderId="13" xfId="1" applyNumberFormat="1" applyFont="1" applyFill="1" applyBorder="1" applyAlignment="1" applyProtection="1">
      <alignment horizontal="center" vertical="center"/>
      <protection hidden="1"/>
    </xf>
    <xf numFmtId="1" fontId="12" fillId="7" borderId="15" xfId="1" applyNumberFormat="1" applyFont="1" applyFill="1" applyBorder="1" applyAlignment="1" applyProtection="1">
      <alignment horizontal="center" vertical="center"/>
      <protection hidden="1"/>
    </xf>
    <xf numFmtId="164" fontId="9" fillId="7" borderId="1" xfId="0" applyNumberFormat="1" applyFont="1" applyFill="1" applyBorder="1" applyAlignment="1" applyProtection="1">
      <alignment horizontal="center" vertical="center"/>
      <protection hidden="1"/>
    </xf>
    <xf numFmtId="0" fontId="9" fillId="7" borderId="1" xfId="0" applyFont="1" applyFill="1" applyBorder="1" applyAlignment="1" applyProtection="1">
      <alignment horizontal="center" vertical="center"/>
      <protection hidden="1"/>
    </xf>
    <xf numFmtId="9" fontId="9" fillId="7" borderId="1" xfId="0" applyNumberFormat="1" applyFont="1" applyFill="1" applyBorder="1" applyAlignment="1" applyProtection="1">
      <alignment horizontal="center" vertical="center"/>
      <protection hidden="1"/>
    </xf>
    <xf numFmtId="1" fontId="14" fillId="7" borderId="1" xfId="1" applyNumberFormat="1" applyFont="1" applyFill="1" applyBorder="1" applyAlignment="1" applyProtection="1">
      <alignment horizontal="center" vertical="center"/>
      <protection hidden="1"/>
    </xf>
    <xf numFmtId="0" fontId="15" fillId="7" borderId="1" xfId="1" applyFont="1" applyFill="1" applyBorder="1" applyAlignment="1" applyProtection="1">
      <alignment horizontal="center" vertical="center"/>
      <protection hidden="1"/>
    </xf>
    <xf numFmtId="164" fontId="15" fillId="7" borderId="1" xfId="1" applyNumberFormat="1" applyFont="1" applyFill="1" applyBorder="1" applyAlignment="1" applyProtection="1">
      <alignment horizontal="center" vertical="center"/>
      <protection hidden="1"/>
    </xf>
    <xf numFmtId="0" fontId="12" fillId="7" borderId="1" xfId="1" applyFont="1" applyFill="1" applyBorder="1" applyAlignment="1" applyProtection="1">
      <alignment horizontal="center" vertical="center"/>
      <protection hidden="1"/>
    </xf>
    <xf numFmtId="1" fontId="15" fillId="7" borderId="1" xfId="1" applyNumberFormat="1" applyFont="1" applyFill="1" applyBorder="1" applyAlignment="1" applyProtection="1">
      <alignment horizontal="center" vertical="center"/>
      <protection hidden="1"/>
    </xf>
    <xf numFmtId="164" fontId="14" fillId="7" borderId="1" xfId="1" applyNumberFormat="1" applyFont="1" applyFill="1" applyBorder="1" applyAlignment="1" applyProtection="1">
      <alignment horizontal="center" vertical="center" wrapText="1"/>
      <protection hidden="1"/>
    </xf>
    <xf numFmtId="1" fontId="12" fillId="7" borderId="1" xfId="1" applyNumberFormat="1" applyFont="1" applyFill="1" applyBorder="1" applyAlignment="1" applyProtection="1">
      <alignment horizontal="center" vertical="center" wrapText="1"/>
      <protection hidden="1"/>
    </xf>
    <xf numFmtId="165" fontId="12" fillId="7" borderId="1" xfId="29" applyNumberFormat="1" applyFont="1" applyFill="1" applyBorder="1" applyAlignment="1" applyProtection="1">
      <alignment horizontal="center" wrapText="1"/>
      <protection hidden="1"/>
    </xf>
    <xf numFmtId="1" fontId="13" fillId="7" borderId="1" xfId="1" applyNumberFormat="1" applyFont="1" applyFill="1" applyBorder="1" applyAlignment="1" applyProtection="1">
      <alignment horizontal="center" vertical="center"/>
      <protection hidden="1"/>
    </xf>
    <xf numFmtId="164" fontId="13" fillId="7" borderId="1" xfId="1" applyNumberFormat="1" applyFont="1" applyFill="1" applyBorder="1" applyAlignment="1" applyProtection="1">
      <alignment horizontal="center" vertical="center"/>
      <protection hidden="1"/>
    </xf>
    <xf numFmtId="0" fontId="10" fillId="7" borderId="1" xfId="0" applyFont="1" applyFill="1" applyBorder="1" applyAlignment="1" applyProtection="1">
      <alignment horizontal="center" vertical="center"/>
      <protection hidden="1"/>
    </xf>
    <xf numFmtId="166" fontId="12" fillId="7" borderId="1" xfId="29" applyNumberFormat="1" applyFont="1" applyFill="1" applyBorder="1" applyAlignment="1" applyProtection="1">
      <alignment horizontal="center"/>
      <protection hidden="1"/>
    </xf>
    <xf numFmtId="168" fontId="9" fillId="7" borderId="1" xfId="0" applyNumberFormat="1" applyFont="1" applyFill="1" applyBorder="1" applyAlignment="1" applyProtection="1">
      <alignment horizontal="center" vertical="center"/>
      <protection hidden="1"/>
    </xf>
    <xf numFmtId="0" fontId="12" fillId="7" borderId="1" xfId="33" applyFont="1" applyFill="1" applyBorder="1" applyAlignment="1" applyProtection="1">
      <alignment horizontal="center"/>
      <protection hidden="1"/>
    </xf>
    <xf numFmtId="0" fontId="14" fillId="7" borderId="1" xfId="33" applyFont="1" applyFill="1" applyBorder="1" applyAlignment="1" applyProtection="1">
      <alignment horizontal="center"/>
      <protection hidden="1"/>
    </xf>
    <xf numFmtId="166" fontId="14" fillId="7" borderId="1" xfId="27" applyNumberFormat="1" applyFont="1" applyFill="1" applyBorder="1" applyAlignment="1" applyProtection="1">
      <alignment horizontal="center" vertical="center"/>
      <protection hidden="1"/>
    </xf>
    <xf numFmtId="166" fontId="10" fillId="7" borderId="1" xfId="27" applyNumberFormat="1" applyFont="1" applyFill="1" applyBorder="1" applyAlignment="1" applyProtection="1">
      <alignment horizontal="center" vertical="center"/>
      <protection hidden="1"/>
    </xf>
    <xf numFmtId="164" fontId="10" fillId="7" borderId="1" xfId="25" applyNumberFormat="1" applyFont="1" applyFill="1" applyBorder="1" applyAlignment="1" applyProtection="1">
      <alignment horizontal="center" vertical="center"/>
      <protection hidden="1"/>
    </xf>
    <xf numFmtId="165" fontId="12" fillId="7" borderId="1" xfId="27" applyNumberFormat="1" applyFont="1" applyFill="1" applyBorder="1" applyAlignment="1" applyProtection="1">
      <alignment horizontal="center" vertical="center" wrapText="1"/>
      <protection hidden="1"/>
    </xf>
    <xf numFmtId="0" fontId="22" fillId="2" borderId="0" xfId="25" applyFont="1" applyFill="1" applyAlignment="1" applyProtection="1">
      <alignment horizontal="justify" vertical="center" wrapText="1"/>
      <protection hidden="1"/>
    </xf>
    <xf numFmtId="0" fontId="17" fillId="2" borderId="0" xfId="25" applyFont="1" applyFill="1" applyAlignment="1" applyProtection="1">
      <alignment horizontal="left" wrapText="1"/>
      <protection hidden="1"/>
    </xf>
    <xf numFmtId="0" fontId="12" fillId="0" borderId="0" xfId="1" applyFont="1" applyFill="1" applyBorder="1" applyAlignment="1" applyProtection="1">
      <alignment horizontal="left" vertical="center"/>
      <protection hidden="1"/>
    </xf>
    <xf numFmtId="0" fontId="12" fillId="3" borderId="1" xfId="1" applyFont="1" applyFill="1" applyBorder="1" applyAlignment="1" applyProtection="1">
      <alignment horizontal="center" vertical="center"/>
      <protection hidden="1"/>
    </xf>
    <xf numFmtId="0" fontId="12" fillId="3" borderId="1" xfId="1" applyFont="1" applyFill="1" applyBorder="1" applyAlignment="1" applyProtection="1">
      <alignment horizontal="center" vertical="center" wrapText="1"/>
      <protection hidden="1"/>
    </xf>
    <xf numFmtId="164" fontId="14" fillId="0" borderId="0" xfId="1"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wrapText="1"/>
      <protection hidden="1"/>
    </xf>
    <xf numFmtId="0" fontId="9" fillId="7" borderId="15" xfId="0" applyFont="1" applyFill="1" applyBorder="1" applyAlignment="1" applyProtection="1">
      <alignment horizontal="center" vertical="center"/>
      <protection hidden="1"/>
    </xf>
    <xf numFmtId="0" fontId="10" fillId="3" borderId="15" xfId="0" applyFont="1" applyFill="1" applyBorder="1" applyAlignment="1" applyProtection="1">
      <alignment horizontal="center" vertical="center"/>
      <protection hidden="1"/>
    </xf>
    <xf numFmtId="0" fontId="10" fillId="3" borderId="16" xfId="0" applyFont="1" applyFill="1" applyBorder="1" applyAlignment="1" applyProtection="1">
      <alignment horizontal="center" vertical="center"/>
      <protection hidden="1"/>
    </xf>
    <xf numFmtId="0" fontId="9" fillId="0" borderId="16" xfId="0" applyFont="1" applyBorder="1" applyAlignment="1" applyProtection="1">
      <alignment horizontal="center" vertical="center"/>
      <protection locked="0"/>
    </xf>
    <xf numFmtId="0" fontId="9" fillId="7" borderId="16" xfId="0" applyFont="1" applyFill="1" applyBorder="1" applyAlignment="1" applyProtection="1">
      <alignment horizontal="center" vertical="center"/>
      <protection hidden="1"/>
    </xf>
    <xf numFmtId="0" fontId="0" fillId="2" borderId="17" xfId="25" applyFont="1" applyFill="1" applyBorder="1" applyAlignment="1" applyProtection="1">
      <alignment horizontal="left" vertical="center" wrapText="1"/>
      <protection hidden="1"/>
    </xf>
    <xf numFmtId="0" fontId="0" fillId="2" borderId="18" xfId="25" applyFont="1" applyFill="1" applyBorder="1" applyAlignment="1" applyProtection="1">
      <alignment horizontal="left" wrapText="1"/>
      <protection hidden="1"/>
    </xf>
    <xf numFmtId="0" fontId="10" fillId="3" borderId="1" xfId="0" applyFont="1" applyFill="1" applyBorder="1" applyAlignment="1" applyProtection="1">
      <alignment horizontal="center" vertical="center"/>
      <protection hidden="1"/>
    </xf>
    <xf numFmtId="0" fontId="10" fillId="6" borderId="2" xfId="0" applyFont="1" applyFill="1" applyBorder="1" applyAlignment="1" applyProtection="1">
      <alignment horizontal="left" vertical="center"/>
      <protection hidden="1"/>
    </xf>
    <xf numFmtId="0" fontId="10" fillId="6" borderId="5" xfId="0" applyFont="1" applyFill="1" applyBorder="1" applyAlignment="1" applyProtection="1">
      <alignment horizontal="left" vertical="center"/>
      <protection hidden="1"/>
    </xf>
    <xf numFmtId="0" fontId="12" fillId="3" borderId="1" xfId="1" applyFont="1" applyFill="1" applyBorder="1" applyAlignment="1" applyProtection="1">
      <alignment horizontal="center" vertical="center" wrapText="1"/>
      <protection hidden="1"/>
    </xf>
    <xf numFmtId="0" fontId="12" fillId="3" borderId="1" xfId="1" applyFont="1" applyFill="1" applyBorder="1" applyAlignment="1" applyProtection="1">
      <alignment horizontal="center" vertical="center"/>
      <protection hidden="1"/>
    </xf>
    <xf numFmtId="0" fontId="12" fillId="3" borderId="1" xfId="1" applyFont="1" applyFill="1" applyBorder="1" applyAlignment="1" applyProtection="1">
      <alignment horizontal="center" vertical="center" wrapText="1"/>
      <protection hidden="1"/>
    </xf>
    <xf numFmtId="0" fontId="12" fillId="3" borderId="1" xfId="1" applyFont="1" applyFill="1" applyBorder="1" applyAlignment="1" applyProtection="1">
      <alignment horizontal="center" vertical="center"/>
      <protection hidden="1"/>
    </xf>
    <xf numFmtId="0" fontId="14" fillId="2" borderId="2" xfId="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hidden="1"/>
    </xf>
    <xf numFmtId="0" fontId="9" fillId="7" borderId="15" xfId="0" applyFont="1" applyFill="1" applyBorder="1" applyAlignment="1" applyProtection="1">
      <alignment horizontal="center" vertical="center"/>
      <protection hidden="1"/>
    </xf>
    <xf numFmtId="0" fontId="10" fillId="3" borderId="15" xfId="0" applyFont="1" applyFill="1" applyBorder="1" applyAlignment="1" applyProtection="1">
      <alignment horizontal="center" vertical="center"/>
      <protection hidden="1"/>
    </xf>
    <xf numFmtId="0" fontId="9" fillId="0" borderId="16"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10" fillId="3" borderId="1" xfId="0"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wrapText="1"/>
      <protection hidden="1"/>
    </xf>
    <xf numFmtId="0" fontId="10" fillId="3" borderId="2" xfId="0" applyFont="1" applyFill="1" applyBorder="1" applyAlignment="1" applyProtection="1">
      <alignment horizontal="center" vertical="center" wrapText="1"/>
      <protection hidden="1"/>
    </xf>
    <xf numFmtId="164" fontId="9" fillId="7" borderId="2" xfId="0" applyNumberFormat="1" applyFont="1" applyFill="1" applyBorder="1" applyAlignment="1" applyProtection="1">
      <alignment horizontal="center" vertical="center"/>
      <protection hidden="1"/>
    </xf>
    <xf numFmtId="0" fontId="9" fillId="7" borderId="2"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1" fontId="0" fillId="0" borderId="1" xfId="0" applyNumberFormat="1" applyFont="1" applyFill="1" applyBorder="1" applyAlignment="1" applyProtection="1">
      <alignment horizontal="center" vertical="center"/>
      <protection hidden="1"/>
    </xf>
    <xf numFmtId="9" fontId="0" fillId="0" borderId="1" xfId="0" applyNumberFormat="1" applyFont="1" applyFill="1" applyBorder="1" applyAlignment="1" applyProtection="1">
      <alignment horizontal="center" vertical="center"/>
      <protection hidden="1"/>
    </xf>
    <xf numFmtId="164" fontId="8" fillId="5" borderId="2" xfId="0" applyNumberFormat="1" applyFont="1" applyFill="1" applyBorder="1" applyAlignment="1" applyProtection="1">
      <alignment horizontal="center" vertical="center"/>
      <protection hidden="1"/>
    </xf>
    <xf numFmtId="9" fontId="8" fillId="5" borderId="2" xfId="0" applyNumberFormat="1" applyFont="1" applyFill="1" applyBorder="1" applyAlignment="1" applyProtection="1">
      <alignment horizontal="center" vertical="center"/>
      <protection hidden="1"/>
    </xf>
    <xf numFmtId="0" fontId="12" fillId="3" borderId="1" xfId="1"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center" vertical="center"/>
      <protection hidden="1"/>
    </xf>
    <xf numFmtId="0" fontId="0" fillId="0" borderId="0" xfId="0" applyFont="1" applyBorder="1" applyAlignment="1" applyProtection="1">
      <alignment vertical="center"/>
      <protection hidden="1"/>
    </xf>
    <xf numFmtId="0" fontId="0" fillId="0" borderId="0" xfId="0" applyFont="1" applyBorder="1" applyAlignment="1" applyProtection="1">
      <alignment horizontal="center"/>
      <protection hidden="1"/>
    </xf>
    <xf numFmtId="0" fontId="0" fillId="0" borderId="0" xfId="0" applyFont="1" applyBorder="1" applyAlignment="1" applyProtection="1">
      <alignment horizontal="left" vertical="center" wrapText="1"/>
      <protection hidden="1"/>
    </xf>
    <xf numFmtId="0" fontId="0" fillId="0" borderId="0" xfId="0" applyFont="1" applyFill="1" applyBorder="1" applyAlignment="1" applyProtection="1">
      <alignment horizontal="center" vertical="center"/>
      <protection hidden="1"/>
    </xf>
    <xf numFmtId="1" fontId="0" fillId="0" borderId="0" xfId="0" applyNumberFormat="1" applyFont="1" applyFill="1" applyBorder="1" applyAlignment="1" applyProtection="1">
      <alignment horizontal="center" vertical="center"/>
      <protection hidden="1"/>
    </xf>
    <xf numFmtId="0" fontId="0" fillId="0" borderId="0" xfId="0" applyFont="1" applyFill="1" applyBorder="1" applyAlignment="1" applyProtection="1">
      <alignment horizontal="center"/>
      <protection hidden="1"/>
    </xf>
    <xf numFmtId="0" fontId="0" fillId="0" borderId="0" xfId="0" applyFont="1" applyProtection="1">
      <protection hidden="1"/>
    </xf>
    <xf numFmtId="10" fontId="0" fillId="0" borderId="0" xfId="0" applyNumberFormat="1" applyFont="1" applyBorder="1" applyAlignment="1" applyProtection="1">
      <alignment horizontal="left" vertical="center" wrapText="1"/>
      <protection hidden="1"/>
    </xf>
    <xf numFmtId="9" fontId="9" fillId="7" borderId="2" xfId="0" applyNumberFormat="1" applyFont="1" applyFill="1" applyBorder="1" applyAlignment="1" applyProtection="1">
      <alignment horizontal="center" vertical="center"/>
      <protection hidden="1"/>
    </xf>
    <xf numFmtId="0" fontId="9" fillId="0" borderId="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1" fontId="9" fillId="0" borderId="0" xfId="0" applyNumberFormat="1" applyFont="1" applyFill="1" applyBorder="1" applyAlignment="1" applyProtection="1">
      <alignment horizontal="center" vertical="center"/>
      <protection hidden="1"/>
    </xf>
    <xf numFmtId="0" fontId="12" fillId="3" borderId="1" xfId="1" applyFont="1" applyFill="1" applyBorder="1" applyAlignment="1" applyProtection="1">
      <alignment horizontal="center" vertical="center"/>
      <protection hidden="1"/>
    </xf>
    <xf numFmtId="0" fontId="10" fillId="3" borderId="1" xfId="0" applyFont="1" applyFill="1" applyBorder="1" applyAlignment="1" applyProtection="1">
      <alignment horizontal="center" vertical="center"/>
      <protection hidden="1"/>
    </xf>
    <xf numFmtId="0" fontId="10" fillId="0" borderId="0" xfId="0" applyFont="1" applyAlignment="1" applyProtection="1">
      <protection hidden="1"/>
    </xf>
    <xf numFmtId="0" fontId="10" fillId="0" borderId="3" xfId="0" applyFont="1" applyBorder="1" applyAlignment="1" applyProtection="1">
      <protection hidden="1"/>
    </xf>
    <xf numFmtId="0" fontId="10" fillId="0" borderId="0" xfId="0" applyFont="1" applyAlignment="1" applyProtection="1">
      <alignment horizontal="left"/>
      <protection hidden="1"/>
    </xf>
    <xf numFmtId="0" fontId="10" fillId="3" borderId="1" xfId="0" applyFont="1" applyFill="1" applyBorder="1" applyAlignment="1" applyProtection="1">
      <alignment horizontal="center" vertical="center"/>
      <protection hidden="1"/>
    </xf>
    <xf numFmtId="0" fontId="12" fillId="3" borderId="1" xfId="1" applyFont="1" applyFill="1" applyBorder="1" applyAlignment="1" applyProtection="1">
      <alignment horizontal="center" vertical="center"/>
      <protection hidden="1"/>
    </xf>
    <xf numFmtId="164" fontId="12" fillId="7" borderId="1" xfId="1" applyNumberFormat="1" applyFont="1" applyFill="1" applyBorder="1" applyAlignment="1" applyProtection="1">
      <alignment horizontal="center" vertical="center" wrapText="1"/>
      <protection hidden="1"/>
    </xf>
    <xf numFmtId="0" fontId="10" fillId="0" borderId="0" xfId="0" applyFont="1" applyBorder="1" applyAlignment="1" applyProtection="1">
      <alignment horizontal="left" vertical="center" wrapText="1"/>
      <protection hidden="1"/>
    </xf>
    <xf numFmtId="0" fontId="12" fillId="3" borderId="1" xfId="1" applyFont="1" applyFill="1" applyBorder="1" applyAlignment="1" applyProtection="1">
      <alignment horizontal="center" vertical="center"/>
      <protection hidden="1"/>
    </xf>
    <xf numFmtId="0" fontId="0" fillId="0" borderId="1" xfId="0" applyFont="1" applyBorder="1" applyAlignment="1" applyProtection="1">
      <alignment horizontal="center" vertical="center"/>
      <protection hidden="1"/>
    </xf>
    <xf numFmtId="0" fontId="10" fillId="3" borderId="1" xfId="0" applyFont="1" applyFill="1" applyBorder="1" applyAlignment="1" applyProtection="1">
      <alignment horizontal="center" vertical="center"/>
      <protection hidden="1"/>
    </xf>
    <xf numFmtId="0" fontId="12" fillId="2" borderId="12" xfId="1"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protection locked="0"/>
    </xf>
    <xf numFmtId="0" fontId="10" fillId="0" borderId="0" xfId="0" applyFont="1" applyBorder="1" applyAlignment="1" applyProtection="1">
      <alignment vertical="center" wrapText="1"/>
      <protection hidden="1"/>
    </xf>
    <xf numFmtId="0" fontId="0" fillId="0" borderId="0" xfId="0" applyFont="1" applyBorder="1" applyAlignment="1" applyProtection="1">
      <alignment horizontal="center" vertical="center"/>
      <protection hidden="1"/>
    </xf>
    <xf numFmtId="0" fontId="10" fillId="0" borderId="12" xfId="0" applyFont="1" applyBorder="1" applyAlignment="1" applyProtection="1">
      <alignment vertical="center"/>
      <protection hidden="1"/>
    </xf>
    <xf numFmtId="0" fontId="10" fillId="0" borderId="0" xfId="0" applyFont="1" applyBorder="1" applyAlignment="1" applyProtection="1">
      <alignment vertical="center"/>
      <protection hidden="1"/>
    </xf>
    <xf numFmtId="0" fontId="9" fillId="0" borderId="0" xfId="0" applyFont="1" applyBorder="1" applyAlignment="1" applyProtection="1">
      <alignment horizontal="center"/>
      <protection hidden="1"/>
    </xf>
    <xf numFmtId="0" fontId="9" fillId="0" borderId="0" xfId="0" applyFont="1" applyAlignment="1" applyProtection="1">
      <alignment horizontal="center" vertical="center"/>
      <protection hidden="1"/>
    </xf>
    <xf numFmtId="0" fontId="10" fillId="3" borderId="1" xfId="0" applyFont="1" applyFill="1" applyBorder="1" applyAlignment="1" applyProtection="1">
      <alignment horizontal="center" vertical="center" wrapText="1"/>
      <protection hidden="1"/>
    </xf>
    <xf numFmtId="0" fontId="24" fillId="7" borderId="1" xfId="0" applyFont="1" applyFill="1" applyBorder="1" applyAlignment="1" applyProtection="1">
      <alignment horizontal="center" vertical="center"/>
      <protection hidden="1"/>
    </xf>
    <xf numFmtId="0" fontId="9" fillId="2" borderId="0" xfId="0" applyFont="1" applyFill="1" applyProtection="1">
      <protection hidden="1"/>
    </xf>
    <xf numFmtId="0" fontId="9" fillId="0" borderId="0" xfId="0" applyFont="1" applyAlignment="1" applyProtection="1">
      <protection hidden="1"/>
    </xf>
    <xf numFmtId="0" fontId="14" fillId="7" borderId="1" xfId="1" applyNumberFormat="1" applyFont="1" applyFill="1" applyBorder="1" applyAlignment="1" applyProtection="1">
      <alignment horizontal="center" vertical="center"/>
    </xf>
    <xf numFmtId="0" fontId="9" fillId="7" borderId="1" xfId="0" applyFont="1" applyFill="1" applyBorder="1" applyAlignment="1" applyProtection="1">
      <alignment horizontal="center"/>
    </xf>
    <xf numFmtId="0" fontId="0" fillId="4" borderId="0" xfId="0" applyFill="1" applyAlignment="1" applyProtection="1">
      <alignment horizontal="center"/>
      <protection hidden="1"/>
    </xf>
    <xf numFmtId="0" fontId="10" fillId="3" borderId="2" xfId="0" applyFont="1" applyFill="1" applyBorder="1" applyAlignment="1" applyProtection="1">
      <alignment horizontal="left" vertical="center"/>
      <protection hidden="1"/>
    </xf>
    <xf numFmtId="0" fontId="10" fillId="3" borderId="5" xfId="0" applyFont="1" applyFill="1" applyBorder="1" applyAlignment="1" applyProtection="1">
      <alignment horizontal="left" vertical="center"/>
      <protection hidden="1"/>
    </xf>
    <xf numFmtId="0" fontId="10" fillId="3" borderId="2" xfId="0" applyFont="1" applyFill="1" applyBorder="1" applyAlignment="1" applyProtection="1">
      <alignment horizontal="left" vertical="center" wrapText="1"/>
      <protection hidden="1"/>
    </xf>
    <xf numFmtId="0" fontId="10" fillId="3" borderId="5" xfId="0" applyFont="1" applyFill="1" applyBorder="1" applyAlignment="1" applyProtection="1">
      <alignment horizontal="left" vertical="center" wrapText="1"/>
      <protection hidden="1"/>
    </xf>
    <xf numFmtId="0" fontId="10" fillId="3" borderId="13" xfId="0" applyFont="1" applyFill="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hidden="1"/>
    </xf>
    <xf numFmtId="0" fontId="10" fillId="3" borderId="15" xfId="0" applyFont="1" applyFill="1" applyBorder="1" applyAlignment="1" applyProtection="1">
      <alignment horizontal="center" vertical="center"/>
      <protection hidden="1"/>
    </xf>
    <xf numFmtId="0" fontId="10" fillId="3" borderId="2" xfId="0" applyFont="1" applyFill="1" applyBorder="1" applyAlignment="1" applyProtection="1">
      <alignment horizontal="center" vertical="center"/>
      <protection hidden="1"/>
    </xf>
    <xf numFmtId="0" fontId="10" fillId="3" borderId="5" xfId="0" applyFont="1" applyFill="1" applyBorder="1" applyAlignment="1" applyProtection="1">
      <alignment horizontal="center" vertical="center"/>
      <protection hidden="1"/>
    </xf>
    <xf numFmtId="0" fontId="10" fillId="3" borderId="4" xfId="0" applyFont="1" applyFill="1" applyBorder="1" applyAlignment="1" applyProtection="1">
      <alignment horizontal="center" vertical="center"/>
      <protection hidden="1"/>
    </xf>
    <xf numFmtId="0" fontId="6" fillId="4" borderId="2"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protection hidden="1"/>
    </xf>
    <xf numFmtId="0" fontId="6" fillId="4" borderId="4" xfId="0" applyFont="1" applyFill="1" applyBorder="1" applyAlignment="1" applyProtection="1">
      <alignment horizontal="center" vertical="center"/>
      <protection hidden="1"/>
    </xf>
    <xf numFmtId="0" fontId="0" fillId="0" borderId="1" xfId="0" applyFont="1" applyBorder="1" applyAlignment="1" applyProtection="1">
      <alignment horizontal="center" vertical="center"/>
      <protection hidden="1"/>
    </xf>
    <xf numFmtId="0" fontId="0" fillId="0" borderId="2" xfId="0" applyFont="1" applyBorder="1" applyAlignment="1" applyProtection="1">
      <alignment horizontal="center" vertical="center"/>
      <protection hidden="1"/>
    </xf>
    <xf numFmtId="0" fontId="0" fillId="0" borderId="5" xfId="0" applyFont="1" applyBorder="1" applyAlignment="1" applyProtection="1">
      <alignment horizontal="center" vertical="center"/>
      <protection hidden="1"/>
    </xf>
    <xf numFmtId="0" fontId="0" fillId="0" borderId="4" xfId="0" applyFont="1" applyBorder="1" applyAlignment="1" applyProtection="1">
      <alignment horizontal="center" vertical="center"/>
      <protection hidden="1"/>
    </xf>
    <xf numFmtId="0" fontId="6" fillId="4" borderId="3" xfId="0" applyFont="1" applyFill="1" applyBorder="1" applyAlignment="1" applyProtection="1">
      <alignment horizontal="center"/>
      <protection hidden="1"/>
    </xf>
    <xf numFmtId="0" fontId="24" fillId="4" borderId="3" xfId="0" applyFont="1" applyFill="1" applyBorder="1" applyAlignment="1" applyProtection="1">
      <alignment horizontal="center"/>
      <protection hidden="1"/>
    </xf>
    <xf numFmtId="0" fontId="10" fillId="3" borderId="1" xfId="0"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protection hidden="1"/>
    </xf>
    <xf numFmtId="0" fontId="12" fillId="3" borderId="1" xfId="1" applyFont="1" applyFill="1" applyBorder="1" applyAlignment="1" applyProtection="1">
      <alignment horizontal="center" vertical="center"/>
      <protection hidden="1"/>
    </xf>
    <xf numFmtId="0" fontId="12" fillId="3" borderId="1" xfId="1" applyFont="1" applyFill="1" applyBorder="1" applyAlignment="1" applyProtection="1">
      <alignment horizontal="center" vertical="center" wrapText="1"/>
      <protection hidden="1"/>
    </xf>
    <xf numFmtId="0" fontId="12" fillId="3" borderId="13" xfId="1" applyFont="1" applyFill="1" applyBorder="1" applyAlignment="1" applyProtection="1">
      <alignment horizontal="center" vertical="center" wrapText="1"/>
      <protection hidden="1"/>
    </xf>
    <xf numFmtId="0" fontId="10" fillId="0" borderId="0" xfId="0" applyFont="1" applyAlignment="1" applyProtection="1">
      <alignment horizontal="left"/>
      <protection hidden="1"/>
    </xf>
    <xf numFmtId="0" fontId="9" fillId="0" borderId="0" xfId="0" applyFont="1" applyAlignment="1" applyProtection="1">
      <alignment horizontal="left"/>
      <protection hidden="1"/>
    </xf>
    <xf numFmtId="0" fontId="6" fillId="4" borderId="0" xfId="0" applyFont="1" applyFill="1" applyBorder="1" applyAlignment="1" applyProtection="1">
      <alignment horizontal="center" vertical="center"/>
      <protection hidden="1"/>
    </xf>
    <xf numFmtId="0" fontId="10" fillId="3" borderId="1" xfId="0" applyFont="1" applyFill="1" applyBorder="1" applyAlignment="1" applyProtection="1">
      <alignment horizontal="center"/>
      <protection hidden="1"/>
    </xf>
    <xf numFmtId="0" fontId="0" fillId="0" borderId="1" xfId="0" applyBorder="1" applyAlignment="1">
      <alignment horizontal="center"/>
    </xf>
    <xf numFmtId="0" fontId="12" fillId="3" borderId="1" xfId="30" applyFont="1" applyFill="1" applyBorder="1" applyAlignment="1" applyProtection="1">
      <alignment horizontal="center" vertical="center"/>
      <protection hidden="1"/>
    </xf>
    <xf numFmtId="164" fontId="6" fillId="4" borderId="2" xfId="30" applyNumberFormat="1" applyFont="1" applyFill="1" applyBorder="1" applyAlignment="1" applyProtection="1">
      <alignment horizontal="center" vertical="center"/>
      <protection hidden="1"/>
    </xf>
    <xf numFmtId="164" fontId="6" fillId="4" borderId="5" xfId="30" applyNumberFormat="1" applyFont="1" applyFill="1" applyBorder="1" applyAlignment="1" applyProtection="1">
      <alignment horizontal="center" vertical="center"/>
      <protection hidden="1"/>
    </xf>
    <xf numFmtId="164" fontId="6" fillId="4" borderId="4" xfId="30" applyNumberFormat="1" applyFont="1" applyFill="1" applyBorder="1" applyAlignment="1" applyProtection="1">
      <alignment horizontal="center" vertical="center"/>
      <protection hidden="1"/>
    </xf>
    <xf numFmtId="0" fontId="10" fillId="3" borderId="1" xfId="30" applyFont="1" applyFill="1" applyBorder="1" applyAlignment="1" applyProtection="1">
      <alignment horizontal="center" vertical="center"/>
      <protection hidden="1"/>
    </xf>
    <xf numFmtId="0" fontId="10" fillId="3" borderId="1" xfId="30" applyFont="1" applyFill="1" applyBorder="1" applyAlignment="1" applyProtection="1">
      <alignment horizontal="center" vertical="center" wrapText="1"/>
      <protection hidden="1"/>
    </xf>
    <xf numFmtId="0" fontId="12" fillId="3" borderId="1" xfId="30" applyFont="1" applyFill="1" applyBorder="1" applyAlignment="1" applyProtection="1">
      <alignment horizontal="center" vertical="center" wrapText="1"/>
      <protection hidden="1"/>
    </xf>
    <xf numFmtId="0" fontId="10" fillId="3" borderId="2" xfId="0" applyFont="1" applyFill="1" applyBorder="1" applyAlignment="1" applyProtection="1">
      <alignment horizontal="center"/>
      <protection hidden="1"/>
    </xf>
    <xf numFmtId="0" fontId="0" fillId="0" borderId="5" xfId="0" applyBorder="1" applyAlignment="1">
      <alignment horizontal="center"/>
    </xf>
    <xf numFmtId="0" fontId="0" fillId="0" borderId="4" xfId="0" applyBorder="1" applyAlignment="1">
      <alignment horizontal="center"/>
    </xf>
    <xf numFmtId="0" fontId="12" fillId="3" borderId="14" xfId="1" applyFont="1" applyFill="1" applyBorder="1" applyAlignment="1" applyProtection="1">
      <alignment horizontal="center" vertical="center" wrapText="1"/>
      <protection hidden="1"/>
    </xf>
    <xf numFmtId="0" fontId="12" fillId="3" borderId="15" xfId="1" applyFont="1" applyFill="1" applyBorder="1" applyAlignment="1" applyProtection="1">
      <alignment horizontal="center" vertical="center" wrapText="1"/>
      <protection hidden="1"/>
    </xf>
    <xf numFmtId="0" fontId="12" fillId="3" borderId="2" xfId="1" applyFont="1" applyFill="1" applyBorder="1" applyAlignment="1" applyProtection="1">
      <alignment horizontal="center" vertical="center"/>
      <protection hidden="1"/>
    </xf>
    <xf numFmtId="0" fontId="0" fillId="0" borderId="5" xfId="0" applyBorder="1" applyAlignment="1">
      <alignment horizontal="center" vertical="center"/>
    </xf>
    <xf numFmtId="0" fontId="0" fillId="0" borderId="4" xfId="0" applyBorder="1" applyAlignment="1">
      <alignment horizontal="center" vertical="center"/>
    </xf>
    <xf numFmtId="0" fontId="10" fillId="0" borderId="0"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6" fillId="4" borderId="3" xfId="0" applyFont="1" applyFill="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12" fillId="2" borderId="12" xfId="1" applyFont="1" applyFill="1" applyBorder="1" applyAlignment="1" applyProtection="1">
      <alignment horizontal="left" vertical="center" wrapText="1"/>
      <protection hidden="1"/>
    </xf>
    <xf numFmtId="0" fontId="0" fillId="2" borderId="12" xfId="0" applyFill="1" applyBorder="1" applyAlignment="1">
      <alignment horizontal="left" vertical="center"/>
    </xf>
    <xf numFmtId="0" fontId="12" fillId="3" borderId="5" xfId="1" applyFont="1" applyFill="1" applyBorder="1" applyAlignment="1" applyProtection="1">
      <alignment horizontal="center" vertical="center"/>
      <protection hidden="1"/>
    </xf>
    <xf numFmtId="0" fontId="12" fillId="3" borderId="4" xfId="1" applyFont="1" applyFill="1" applyBorder="1" applyAlignment="1" applyProtection="1">
      <alignment horizontal="center" vertical="center"/>
      <protection hidden="1"/>
    </xf>
    <xf numFmtId="0" fontId="10" fillId="0" borderId="12" xfId="0" applyFont="1" applyBorder="1" applyAlignment="1" applyProtection="1">
      <alignment horizontal="left" wrapText="1"/>
      <protection hidden="1"/>
    </xf>
    <xf numFmtId="0" fontId="10" fillId="0" borderId="12" xfId="0" applyFont="1" applyBorder="1" applyAlignment="1" applyProtection="1">
      <alignment horizontal="left"/>
      <protection hidden="1"/>
    </xf>
    <xf numFmtId="0" fontId="10" fillId="0" borderId="0" xfId="0" applyFont="1" applyBorder="1" applyAlignment="1" applyProtection="1">
      <alignment horizontal="left"/>
      <protection hidden="1"/>
    </xf>
    <xf numFmtId="0" fontId="12" fillId="0" borderId="12" xfId="1" applyFont="1" applyBorder="1" applyAlignment="1" applyProtection="1">
      <alignment horizontal="left" vertical="center"/>
      <protection hidden="1"/>
    </xf>
    <xf numFmtId="0" fontId="10" fillId="0" borderId="12" xfId="0" applyFont="1" applyBorder="1" applyAlignment="1" applyProtection="1">
      <alignment horizontal="left" vertical="center" wrapText="1"/>
      <protection hidden="1"/>
    </xf>
    <xf numFmtId="0" fontId="12" fillId="3" borderId="13" xfId="1" applyFont="1" applyFill="1" applyBorder="1" applyAlignment="1" applyProtection="1">
      <alignment horizontal="center" vertical="center"/>
      <protection hidden="1"/>
    </xf>
    <xf numFmtId="0" fontId="12" fillId="3" borderId="15" xfId="1" applyFont="1" applyFill="1" applyBorder="1" applyAlignment="1" applyProtection="1">
      <alignment horizontal="center" vertical="center"/>
      <protection hidden="1"/>
    </xf>
    <xf numFmtId="0" fontId="12" fillId="2" borderId="12" xfId="1" applyFont="1" applyFill="1" applyBorder="1" applyAlignment="1" applyProtection="1">
      <alignment horizontal="center" vertical="center" wrapText="1"/>
      <protection hidden="1"/>
    </xf>
    <xf numFmtId="0" fontId="0" fillId="2" borderId="12" xfId="0" applyFill="1" applyBorder="1" applyAlignment="1">
      <alignment horizontal="center" vertical="center"/>
    </xf>
    <xf numFmtId="0" fontId="12" fillId="2" borderId="0" xfId="1" applyFont="1" applyFill="1" applyBorder="1" applyAlignment="1" applyProtection="1">
      <alignment horizontal="left" vertical="center" wrapText="1"/>
      <protection hidden="1"/>
    </xf>
    <xf numFmtId="0" fontId="0" fillId="2" borderId="0" xfId="0" applyFill="1" applyBorder="1" applyAlignment="1">
      <alignment horizontal="left" vertical="center"/>
    </xf>
    <xf numFmtId="0" fontId="10" fillId="3" borderId="5" xfId="0" applyFont="1" applyFill="1" applyBorder="1" applyAlignment="1" applyProtection="1">
      <alignment horizontal="center"/>
      <protection hidden="1"/>
    </xf>
    <xf numFmtId="0" fontId="10" fillId="3" borderId="4" xfId="0" applyFont="1" applyFill="1" applyBorder="1" applyAlignment="1" applyProtection="1">
      <alignment horizontal="center"/>
      <protection hidden="1"/>
    </xf>
    <xf numFmtId="0" fontId="12" fillId="3" borderId="2" xfId="1" applyFont="1" applyFill="1" applyBorder="1" applyAlignment="1" applyProtection="1">
      <alignment horizontal="center" vertical="center" wrapText="1"/>
      <protection hidden="1"/>
    </xf>
    <xf numFmtId="0" fontId="12" fillId="3" borderId="5" xfId="1" applyFont="1" applyFill="1" applyBorder="1" applyAlignment="1" applyProtection="1">
      <alignment horizontal="center" vertical="center" wrapText="1"/>
      <protection hidden="1"/>
    </xf>
    <xf numFmtId="0" fontId="12" fillId="3" borderId="4" xfId="1" applyFont="1" applyFill="1" applyBorder="1" applyAlignment="1" applyProtection="1">
      <alignment horizontal="center" vertical="center" wrapText="1"/>
      <protection hidden="1"/>
    </xf>
    <xf numFmtId="10" fontId="0" fillId="0" borderId="2" xfId="0" applyNumberFormat="1" applyFont="1" applyBorder="1" applyAlignment="1" applyProtection="1">
      <alignment horizontal="center" vertical="center" wrapText="1"/>
      <protection hidden="1"/>
    </xf>
    <xf numFmtId="10" fontId="0" fillId="0" borderId="5" xfId="0" applyNumberFormat="1" applyFont="1" applyBorder="1" applyAlignment="1" applyProtection="1">
      <alignment horizontal="center" vertical="center" wrapText="1"/>
      <protection hidden="1"/>
    </xf>
    <xf numFmtId="10" fontId="0" fillId="0" borderId="4" xfId="0" applyNumberFormat="1" applyFont="1" applyBorder="1" applyAlignment="1" applyProtection="1">
      <alignment horizontal="center" vertical="center" wrapText="1"/>
      <protection hidden="1"/>
    </xf>
    <xf numFmtId="0" fontId="10"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6" borderId="2" xfId="0" applyFont="1" applyFill="1" applyBorder="1" applyAlignment="1" applyProtection="1">
      <alignment horizontal="left" vertical="center"/>
      <protection hidden="1"/>
    </xf>
    <xf numFmtId="0" fontId="10" fillId="6" borderId="5" xfId="0" applyFont="1" applyFill="1" applyBorder="1" applyAlignment="1" applyProtection="1">
      <alignment horizontal="left" vertical="center"/>
      <protection hidden="1"/>
    </xf>
    <xf numFmtId="0" fontId="10" fillId="6" borderId="4" xfId="0" applyFont="1" applyFill="1" applyBorder="1" applyAlignment="1" applyProtection="1">
      <alignment horizontal="left" vertical="center"/>
      <protection hidden="1"/>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12" fillId="6" borderId="1" xfId="25" applyFont="1" applyFill="1" applyBorder="1" applyAlignment="1" applyProtection="1">
      <alignment horizontal="center" vertical="center" wrapText="1"/>
      <protection hidden="1"/>
    </xf>
    <xf numFmtId="0" fontId="10" fillId="3" borderId="1" xfId="0" applyFont="1" applyFill="1" applyBorder="1" applyAlignment="1" applyProtection="1">
      <alignment horizontal="left" vertical="center" wrapText="1"/>
      <protection hidden="1"/>
    </xf>
    <xf numFmtId="0" fontId="10" fillId="3" borderId="1" xfId="0" applyFont="1" applyFill="1" applyBorder="1" applyAlignment="1" applyProtection="1">
      <alignment horizontal="left" vertical="center"/>
      <protection hidden="1"/>
    </xf>
    <xf numFmtId="0" fontId="10" fillId="3" borderId="10" xfId="0" applyFont="1" applyFill="1" applyBorder="1" applyAlignment="1" applyProtection="1">
      <alignment horizontal="left" vertical="center"/>
      <protection hidden="1"/>
    </xf>
    <xf numFmtId="0" fontId="10" fillId="3" borderId="3" xfId="0" applyFont="1" applyFill="1" applyBorder="1" applyAlignment="1" applyProtection="1">
      <alignment horizontal="left" vertical="center"/>
      <protection hidden="1"/>
    </xf>
    <xf numFmtId="0" fontId="10" fillId="3" borderId="7" xfId="0" applyFont="1" applyFill="1" applyBorder="1" applyAlignment="1" applyProtection="1">
      <alignment horizontal="left" vertical="center"/>
      <protection hidden="1"/>
    </xf>
    <xf numFmtId="0" fontId="10" fillId="3" borderId="9" xfId="0" applyFont="1" applyFill="1" applyBorder="1" applyAlignment="1" applyProtection="1">
      <alignment horizontal="left" vertical="center"/>
      <protection hidden="1"/>
    </xf>
    <xf numFmtId="0" fontId="10" fillId="3" borderId="12" xfId="0" applyFont="1" applyFill="1" applyBorder="1" applyAlignment="1" applyProtection="1">
      <alignment horizontal="left" vertical="center"/>
      <protection hidden="1"/>
    </xf>
    <xf numFmtId="0" fontId="10" fillId="3" borderId="8" xfId="0" applyFont="1" applyFill="1" applyBorder="1" applyAlignment="1" applyProtection="1">
      <alignment horizontal="left" vertical="center"/>
      <protection hidden="1"/>
    </xf>
    <xf numFmtId="0" fontId="10" fillId="3" borderId="6" xfId="0" applyFont="1" applyFill="1" applyBorder="1" applyAlignment="1" applyProtection="1">
      <alignment horizontal="left" vertical="center" wrapText="1"/>
      <protection hidden="1"/>
    </xf>
    <xf numFmtId="0" fontId="10" fillId="3" borderId="0" xfId="0" applyFont="1" applyFill="1" applyBorder="1" applyAlignment="1" applyProtection="1">
      <alignment horizontal="left" vertical="center" wrapText="1"/>
      <protection hidden="1"/>
    </xf>
    <xf numFmtId="0" fontId="10" fillId="3" borderId="11" xfId="0" applyFont="1" applyFill="1" applyBorder="1" applyAlignment="1" applyProtection="1">
      <alignment horizontal="left" vertical="center" wrapText="1"/>
      <protection hidden="1"/>
    </xf>
    <xf numFmtId="0" fontId="10" fillId="3" borderId="6" xfId="0" applyFont="1" applyFill="1" applyBorder="1" applyAlignment="1" applyProtection="1">
      <alignment horizontal="left" vertical="center"/>
      <protection hidden="1"/>
    </xf>
    <xf numFmtId="0" fontId="10" fillId="3" borderId="0" xfId="0" applyFont="1" applyFill="1" applyBorder="1" applyAlignment="1" applyProtection="1">
      <alignment horizontal="left" vertical="center"/>
      <protection hidden="1"/>
    </xf>
    <xf numFmtId="0" fontId="10" fillId="3" borderId="11" xfId="0" applyFont="1" applyFill="1" applyBorder="1" applyAlignment="1" applyProtection="1">
      <alignment horizontal="left" vertical="center"/>
      <protection hidden="1"/>
    </xf>
    <xf numFmtId="0" fontId="12" fillId="3" borderId="1" xfId="31" applyFont="1" applyFill="1" applyBorder="1" applyAlignment="1" applyProtection="1">
      <alignment horizontal="center" vertical="center" wrapText="1"/>
      <protection hidden="1"/>
    </xf>
    <xf numFmtId="0" fontId="12" fillId="3" borderId="1" xfId="25" applyFont="1" applyFill="1" applyBorder="1" applyAlignment="1" applyProtection="1">
      <alignment horizontal="center" vertical="center" wrapText="1"/>
      <protection hidden="1"/>
    </xf>
    <xf numFmtId="0" fontId="12" fillId="3" borderId="2" xfId="33" applyFont="1" applyFill="1" applyBorder="1" applyAlignment="1" applyProtection="1">
      <alignment horizontal="center" vertical="center" wrapText="1"/>
      <protection hidden="1"/>
    </xf>
    <xf numFmtId="0" fontId="12" fillId="0" borderId="0" xfId="33" applyFont="1" applyFill="1" applyBorder="1" applyAlignment="1" applyProtection="1">
      <alignment horizontal="left"/>
      <protection hidden="1"/>
    </xf>
    <xf numFmtId="0" fontId="6" fillId="4" borderId="7" xfId="0" applyFont="1" applyFill="1" applyBorder="1" applyAlignment="1" applyProtection="1">
      <alignment horizontal="center" vertical="center"/>
      <protection hidden="1"/>
    </xf>
    <xf numFmtId="0" fontId="0" fillId="0" borderId="2" xfId="0" applyFont="1" applyBorder="1" applyAlignment="1" applyProtection="1">
      <alignment horizontal="left" vertical="center" wrapText="1"/>
      <protection hidden="1"/>
    </xf>
    <xf numFmtId="0" fontId="0" fillId="0" borderId="5" xfId="0" applyFont="1" applyBorder="1" applyAlignment="1" applyProtection="1">
      <alignment horizontal="left" vertical="center" wrapText="1"/>
      <protection hidden="1"/>
    </xf>
    <xf numFmtId="0" fontId="0" fillId="0" borderId="4" xfId="0" applyFont="1" applyBorder="1" applyAlignment="1" applyProtection="1">
      <alignment horizontal="left" vertical="center" wrapText="1"/>
      <protection hidden="1"/>
    </xf>
    <xf numFmtId="0" fontId="9" fillId="7" borderId="13" xfId="0" applyFont="1" applyFill="1" applyBorder="1" applyAlignment="1" applyProtection="1">
      <alignment horizontal="center" vertical="center"/>
      <protection hidden="1"/>
    </xf>
    <xf numFmtId="0" fontId="9" fillId="7" borderId="14" xfId="0" applyFont="1" applyFill="1" applyBorder="1" applyAlignment="1" applyProtection="1">
      <alignment horizontal="center" vertical="center"/>
      <protection hidden="1"/>
    </xf>
    <xf numFmtId="0" fontId="9" fillId="7" borderId="15" xfId="0" applyFont="1" applyFill="1" applyBorder="1" applyAlignment="1" applyProtection="1">
      <alignment horizontal="center" vertical="center"/>
      <protection hidden="1"/>
    </xf>
    <xf numFmtId="0" fontId="10" fillId="3" borderId="4" xfId="0" applyFont="1" applyFill="1" applyBorder="1" applyAlignment="1" applyProtection="1">
      <alignment horizontal="left" vertical="center" wrapText="1"/>
      <protection hidden="1"/>
    </xf>
    <xf numFmtId="0" fontId="12" fillId="3" borderId="4" xfId="33" applyFont="1" applyFill="1" applyBorder="1" applyAlignment="1" applyProtection="1">
      <alignment horizontal="center" vertical="center" wrapText="1"/>
      <protection hidden="1"/>
    </xf>
    <xf numFmtId="0" fontId="12" fillId="3" borderId="1" xfId="33" applyFont="1" applyFill="1" applyBorder="1" applyAlignment="1" applyProtection="1">
      <alignment horizontal="center"/>
      <protection hidden="1"/>
    </xf>
    <xf numFmtId="49" fontId="6" fillId="4" borderId="0" xfId="33" applyNumberFormat="1" applyFont="1" applyFill="1" applyBorder="1" applyAlignment="1" applyProtection="1">
      <alignment horizontal="center" vertical="center" wrapText="1"/>
      <protection hidden="1"/>
    </xf>
    <xf numFmtId="0" fontId="12" fillId="3" borderId="1" xfId="33" applyFont="1" applyFill="1" applyBorder="1" applyAlignment="1" applyProtection="1">
      <alignment horizontal="center" vertical="center"/>
      <protection hidden="1"/>
    </xf>
    <xf numFmtId="0" fontId="10" fillId="3" borderId="6" xfId="0" applyFont="1" applyFill="1" applyBorder="1" applyAlignment="1" applyProtection="1">
      <alignment horizontal="left"/>
      <protection hidden="1"/>
    </xf>
    <xf numFmtId="0" fontId="10" fillId="3" borderId="0" xfId="0" applyFont="1" applyFill="1" applyBorder="1" applyAlignment="1" applyProtection="1">
      <alignment horizontal="left"/>
      <protection hidden="1"/>
    </xf>
    <xf numFmtId="0" fontId="10" fillId="3" borderId="11" xfId="0" applyFont="1" applyFill="1" applyBorder="1" applyAlignment="1" applyProtection="1">
      <alignment horizontal="left"/>
      <protection hidden="1"/>
    </xf>
    <xf numFmtId="0" fontId="10" fillId="3" borderId="9" xfId="0" applyFont="1" applyFill="1" applyBorder="1" applyAlignment="1" applyProtection="1">
      <alignment horizontal="left"/>
      <protection hidden="1"/>
    </xf>
    <xf numFmtId="0" fontId="10" fillId="3" borderId="12" xfId="0" applyFont="1" applyFill="1" applyBorder="1" applyAlignment="1" applyProtection="1">
      <alignment horizontal="left"/>
      <protection hidden="1"/>
    </xf>
    <xf numFmtId="0" fontId="10" fillId="3" borderId="8" xfId="0" applyFont="1" applyFill="1" applyBorder="1" applyAlignment="1" applyProtection="1">
      <alignment horizontal="left"/>
      <protection hidden="1"/>
    </xf>
    <xf numFmtId="0" fontId="12" fillId="3" borderId="10" xfId="0" applyFont="1" applyFill="1" applyBorder="1" applyAlignment="1" applyProtection="1">
      <alignment horizontal="left" vertical="center"/>
      <protection hidden="1"/>
    </xf>
    <xf numFmtId="0" fontId="12" fillId="3" borderId="3" xfId="0" applyFont="1" applyFill="1" applyBorder="1" applyAlignment="1" applyProtection="1">
      <alignment horizontal="left" vertical="center"/>
      <protection hidden="1"/>
    </xf>
    <xf numFmtId="0" fontId="12" fillId="3" borderId="7" xfId="0" applyFont="1" applyFill="1" applyBorder="1" applyAlignment="1" applyProtection="1">
      <alignment horizontal="left" vertical="center"/>
      <protection hidden="1"/>
    </xf>
    <xf numFmtId="0" fontId="9" fillId="0" borderId="1" xfId="0" applyFont="1" applyBorder="1" applyAlignment="1" applyProtection="1">
      <alignment horizontal="center" vertical="center"/>
      <protection locked="0"/>
    </xf>
    <xf numFmtId="0" fontId="12" fillId="0" borderId="0" xfId="33" applyFont="1" applyFill="1" applyBorder="1" applyAlignment="1" applyProtection="1">
      <alignment horizontal="left" wrapText="1"/>
      <protection hidden="1"/>
    </xf>
    <xf numFmtId="0" fontId="10" fillId="7" borderId="13" xfId="0" applyFont="1" applyFill="1" applyBorder="1" applyAlignment="1" applyProtection="1">
      <alignment horizontal="center" vertical="center"/>
      <protection hidden="1"/>
    </xf>
    <xf numFmtId="0" fontId="10" fillId="7" borderId="14" xfId="0" applyFont="1" applyFill="1" applyBorder="1" applyAlignment="1" applyProtection="1">
      <alignment horizontal="center" vertical="center"/>
      <protection hidden="1"/>
    </xf>
    <xf numFmtId="0" fontId="10" fillId="7" borderId="15" xfId="0" applyFont="1" applyFill="1" applyBorder="1" applyAlignment="1" applyProtection="1">
      <alignment horizontal="center" vertical="center"/>
      <protection hidden="1"/>
    </xf>
    <xf numFmtId="0" fontId="12" fillId="3" borderId="1" xfId="0" applyFont="1" applyFill="1" applyBorder="1" applyAlignment="1" applyProtection="1">
      <alignment horizontal="left" vertical="center"/>
      <protection hidden="1"/>
    </xf>
    <xf numFmtId="0" fontId="10" fillId="3" borderId="4" xfId="0" applyFont="1" applyFill="1" applyBorder="1" applyAlignment="1" applyProtection="1">
      <alignment horizontal="left" vertical="center"/>
      <protection hidden="1"/>
    </xf>
    <xf numFmtId="0" fontId="7" fillId="4" borderId="3" xfId="0" applyFont="1" applyFill="1" applyBorder="1" applyAlignment="1" applyProtection="1">
      <alignment horizontal="center" vertical="center"/>
      <protection hidden="1"/>
    </xf>
    <xf numFmtId="0" fontId="7" fillId="4" borderId="7" xfId="0" applyFont="1" applyFill="1" applyBorder="1" applyAlignment="1" applyProtection="1">
      <alignment horizontal="center" vertical="center"/>
      <protection hidden="1"/>
    </xf>
    <xf numFmtId="0" fontId="24" fillId="0" borderId="12" xfId="0" applyFont="1" applyBorder="1" applyAlignment="1" applyProtection="1">
      <alignment horizontal="left"/>
      <protection hidden="1"/>
    </xf>
    <xf numFmtId="0" fontId="12" fillId="3" borderId="13" xfId="25" applyFont="1" applyFill="1" applyBorder="1" applyAlignment="1" applyProtection="1">
      <alignment horizontal="center" vertical="center" wrapText="1"/>
      <protection hidden="1"/>
    </xf>
    <xf numFmtId="0" fontId="12" fillId="3" borderId="15" xfId="25" applyFont="1" applyFill="1" applyBorder="1" applyAlignment="1" applyProtection="1">
      <alignment horizontal="center" vertical="center" wrapText="1"/>
      <protection hidden="1"/>
    </xf>
    <xf numFmtId="0" fontId="8" fillId="0" borderId="0" xfId="0" applyFont="1" applyBorder="1" applyAlignment="1" applyProtection="1">
      <alignment horizontal="left" vertical="top" wrapText="1"/>
      <protection hidden="1"/>
    </xf>
    <xf numFmtId="0" fontId="0" fillId="0" borderId="0" xfId="0" applyAlignment="1">
      <alignment horizontal="left" vertical="top" wrapText="1"/>
    </xf>
  </cellXfs>
  <cellStyles count="34">
    <cellStyle name="Comma 2" xfId="11"/>
    <cellStyle name="Comma 2 2" xfId="27"/>
    <cellStyle name="Comma 3" xfId="4"/>
    <cellStyle name="Comma 3 2" xfId="29"/>
    <cellStyle name="Comma 4" xfId="26"/>
    <cellStyle name="Normal" xfId="0" builtinId="0"/>
    <cellStyle name="Normal 2" xfId="2"/>
    <cellStyle name="Normal 2 2" xfId="5"/>
    <cellStyle name="Normal 2 2 2" xfId="12"/>
    <cellStyle name="Normal 2 2 2 2" xfId="22"/>
    <cellStyle name="Normal 2 2 3" xfId="16"/>
    <cellStyle name="Normal 2 3" xfId="6"/>
    <cellStyle name="Normal 2 3 2" xfId="13"/>
    <cellStyle name="Normal 2 3 2 2" xfId="23"/>
    <cellStyle name="Normal 2 3 3" xfId="17"/>
    <cellStyle name="Normal 2 4" xfId="10"/>
    <cellStyle name="Normal 2 4 2" xfId="21"/>
    <cellStyle name="Normal 2 5" xfId="15"/>
    <cellStyle name="Normal 3" xfId="3"/>
    <cellStyle name="Normal 3 2" xfId="25"/>
    <cellStyle name="Normal 4" xfId="9"/>
    <cellStyle name="Normal 4 2" xfId="20"/>
    <cellStyle name="Normal 4 2 2" xfId="28"/>
    <cellStyle name="Normal 4 3" xfId="31"/>
    <cellStyle name="Normal 4 3 2" xfId="33"/>
    <cellStyle name="Normal 5" xfId="8"/>
    <cellStyle name="Normal 5 2" xfId="19"/>
    <cellStyle name="Normal 6" xfId="1"/>
    <cellStyle name="Normal 6 2" xfId="30"/>
    <cellStyle name="Normal 6 2 2" xfId="32"/>
    <cellStyle name="Percent 2" xfId="7"/>
    <cellStyle name="Percent 2 2" xfId="14"/>
    <cellStyle name="Percent 2 2 2" xfId="24"/>
    <cellStyle name="Percent 2 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777240</xdr:colOff>
      <xdr:row>3</xdr:row>
      <xdr:rowOff>71543</xdr:rowOff>
    </xdr:to>
    <xdr:pic>
      <xdr:nvPicPr>
        <xdr:cNvPr id="4" name="Picture 3">
          <a:extLst>
            <a:ext uri="{FF2B5EF4-FFF2-40B4-BE49-F238E27FC236}">
              <a16:creationId xmlns:a16="http://schemas.microsoft.com/office/drawing/2014/main" id="{514DD5B7-296B-4FE7-B5CC-453D180762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3398519" cy="1112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222250</xdr:colOff>
      <xdr:row>0</xdr:row>
      <xdr:rowOff>1</xdr:rowOff>
    </xdr:from>
    <xdr:to>
      <xdr:col>2</xdr:col>
      <xdr:colOff>957580</xdr:colOff>
      <xdr:row>4</xdr:row>
      <xdr:rowOff>125096</xdr:rowOff>
    </xdr:to>
    <xdr:pic>
      <xdr:nvPicPr>
        <xdr:cNvPr id="2" name="Picture 1">
          <a:extLst>
            <a:ext uri="{FF2B5EF4-FFF2-40B4-BE49-F238E27FC236}">
              <a16:creationId xmlns:a16="http://schemas.microsoft.com/office/drawing/2014/main" id="{514DD5B7-296B-4FE7-B5CC-453D180762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250" y="1"/>
          <a:ext cx="2799080" cy="111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2</xdr:col>
      <xdr:colOff>495300</xdr:colOff>
      <xdr:row>3</xdr:row>
      <xdr:rowOff>80010</xdr:rowOff>
    </xdr:to>
    <xdr:pic>
      <xdr:nvPicPr>
        <xdr:cNvPr id="2" name="Picture 1">
          <a:extLst>
            <a:ext uri="{FF2B5EF4-FFF2-40B4-BE49-F238E27FC236}">
              <a16:creationId xmlns:a16="http://schemas.microsoft.com/office/drawing/2014/main" id="{514DD5B7-296B-4FE7-B5CC-453D180762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
          <a:ext cx="285750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3"/>
  <sheetViews>
    <sheetView showGridLines="0" topLeftCell="A6" workbookViewId="0">
      <selection activeCell="G10" sqref="G10"/>
    </sheetView>
  </sheetViews>
  <sheetFormatPr defaultColWidth="8.81640625" defaultRowHeight="14.5" x14ac:dyDescent="0.35"/>
  <cols>
    <col min="1" max="1" width="4.7265625" style="27" customWidth="1"/>
    <col min="2" max="2" width="106.26953125" style="27" customWidth="1"/>
    <col min="3" max="3" width="4.1796875" style="27" customWidth="1"/>
    <col min="4" max="16384" width="8.81640625" style="27"/>
  </cols>
  <sheetData>
    <row r="1" spans="1:3" x14ac:dyDescent="0.35">
      <c r="A1" s="168"/>
      <c r="B1" s="38"/>
      <c r="C1" s="168"/>
    </row>
    <row r="2" spans="1:3" ht="33.65" customHeight="1" x14ac:dyDescent="0.35">
      <c r="A2" s="168"/>
      <c r="B2" s="40" t="s">
        <v>88</v>
      </c>
      <c r="C2" s="168"/>
    </row>
    <row r="3" spans="1:3" ht="70" customHeight="1" x14ac:dyDescent="0.35">
      <c r="A3" s="168"/>
      <c r="B3" s="42" t="s">
        <v>239</v>
      </c>
      <c r="C3" s="168"/>
    </row>
    <row r="4" spans="1:3" ht="24" customHeight="1" x14ac:dyDescent="0.35">
      <c r="A4" s="168"/>
      <c r="B4" s="28" t="s">
        <v>89</v>
      </c>
      <c r="C4" s="168"/>
    </row>
    <row r="5" spans="1:3" ht="60" customHeight="1" x14ac:dyDescent="0.35">
      <c r="A5" s="168"/>
      <c r="B5" s="42" t="s">
        <v>90</v>
      </c>
      <c r="C5" s="168"/>
    </row>
    <row r="6" spans="1:3" ht="29" x14ac:dyDescent="0.35">
      <c r="A6" s="168"/>
      <c r="B6" s="41" t="s">
        <v>91</v>
      </c>
      <c r="C6" s="168"/>
    </row>
    <row r="7" spans="1:3" ht="29" x14ac:dyDescent="0.35">
      <c r="A7" s="168"/>
      <c r="B7" s="101" t="s">
        <v>97</v>
      </c>
      <c r="C7" s="168"/>
    </row>
    <row r="8" spans="1:3" ht="46.5" customHeight="1" x14ac:dyDescent="0.35">
      <c r="A8" s="168"/>
      <c r="B8" s="102" t="s">
        <v>96</v>
      </c>
      <c r="C8" s="168"/>
    </row>
    <row r="9" spans="1:3" ht="37.9" customHeight="1" x14ac:dyDescent="0.35">
      <c r="A9" s="168"/>
      <c r="B9" s="89" t="s">
        <v>95</v>
      </c>
      <c r="C9" s="168"/>
    </row>
    <row r="10" spans="1:3" x14ac:dyDescent="0.35">
      <c r="A10" s="168"/>
      <c r="B10" s="88"/>
      <c r="C10" s="168"/>
    </row>
    <row r="11" spans="1:3" ht="41.25" customHeight="1" x14ac:dyDescent="0.35">
      <c r="A11" s="168"/>
      <c r="B11" s="25" t="s">
        <v>223</v>
      </c>
      <c r="C11" s="168"/>
    </row>
    <row r="12" spans="1:3" ht="72.5" customHeight="1" x14ac:dyDescent="0.35">
      <c r="A12" s="168"/>
      <c r="B12" s="31" t="s">
        <v>240</v>
      </c>
      <c r="C12" s="168"/>
    </row>
    <row r="13" spans="1:3" x14ac:dyDescent="0.35">
      <c r="A13" s="168"/>
      <c r="B13" s="32"/>
      <c r="C13" s="168"/>
    </row>
    <row r="14" spans="1:3" x14ac:dyDescent="0.35">
      <c r="B14" s="39"/>
    </row>
    <row r="15" spans="1:3" x14ac:dyDescent="0.35">
      <c r="B15" s="39"/>
    </row>
    <row r="16" spans="1:3" x14ac:dyDescent="0.35">
      <c r="B16" s="39"/>
    </row>
    <row r="17" spans="2:2" x14ac:dyDescent="0.35">
      <c r="B17" s="39"/>
    </row>
    <row r="18" spans="2:2" x14ac:dyDescent="0.35">
      <c r="B18" s="39"/>
    </row>
    <row r="19" spans="2:2" x14ac:dyDescent="0.35">
      <c r="B19" s="39"/>
    </row>
    <row r="20" spans="2:2" x14ac:dyDescent="0.35">
      <c r="B20" s="39"/>
    </row>
    <row r="21" spans="2:2" x14ac:dyDescent="0.35">
      <c r="B21" s="39"/>
    </row>
    <row r="22" spans="2:2" x14ac:dyDescent="0.35">
      <c r="B22" s="39"/>
    </row>
    <row r="23" spans="2:2" x14ac:dyDescent="0.35">
      <c r="B23" s="39"/>
    </row>
  </sheetData>
  <sheetProtection algorithmName="SHA-512" hashValue="ZCacfcsMHYjqyQeYphaSjJtRFwBfCmxqGOvOM/vyuqM8i4MGGtdIMF/3FVJ/ivQHzD/qPSDDrzXcFAGffc6qnw==" saltValue="Xoj7RYn/ZmgqkQpbTL6Rcw==" spinCount="100000" sheet="1" objects="1" scenarios="1"/>
  <mergeCells count="2">
    <mergeCell ref="C1:C13"/>
    <mergeCell ref="A1:A1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86"/>
  <sheetViews>
    <sheetView showGridLines="0" zoomScale="90" zoomScaleNormal="90" workbookViewId="0">
      <selection activeCell="A83" sqref="A83:E83"/>
    </sheetView>
  </sheetViews>
  <sheetFormatPr defaultColWidth="8.81640625" defaultRowHeight="12" x14ac:dyDescent="0.3"/>
  <cols>
    <col min="1" max="1" width="23.453125" style="33" customWidth="1"/>
    <col min="2" max="2" width="14.7265625" style="33" customWidth="1"/>
    <col min="3" max="3" width="13.7265625" style="33" bestFit="1" customWidth="1"/>
    <col min="4" max="4" width="14.26953125" style="33" customWidth="1"/>
    <col min="5" max="5" width="10.453125" style="33" customWidth="1"/>
    <col min="6" max="6" width="13.1796875" style="33" customWidth="1"/>
    <col min="7" max="7" width="11.26953125" style="33" customWidth="1"/>
    <col min="8" max="8" width="12.81640625" style="33" customWidth="1"/>
    <col min="9" max="9" width="11.26953125" style="33" customWidth="1"/>
    <col min="10" max="10" width="11.54296875" style="33" customWidth="1"/>
    <col min="11" max="11" width="10.54296875" style="33" customWidth="1"/>
    <col min="12" max="12" width="11.26953125" style="33" customWidth="1"/>
    <col min="13" max="13" width="12" style="33" customWidth="1"/>
    <col min="14" max="14" width="12.26953125" style="33" customWidth="1"/>
    <col min="15" max="15" width="11.453125" style="33" customWidth="1"/>
    <col min="16" max="16" width="13" style="33" customWidth="1"/>
    <col min="17" max="17" width="12.1796875" style="33" customWidth="1"/>
    <col min="18" max="18" width="10.7265625" style="33" customWidth="1"/>
    <col min="19" max="19" width="12.7265625" style="33" customWidth="1"/>
    <col min="20" max="20" width="11.26953125" style="33" customWidth="1"/>
    <col min="21" max="16384" width="8.81640625" style="33"/>
  </cols>
  <sheetData>
    <row r="1" spans="1:20" ht="20.25" customHeight="1" x14ac:dyDescent="0.3">
      <c r="C1" s="37"/>
      <c r="D1" s="195" t="s">
        <v>74</v>
      </c>
      <c r="E1" s="195"/>
      <c r="F1" s="195"/>
      <c r="G1" s="195"/>
      <c r="H1" s="195"/>
      <c r="I1" s="195"/>
      <c r="J1" s="195"/>
    </row>
    <row r="2" spans="1:20" ht="48" x14ac:dyDescent="0.3">
      <c r="C2" s="34"/>
      <c r="D2" s="188"/>
      <c r="E2" s="188"/>
      <c r="F2" s="35" t="s">
        <v>22</v>
      </c>
      <c r="G2" s="35" t="s">
        <v>124</v>
      </c>
      <c r="H2" s="35" t="s">
        <v>23</v>
      </c>
      <c r="I2" s="35" t="s">
        <v>196</v>
      </c>
      <c r="J2" s="143" t="s">
        <v>80</v>
      </c>
      <c r="K2" s="213"/>
      <c r="L2" s="213"/>
    </row>
    <row r="3" spans="1:20" ht="14.5" customHeight="1" x14ac:dyDescent="0.3">
      <c r="C3" s="30"/>
      <c r="D3" s="189" t="s">
        <v>81</v>
      </c>
      <c r="E3" s="189"/>
      <c r="F3" s="66" t="str">
        <f t="shared" ref="F3:J4" si="0">D10</f>
        <v xml:space="preserve"> </v>
      </c>
      <c r="G3" s="67" t="str">
        <f t="shared" si="0"/>
        <v xml:space="preserve"> </v>
      </c>
      <c r="H3" s="66" t="str">
        <f t="shared" si="0"/>
        <v xml:space="preserve"> </v>
      </c>
      <c r="I3" s="67" t="str">
        <f t="shared" si="0"/>
        <v/>
      </c>
      <c r="J3" s="67" t="str">
        <f t="shared" si="0"/>
        <v xml:space="preserve"> </v>
      </c>
    </row>
    <row r="4" spans="1:20" ht="14.5" customHeight="1" x14ac:dyDescent="0.3">
      <c r="C4" s="30"/>
      <c r="D4" s="189" t="s">
        <v>207</v>
      </c>
      <c r="E4" s="189"/>
      <c r="F4" s="67" t="str">
        <f t="shared" si="0"/>
        <v xml:space="preserve"> </v>
      </c>
      <c r="G4" s="67" t="str">
        <f t="shared" si="0"/>
        <v xml:space="preserve"> </v>
      </c>
      <c r="H4" s="67" t="str">
        <f t="shared" si="0"/>
        <v xml:space="preserve"> </v>
      </c>
      <c r="I4" s="67" t="str">
        <f t="shared" si="0"/>
        <v xml:space="preserve"> </v>
      </c>
      <c r="J4" s="67" t="str">
        <f t="shared" si="0"/>
        <v xml:space="preserve"> </v>
      </c>
    </row>
    <row r="5" spans="1:20" ht="18" customHeight="1" x14ac:dyDescent="0.3">
      <c r="C5" s="30"/>
      <c r="D5" s="189" t="s">
        <v>20</v>
      </c>
      <c r="E5" s="189"/>
      <c r="F5" s="68" t="str">
        <f>D12</f>
        <v xml:space="preserve"> </v>
      </c>
      <c r="G5" s="68" t="str">
        <f>E12</f>
        <v xml:space="preserve"> </v>
      </c>
      <c r="H5" s="68" t="str">
        <f>F12</f>
        <v xml:space="preserve"> </v>
      </c>
      <c r="I5" s="68" t="str">
        <f>G12</f>
        <v xml:space="preserve"> </v>
      </c>
      <c r="J5" s="67"/>
    </row>
    <row r="6" spans="1:20" ht="14.5" customHeight="1" x14ac:dyDescent="0.3">
      <c r="C6" s="30"/>
      <c r="D6" s="213"/>
      <c r="E6" s="213"/>
      <c r="F6" s="36"/>
      <c r="G6" s="36"/>
      <c r="H6" s="36"/>
      <c r="I6" s="36"/>
      <c r="J6" s="29"/>
    </row>
    <row r="7" spans="1:20" s="29" customFormat="1" ht="14.5" hidden="1" customHeight="1" x14ac:dyDescent="0.35">
      <c r="A7" s="128"/>
      <c r="B7" s="216"/>
      <c r="C7" s="216"/>
      <c r="D7" s="216"/>
      <c r="E7" s="216"/>
      <c r="F7" s="129"/>
      <c r="G7" s="129"/>
      <c r="H7" s="129"/>
      <c r="I7" s="129"/>
    </row>
    <row r="8" spans="1:20" s="29" customFormat="1" ht="16.149999999999999" hidden="1" customHeight="1" x14ac:dyDescent="0.3">
      <c r="B8" s="186" t="s">
        <v>200</v>
      </c>
      <c r="C8" s="187"/>
      <c r="D8" s="187"/>
      <c r="E8" s="187"/>
      <c r="F8" s="187"/>
      <c r="G8" s="187"/>
      <c r="H8" s="187"/>
      <c r="L8" s="186" t="s">
        <v>201</v>
      </c>
      <c r="M8" s="187"/>
      <c r="N8" s="187"/>
      <c r="O8" s="187"/>
      <c r="P8" s="187"/>
      <c r="Q8" s="187"/>
    </row>
    <row r="9" spans="1:20" s="29" customFormat="1" ht="44.5" hidden="1" customHeight="1" x14ac:dyDescent="0.3">
      <c r="B9" s="188"/>
      <c r="C9" s="188"/>
      <c r="D9" s="127" t="s">
        <v>22</v>
      </c>
      <c r="E9" s="127" t="s">
        <v>124</v>
      </c>
      <c r="F9" s="127" t="s">
        <v>23</v>
      </c>
      <c r="G9" s="127" t="s">
        <v>196</v>
      </c>
      <c r="H9" s="143" t="s">
        <v>80</v>
      </c>
      <c r="L9" s="188"/>
      <c r="M9" s="188"/>
      <c r="N9" s="127" t="s">
        <v>22</v>
      </c>
      <c r="O9" s="127" t="s">
        <v>124</v>
      </c>
      <c r="P9" s="127" t="s">
        <v>23</v>
      </c>
      <c r="Q9" s="143" t="s">
        <v>80</v>
      </c>
    </row>
    <row r="10" spans="1:20" s="29" customFormat="1" ht="14.5" hidden="1" customHeight="1" x14ac:dyDescent="0.3">
      <c r="B10" s="189" t="s">
        <v>81</v>
      </c>
      <c r="C10" s="189"/>
      <c r="D10" s="66" t="str">
        <f>IF(M37&gt;=1, ROUND(L37/M37, 1), " ")</f>
        <v xml:space="preserve"> </v>
      </c>
      <c r="E10" s="67" t="str">
        <f>IF(G48&gt;=1, H49, " ")</f>
        <v xml:space="preserve"> </v>
      </c>
      <c r="F10" s="66" t="str">
        <f>IF(K57&gt;=10, L58, " ")</f>
        <v xml:space="preserve"> </v>
      </c>
      <c r="G10" s="67" t="str">
        <f>IF( E82 &gt; 0, E82, "")</f>
        <v/>
      </c>
      <c r="H10" s="67" t="str">
        <f>IF(M37&gt;=1, ROUND(SUM(D13:G13), 1), " ")</f>
        <v xml:space="preserve"> </v>
      </c>
      <c r="L10" s="189" t="s">
        <v>81</v>
      </c>
      <c r="M10" s="189"/>
      <c r="N10" s="66" t="str">
        <f>IF(M37&gt;=1, ROUND(L37/M37, 1), " ")</f>
        <v xml:space="preserve"> </v>
      </c>
      <c r="O10" s="67" t="str">
        <f>IF(G48&gt;=1, H49, " ")</f>
        <v xml:space="preserve"> </v>
      </c>
      <c r="P10" s="66" t="str">
        <f>IF(K57&gt;=10, L58, " ")</f>
        <v xml:space="preserve"> </v>
      </c>
      <c r="Q10" s="67" t="str">
        <f>IF(M37&gt;=1, ROUND(SUM(N13:P13), 1), " ")</f>
        <v xml:space="preserve"> </v>
      </c>
    </row>
    <row r="11" spans="1:20" s="29" customFormat="1" ht="14.5" hidden="1" customHeight="1" x14ac:dyDescent="0.3">
      <c r="B11" s="189" t="s">
        <v>207</v>
      </c>
      <c r="C11" s="189"/>
      <c r="D11" s="67" t="str">
        <f>IF(M37&gt;=1, IF(D10&lt;50, "F", IF(D10&lt;60, "D", IF(D10&lt;75, "C", IF(D10&lt;90, "B", "A")))), " ")</f>
        <v xml:space="preserve"> </v>
      </c>
      <c r="E11" s="67" t="str">
        <f>IF(G48&gt;=1, IF(E10&lt;50, "F", IF(E10&lt;60, "D", IF(E10&lt;75, "C", IF(E10&lt;90, "B", "A")))), " ")</f>
        <v xml:space="preserve"> </v>
      </c>
      <c r="F11" s="67" t="str">
        <f>IF(K57&gt;=10, IF(F10&lt;50, "F", IF(F10&lt;60, "D", IF(F10&lt;75, "C", IF(F10&lt;90, "B", "A")))), " ")</f>
        <v xml:space="preserve"> </v>
      </c>
      <c r="G11" s="67" t="str">
        <f>IF( E82 &gt; 0, IF(G10&lt;50, "F", IF(G10&lt;60, "D", IF(G10&lt;75, "C", IF(G10&lt;90, "B", "A")))), " ")</f>
        <v xml:space="preserve"> </v>
      </c>
      <c r="H11" s="67" t="str">
        <f>IF(M37&gt;=1, IF(H10&lt;50, "F", IF(H10&lt;60, "D", IF(H10&lt;75, "C", IF(H10&lt;90, "B", "A")))), " ")</f>
        <v xml:space="preserve"> </v>
      </c>
      <c r="L11" s="189" t="s">
        <v>207</v>
      </c>
      <c r="M11" s="189"/>
      <c r="N11" s="67" t="str">
        <f>IF(M37&gt;=1, IF(N10&lt;50, "F", IF(N10&lt;60, "D", IF(N10&lt;75, "C", IF(N10&lt;90, "B", "A")))), " ")</f>
        <v xml:space="preserve"> </v>
      </c>
      <c r="O11" s="67" t="str">
        <f>IF(G48&gt;=1, IF(O10&lt;50, "F", IF(O10&lt;60, "D", IF(O10&lt;75, "C", IF(O10&lt;90, "B", "A")))), " ")</f>
        <v xml:space="preserve"> </v>
      </c>
      <c r="P11" s="67" t="str">
        <f>IF(K57&gt;=10, IF(P10&lt;50, "F", IF(P10&lt;60, "D", IF(P10&lt;75, "C", IF(P10&lt;90, "B", "A")))), " ")</f>
        <v xml:space="preserve"> </v>
      </c>
      <c r="Q11" s="67" t="str">
        <f>IF(M37&gt;=1, IF(Q10&lt;50, "F", IF(Q10&lt;60, "D", IF(Q10&lt;75, "C", IF(Q10&lt;90, "B", "A")))), " ")</f>
        <v xml:space="preserve"> </v>
      </c>
    </row>
    <row r="12" spans="1:20" s="29" customFormat="1" ht="14.5" hidden="1" customHeight="1" x14ac:dyDescent="0.3">
      <c r="B12" s="189" t="s">
        <v>20</v>
      </c>
      <c r="C12" s="189"/>
      <c r="D12" s="68" t="str">
        <f>IF(M37&gt;=1, SUM(F16:F19), " ")</f>
        <v xml:space="preserve"> </v>
      </c>
      <c r="E12" s="68" t="str">
        <f>IF(G48&gt;=1, SUM(G16:G19), " ")</f>
        <v xml:space="preserve"> </v>
      </c>
      <c r="F12" s="68" t="str">
        <f>IF(K57&gt;=10, SUM(H16:H19), " ")</f>
        <v xml:space="preserve"> </v>
      </c>
      <c r="G12" s="68" t="str">
        <f>IF( E82 &gt; 0, SUM(I16:I19), " ")</f>
        <v xml:space="preserve"> </v>
      </c>
      <c r="H12" s="67"/>
      <c r="L12" s="189" t="s">
        <v>20</v>
      </c>
      <c r="M12" s="189"/>
      <c r="N12" s="68" t="str">
        <f>IF(M37&gt;=1, SUM(Q16:Q19), " ")</f>
        <v xml:space="preserve"> </v>
      </c>
      <c r="O12" s="68" t="str">
        <f>IF(G48&gt;=1, SUM(R16:R19), " ")</f>
        <v xml:space="preserve"> </v>
      </c>
      <c r="P12" s="68" t="str">
        <f>IF(K57&gt;=10, SUM(S16:S19), " ")</f>
        <v xml:space="preserve"> </v>
      </c>
      <c r="Q12" s="67"/>
    </row>
    <row r="13" spans="1:20" s="29" customFormat="1" ht="14.5" hidden="1" customHeight="1" x14ac:dyDescent="0.35">
      <c r="A13" s="128"/>
      <c r="B13" s="130"/>
      <c r="C13" s="130"/>
      <c r="D13" s="36" t="str">
        <f>IF(M37&gt;=1, ROUND(D10*D12, 3), " ")</f>
        <v xml:space="preserve"> </v>
      </c>
      <c r="E13" s="36" t="str">
        <f>IF(G48&gt;=1, ROUND(E10*E12, 3), " ")</f>
        <v xml:space="preserve"> </v>
      </c>
      <c r="F13" s="36" t="str">
        <f>IF(K57&gt;=10, ROUND(F10*F12, 3), " ")</f>
        <v xml:space="preserve"> </v>
      </c>
      <c r="G13" s="36" t="str">
        <f>IF( E82&gt;0, ROUND(G10*G12, 3), " ")</f>
        <v xml:space="preserve"> </v>
      </c>
      <c r="H13" s="157"/>
      <c r="I13" s="129"/>
      <c r="N13" s="160" t="str">
        <f>IF(M37&gt;=1, ROUND(N10*N12, 3), " ")</f>
        <v xml:space="preserve"> </v>
      </c>
      <c r="O13" s="160" t="str">
        <f>IF(G48&gt;=1, ROUND(O10*O12, 3), " ")</f>
        <v xml:space="preserve"> </v>
      </c>
      <c r="P13" s="160" t="str">
        <f>IF(K57&gt;=10, ROUND(P10*P12, 3), " ")</f>
        <v xml:space="preserve"> </v>
      </c>
      <c r="Q13" s="160"/>
    </row>
    <row r="14" spans="1:20" ht="14.5" hidden="1" customHeight="1" x14ac:dyDescent="0.35">
      <c r="A14" s="128"/>
      <c r="B14" s="129"/>
      <c r="C14" s="129"/>
      <c r="D14" s="129"/>
      <c r="E14" s="129"/>
      <c r="F14" s="129"/>
      <c r="G14" s="129"/>
      <c r="H14" s="129"/>
      <c r="I14" s="129"/>
      <c r="J14" s="29"/>
    </row>
    <row r="15" spans="1:20" ht="14.5" hidden="1" customHeight="1" x14ac:dyDescent="0.3">
      <c r="A15" s="152" t="s">
        <v>159</v>
      </c>
      <c r="B15" s="183" t="s">
        <v>158</v>
      </c>
      <c r="C15" s="184"/>
      <c r="D15" s="184"/>
      <c r="E15" s="185"/>
      <c r="F15" s="152" t="s">
        <v>160</v>
      </c>
      <c r="G15" s="152" t="s">
        <v>156</v>
      </c>
      <c r="H15" s="152" t="s">
        <v>157</v>
      </c>
      <c r="I15" s="152" t="s">
        <v>163</v>
      </c>
      <c r="J15" s="29"/>
      <c r="L15" s="152" t="s">
        <v>159</v>
      </c>
      <c r="M15" s="182" t="s">
        <v>158</v>
      </c>
      <c r="N15" s="182"/>
      <c r="O15" s="182"/>
      <c r="P15" s="182"/>
      <c r="Q15" s="152" t="s">
        <v>160</v>
      </c>
      <c r="R15" s="152" t="s">
        <v>156</v>
      </c>
      <c r="S15" s="152" t="s">
        <v>157</v>
      </c>
      <c r="T15" s="152" t="s">
        <v>163</v>
      </c>
    </row>
    <row r="16" spans="1:20" ht="14.5" hidden="1" customHeight="1" x14ac:dyDescent="0.3">
      <c r="A16" s="152">
        <v>1</v>
      </c>
      <c r="B16" s="183" t="s">
        <v>164</v>
      </c>
      <c r="C16" s="184"/>
      <c r="D16" s="184"/>
      <c r="E16" s="185"/>
      <c r="F16" s="152">
        <f>IF(AND(M37 &gt;= 1, G48 &gt;= 1, K57 &gt;= 10, E82 &gt; 0), 0.65, 0)</f>
        <v>0</v>
      </c>
      <c r="G16" s="152">
        <f>IF(AND(M37 &gt;= 1, G48 &gt;= 1, K57 &gt;= 10, E82 &gt; 0), 0.25, 0)</f>
        <v>0</v>
      </c>
      <c r="H16" s="152">
        <f>IF(AND(M37 &gt;= 1, G48 &gt;= 1, K57 &gt;= 10, E82 &gt; 0), 0.05, 0)</f>
        <v>0</v>
      </c>
      <c r="I16" s="152">
        <f>IF(AND(M37 &gt;= 1, G48 &gt;= 1, K57 &gt;= 10, E82 &gt; 0), 0.05, 0)</f>
        <v>0</v>
      </c>
      <c r="J16" s="29"/>
      <c r="L16" s="152">
        <v>5</v>
      </c>
      <c r="M16" s="183" t="s">
        <v>168</v>
      </c>
      <c r="N16" s="184"/>
      <c r="O16" s="184"/>
      <c r="P16" s="185"/>
      <c r="Q16" s="152">
        <f>IF(AND(M37 &gt;= 1, G48 &gt;= 1, K57 &gt;= 10), 0.7, 0)</f>
        <v>0</v>
      </c>
      <c r="R16" s="152">
        <f>IF(AND(M37 &gt;= 1, G48 &gt;= 1, K57 &gt;= 10), 0.25, 0)</f>
        <v>0</v>
      </c>
      <c r="S16" s="152">
        <f>IF(AND(M37 &gt;= 1, G48 &gt;= 1, K57 &gt;= 10), 0.05, 0)</f>
        <v>0</v>
      </c>
      <c r="T16" s="152" t="s">
        <v>194</v>
      </c>
    </row>
    <row r="17" spans="1:20" ht="14.5" hidden="1" customHeight="1" x14ac:dyDescent="0.3">
      <c r="A17" s="152">
        <v>2</v>
      </c>
      <c r="B17" s="183" t="s">
        <v>165</v>
      </c>
      <c r="C17" s="184"/>
      <c r="D17" s="184"/>
      <c r="E17" s="185"/>
      <c r="F17" s="152">
        <f>IF(AND(M37 &gt;= 1, G48 &gt;= 1, K57 &lt; 10, E82 &gt; 0), 0.7, 0)</f>
        <v>0</v>
      </c>
      <c r="G17" s="152">
        <f>IF(AND(M37 &gt;= 1, G48 &gt;= 1, K57 &lt; 10, E82 &gt; 0), 0.25, 0)</f>
        <v>0</v>
      </c>
      <c r="H17" s="152">
        <f>IF(AND(M37 &gt;= 1, G48 &gt;= 1, K57 &lt; 10, E82 &gt; 0), 0, 0)</f>
        <v>0</v>
      </c>
      <c r="I17" s="152">
        <f>IF(AND(M37 &gt;= 1, G48 &gt;= 1, K57 &lt; 10, E82 &gt; 0), 0.05, 0)</f>
        <v>0</v>
      </c>
      <c r="J17" s="29"/>
      <c r="L17" s="152">
        <v>6</v>
      </c>
      <c r="M17" s="183" t="s">
        <v>169</v>
      </c>
      <c r="N17" s="184"/>
      <c r="O17" s="184"/>
      <c r="P17" s="185"/>
      <c r="Q17" s="152">
        <f>IF(AND(M37 &gt;= 1, G48 &lt; 1, K57 &gt;= 10), 0.95, 0)</f>
        <v>0</v>
      </c>
      <c r="R17" s="152">
        <f>IF(AND(M37 &gt;= 1, G48 &lt; 1, K57 &gt;= 10), 0, 0)</f>
        <v>0</v>
      </c>
      <c r="S17" s="152">
        <f>IF(AND(M37 &gt;= 1, G48 &lt; 1, K57 &gt;= 10), 0.05, 0)</f>
        <v>0</v>
      </c>
      <c r="T17" s="152" t="s">
        <v>194</v>
      </c>
    </row>
    <row r="18" spans="1:20" ht="14.5" hidden="1" customHeight="1" x14ac:dyDescent="0.3">
      <c r="A18" s="152">
        <v>3</v>
      </c>
      <c r="B18" s="183" t="s">
        <v>166</v>
      </c>
      <c r="C18" s="184"/>
      <c r="D18" s="184"/>
      <c r="E18" s="185"/>
      <c r="F18" s="152">
        <f>IF(AND(M37 &gt;= 1, G48 &lt; 1, K57 &lt; 10, E82 &gt; 0), 0.95, 0)</f>
        <v>0</v>
      </c>
      <c r="G18" s="152">
        <f>IF(AND(M37 &gt;= 1, G48 &lt; 1, K57 &lt; 10, E82 &gt; 0), 0, 0)</f>
        <v>0</v>
      </c>
      <c r="H18" s="152">
        <f>IF(AND(M37 &gt;= 1, G48 &lt; 1, K57 &lt; 10, E82 &gt; 0), 0, 0)</f>
        <v>0</v>
      </c>
      <c r="I18" s="152">
        <f>IF(AND(M37 &gt;= 1, G48 &lt; 1, K57 &lt; 10, E82 &gt; 0), 0.05, 0)</f>
        <v>0</v>
      </c>
      <c r="J18" s="29"/>
      <c r="L18" s="152">
        <v>7</v>
      </c>
      <c r="M18" s="183" t="s">
        <v>170</v>
      </c>
      <c r="N18" s="184"/>
      <c r="O18" s="184"/>
      <c r="P18" s="185"/>
      <c r="Q18" s="152">
        <f>IF(AND(M37 &gt;= 1, G48 &gt;= 1, K57 &lt; 10), 0.75, 0)</f>
        <v>0</v>
      </c>
      <c r="R18" s="152">
        <f>IF(AND(M37 &gt;= 1, G48 &gt;= 1, K57 &lt; 10), 0.25, 0)</f>
        <v>0</v>
      </c>
      <c r="S18" s="152">
        <f>IF(AND(M37 &gt;= 1, G48 &gt;= 1, K57 &lt; 10), 0, 0)</f>
        <v>0</v>
      </c>
      <c r="T18" s="152" t="s">
        <v>194</v>
      </c>
    </row>
    <row r="19" spans="1:20" ht="14.5" hidden="1" customHeight="1" x14ac:dyDescent="0.3">
      <c r="A19" s="152">
        <v>4</v>
      </c>
      <c r="B19" s="183" t="s">
        <v>167</v>
      </c>
      <c r="C19" s="184"/>
      <c r="D19" s="184"/>
      <c r="E19" s="185"/>
      <c r="F19" s="152">
        <f>IF(AND(M37 &gt;= 1, G48 &lt; 1, K57 &gt;= 10, E82 &gt; 0), 0.9, 0)</f>
        <v>0</v>
      </c>
      <c r="G19" s="152">
        <f>IF(AND(M37 &gt;= 1, G48 &lt; 1, K57 &gt;= 10, E82 &gt; 0), 0, 0)</f>
        <v>0</v>
      </c>
      <c r="H19" s="152">
        <f>IF(AND(M37 &gt;= 1, G48 &lt; 1, K57 &gt;= 10, E82 &gt; 0), 0.05, 0)</f>
        <v>0</v>
      </c>
      <c r="I19" s="152">
        <f>IF(AND(M37 &gt;= 1, G48 &lt; 1, K57 &gt;= 10, E82 &gt; 0), 0.05, 0)</f>
        <v>0</v>
      </c>
      <c r="J19" s="29"/>
      <c r="L19" s="152">
        <v>8</v>
      </c>
      <c r="M19" s="183" t="s">
        <v>171</v>
      </c>
      <c r="N19" s="184"/>
      <c r="O19" s="184"/>
      <c r="P19" s="185"/>
      <c r="Q19" s="152">
        <f>IF(AND(M37 &gt;= 1, G48 &lt; 1, K57 &lt; 10), 1, 0)</f>
        <v>0</v>
      </c>
      <c r="R19" s="152">
        <f>IF(AND(M37 &gt;= 1, G48 &lt; 1, K57 &lt; 10), 0, 0)</f>
        <v>0</v>
      </c>
      <c r="S19" s="152">
        <f>IF(AND(M37 &gt;= 1, G48 &lt; 1, K57 &lt; 10), 0, 0)</f>
        <v>0</v>
      </c>
      <c r="T19" s="152" t="s">
        <v>194</v>
      </c>
    </row>
    <row r="20" spans="1:20" ht="15" hidden="1" customHeight="1" x14ac:dyDescent="0.3">
      <c r="C20" s="30"/>
      <c r="D20" s="26"/>
      <c r="E20" s="26"/>
      <c r="F20" s="36"/>
      <c r="G20" s="36"/>
      <c r="H20" s="36"/>
      <c r="I20" s="36"/>
      <c r="J20" s="29"/>
    </row>
    <row r="21" spans="1:20" ht="20.5" customHeight="1" x14ac:dyDescent="0.3">
      <c r="A21" s="214" t="s">
        <v>21</v>
      </c>
      <c r="B21" s="215"/>
      <c r="C21" s="215"/>
      <c r="D21" s="215"/>
      <c r="E21" s="215"/>
      <c r="F21" s="215"/>
      <c r="G21" s="215"/>
      <c r="H21" s="215"/>
      <c r="I21" s="215"/>
      <c r="J21" s="215"/>
      <c r="K21" s="215"/>
      <c r="L21" s="215"/>
    </row>
    <row r="22" spans="1:20" ht="10.9" customHeight="1" x14ac:dyDescent="0.3">
      <c r="A22" s="191" t="s">
        <v>146</v>
      </c>
      <c r="B22" s="190" t="s">
        <v>1</v>
      </c>
      <c r="C22" s="190"/>
      <c r="D22" s="190"/>
      <c r="E22" s="190"/>
      <c r="F22" s="190"/>
      <c r="G22" s="190"/>
      <c r="H22" s="190"/>
      <c r="I22" s="190"/>
      <c r="J22" s="191" t="s">
        <v>17</v>
      </c>
      <c r="K22" s="191" t="s">
        <v>18</v>
      </c>
      <c r="L22" s="191" t="s">
        <v>11</v>
      </c>
    </row>
    <row r="23" spans="1:20" x14ac:dyDescent="0.3">
      <c r="A23" s="191"/>
      <c r="B23" s="190" t="s">
        <v>2</v>
      </c>
      <c r="C23" s="190"/>
      <c r="D23" s="190"/>
      <c r="E23" s="190"/>
      <c r="F23" s="190"/>
      <c r="G23" s="191" t="s">
        <v>10</v>
      </c>
      <c r="H23" s="191" t="s">
        <v>210</v>
      </c>
      <c r="I23" s="191"/>
      <c r="J23" s="191"/>
      <c r="K23" s="191"/>
      <c r="L23" s="191"/>
    </row>
    <row r="24" spans="1:20" ht="66.650000000000006" customHeight="1" x14ac:dyDescent="0.3">
      <c r="A24" s="191"/>
      <c r="B24" s="1" t="s">
        <v>3</v>
      </c>
      <c r="C24" s="1" t="s">
        <v>93</v>
      </c>
      <c r="D24" s="1" t="s">
        <v>114</v>
      </c>
      <c r="E24" s="1" t="s">
        <v>4</v>
      </c>
      <c r="F24" s="1" t="s">
        <v>5</v>
      </c>
      <c r="G24" s="191"/>
      <c r="H24" s="1" t="s">
        <v>126</v>
      </c>
      <c r="I24" s="1" t="s">
        <v>12</v>
      </c>
      <c r="J24" s="191"/>
      <c r="K24" s="192"/>
      <c r="L24" s="191"/>
    </row>
    <row r="25" spans="1:20" x14ac:dyDescent="0.3">
      <c r="A25" s="7" t="s">
        <v>8</v>
      </c>
      <c r="B25" s="8"/>
      <c r="C25" s="8"/>
      <c r="D25" s="8"/>
      <c r="E25" s="8"/>
      <c r="F25" s="8"/>
      <c r="G25" s="63">
        <v>2</v>
      </c>
      <c r="H25" s="9"/>
      <c r="I25" s="9"/>
      <c r="J25" s="69">
        <f>(B25*150+C25*100+D25*80+E25*0+F25*0)*G25+(H25*50+I25*25)</f>
        <v>0</v>
      </c>
      <c r="K25" s="70">
        <f>SUM(B25:F25)*G25</f>
        <v>0</v>
      </c>
      <c r="L25" s="71">
        <f>IF(K25&gt;0, ROUND(J25/K25, 1), 0)</f>
        <v>0</v>
      </c>
    </row>
    <row r="26" spans="1:20" x14ac:dyDescent="0.3">
      <c r="A26" s="7" t="s">
        <v>9</v>
      </c>
      <c r="B26" s="8"/>
      <c r="C26" s="8"/>
      <c r="D26" s="8"/>
      <c r="E26" s="8"/>
      <c r="F26" s="8"/>
      <c r="G26" s="63">
        <v>2</v>
      </c>
      <c r="H26" s="9"/>
      <c r="I26" s="9"/>
      <c r="J26" s="69">
        <f>(B26*150+C26*100+D26*80+E26*0+F26*0)*G26+(H26*50+I26*25)</f>
        <v>0</v>
      </c>
      <c r="K26" s="70">
        <f t="shared" ref="K26:K28" si="1">SUM(B26:F26)*G26</f>
        <v>0</v>
      </c>
      <c r="L26" s="71">
        <f t="shared" ref="L26:L28" si="2">IF(K26&gt;0, ROUND(J26/K26, 1), 0)</f>
        <v>0</v>
      </c>
    </row>
    <row r="27" spans="1:20" x14ac:dyDescent="0.3">
      <c r="A27" s="10" t="s">
        <v>6</v>
      </c>
      <c r="B27" s="8"/>
      <c r="C27" s="8"/>
      <c r="D27" s="8"/>
      <c r="E27" s="8"/>
      <c r="F27" s="8"/>
      <c r="G27" s="63">
        <v>1</v>
      </c>
      <c r="H27" s="8"/>
      <c r="I27" s="8"/>
      <c r="J27" s="69">
        <f>(B27*150+C27*100+D27*80+E27*0+F27*0)*G27+(H27*50+I27*25)</f>
        <v>0</v>
      </c>
      <c r="K27" s="70">
        <f t="shared" si="1"/>
        <v>0</v>
      </c>
      <c r="L27" s="71">
        <f t="shared" si="2"/>
        <v>0</v>
      </c>
    </row>
    <row r="28" spans="1:20" x14ac:dyDescent="0.3">
      <c r="A28" s="7" t="s">
        <v>7</v>
      </c>
      <c r="B28" s="9"/>
      <c r="C28" s="9"/>
      <c r="D28" s="9"/>
      <c r="E28" s="9"/>
      <c r="F28" s="9"/>
      <c r="G28" s="63">
        <v>1</v>
      </c>
      <c r="H28" s="9"/>
      <c r="I28" s="9"/>
      <c r="J28" s="69">
        <f>(B28*150+C28*100+D28*80+E28*0+F28*0)*G28+(H28*50+I28*25)</f>
        <v>0</v>
      </c>
      <c r="K28" s="70">
        <f t="shared" si="1"/>
        <v>0</v>
      </c>
      <c r="L28" s="71">
        <f t="shared" si="2"/>
        <v>0</v>
      </c>
    </row>
    <row r="29" spans="1:20" ht="14.5" customHeight="1" x14ac:dyDescent="0.3">
      <c r="A29" s="191" t="s">
        <v>145</v>
      </c>
      <c r="B29" s="191"/>
      <c r="C29" s="191"/>
      <c r="D29" s="191"/>
      <c r="E29" s="191"/>
      <c r="F29" s="191"/>
      <c r="G29" s="191"/>
      <c r="H29" s="191"/>
      <c r="I29" s="191"/>
      <c r="J29" s="63">
        <f>SUM(J25:J28)</f>
        <v>0</v>
      </c>
      <c r="K29" s="63">
        <f>SUM(K25:K28)</f>
        <v>0</v>
      </c>
      <c r="L29" s="78">
        <f>IF(K29&gt;0, ROUND(J29/K29, 1), 0)</f>
        <v>0</v>
      </c>
    </row>
    <row r="30" spans="1:20" ht="41.25" customHeight="1" x14ac:dyDescent="0.3">
      <c r="A30" s="217" t="s">
        <v>238</v>
      </c>
      <c r="B30" s="218"/>
      <c r="C30" s="218"/>
      <c r="D30" s="218"/>
      <c r="E30" s="218"/>
      <c r="F30" s="218"/>
      <c r="G30" s="218"/>
      <c r="H30" s="218"/>
      <c r="I30" s="218"/>
      <c r="J30" s="218"/>
      <c r="K30" s="218"/>
      <c r="L30" s="218"/>
    </row>
    <row r="31" spans="1:20" x14ac:dyDescent="0.3">
      <c r="A31" s="193" t="s">
        <v>209</v>
      </c>
      <c r="B31" s="194"/>
      <c r="C31" s="194"/>
      <c r="D31" s="194"/>
      <c r="E31" s="194"/>
      <c r="F31" s="194"/>
      <c r="G31" s="194"/>
      <c r="H31" s="194"/>
      <c r="I31" s="194"/>
      <c r="J31" s="194"/>
      <c r="K31" s="194"/>
      <c r="L31" s="194"/>
    </row>
    <row r="32" spans="1:20" s="23" customFormat="1" ht="15" customHeight="1" x14ac:dyDescent="0.3">
      <c r="A32" s="90"/>
      <c r="B32" s="90"/>
      <c r="C32" s="90"/>
      <c r="D32" s="90"/>
      <c r="E32" s="90"/>
      <c r="F32" s="90"/>
      <c r="G32" s="90"/>
      <c r="H32" s="90"/>
      <c r="I32" s="17"/>
      <c r="J32" s="16"/>
      <c r="K32" s="16"/>
      <c r="L32" s="94"/>
      <c r="M32" s="24"/>
      <c r="N32" s="15"/>
      <c r="O32" s="15"/>
      <c r="P32" s="93"/>
    </row>
    <row r="33" spans="1:17" s="23" customFormat="1" ht="15" customHeight="1" x14ac:dyDescent="0.3">
      <c r="A33" s="191" t="s">
        <v>98</v>
      </c>
      <c r="B33" s="210" t="s">
        <v>1</v>
      </c>
      <c r="C33" s="211"/>
      <c r="D33" s="211"/>
      <c r="E33" s="211"/>
      <c r="F33" s="212"/>
      <c r="G33" s="192" t="s">
        <v>17</v>
      </c>
      <c r="H33" s="192" t="s">
        <v>18</v>
      </c>
      <c r="I33" s="192" t="s">
        <v>11</v>
      </c>
      <c r="J33" s="17"/>
      <c r="K33" s="226" t="s">
        <v>16</v>
      </c>
      <c r="L33" s="192" t="s">
        <v>17</v>
      </c>
      <c r="M33" s="192" t="s">
        <v>18</v>
      </c>
      <c r="N33" s="24"/>
      <c r="O33" s="15"/>
      <c r="P33" s="15"/>
      <c r="Q33" s="93"/>
    </row>
    <row r="34" spans="1:17" s="23" customFormat="1" ht="15" customHeight="1" x14ac:dyDescent="0.3">
      <c r="A34" s="191"/>
      <c r="B34" s="210" t="s">
        <v>2</v>
      </c>
      <c r="C34" s="211"/>
      <c r="D34" s="211"/>
      <c r="E34" s="212"/>
      <c r="F34" s="192" t="s">
        <v>10</v>
      </c>
      <c r="G34" s="208"/>
      <c r="H34" s="208"/>
      <c r="I34" s="208"/>
      <c r="J34" s="17"/>
      <c r="K34" s="227"/>
      <c r="L34" s="209"/>
      <c r="M34" s="209"/>
      <c r="N34" s="24"/>
      <c r="O34" s="15"/>
      <c r="P34" s="15"/>
      <c r="Q34" s="93"/>
    </row>
    <row r="35" spans="1:17" s="23" customFormat="1" ht="31.5" customHeight="1" x14ac:dyDescent="0.3">
      <c r="A35" s="191"/>
      <c r="B35" s="92" t="s">
        <v>99</v>
      </c>
      <c r="C35" s="92" t="s">
        <v>100</v>
      </c>
      <c r="D35" s="92" t="s">
        <v>115</v>
      </c>
      <c r="E35" s="92" t="s">
        <v>101</v>
      </c>
      <c r="F35" s="209"/>
      <c r="G35" s="209"/>
      <c r="H35" s="209"/>
      <c r="I35" s="209"/>
      <c r="J35" s="17"/>
      <c r="K35" s="126" t="s">
        <v>147</v>
      </c>
      <c r="L35" s="69">
        <f>J29+G72</f>
        <v>0</v>
      </c>
      <c r="M35" s="69">
        <f>K29+H72</f>
        <v>0</v>
      </c>
      <c r="N35" s="24"/>
      <c r="O35" s="15"/>
      <c r="P35" s="15"/>
      <c r="Q35" s="93"/>
    </row>
    <row r="36" spans="1:17" s="23" customFormat="1" ht="15" customHeight="1" x14ac:dyDescent="0.3">
      <c r="A36" s="91" t="s">
        <v>13</v>
      </c>
      <c r="B36" s="8"/>
      <c r="C36" s="8"/>
      <c r="D36" s="8"/>
      <c r="E36" s="8"/>
      <c r="F36" s="72">
        <v>2</v>
      </c>
      <c r="G36" s="69">
        <f>(B36*150+C36*100+D36*80+E36*0)*F36</f>
        <v>0</v>
      </c>
      <c r="H36" s="73">
        <f>SUM(B36:E36)*F36</f>
        <v>0</v>
      </c>
      <c r="I36" s="74">
        <f>IF(H36&gt;0, ROUND(G36/H36, 1), 0)</f>
        <v>0</v>
      </c>
      <c r="J36" s="17"/>
      <c r="K36" s="142" t="s">
        <v>193</v>
      </c>
      <c r="L36" s="69">
        <f>G39</f>
        <v>0</v>
      </c>
      <c r="M36" s="69">
        <f>H39</f>
        <v>0</v>
      </c>
      <c r="N36" s="24"/>
      <c r="O36" s="15"/>
      <c r="P36" s="15"/>
      <c r="Q36" s="93"/>
    </row>
    <row r="37" spans="1:17" s="23" customFormat="1" ht="15" customHeight="1" x14ac:dyDescent="0.3">
      <c r="A37" s="91" t="s">
        <v>14</v>
      </c>
      <c r="B37" s="8"/>
      <c r="C37" s="8"/>
      <c r="D37" s="8"/>
      <c r="E37" s="8"/>
      <c r="F37" s="72">
        <v>2</v>
      </c>
      <c r="G37" s="69">
        <f>(B37*150+C37*100+D37*80+E37*0)*F37</f>
        <v>0</v>
      </c>
      <c r="H37" s="73">
        <f>SUM(B37:E37)*F37</f>
        <v>0</v>
      </c>
      <c r="I37" s="74">
        <f>IF(H37&gt;0, ROUND(G37/H37, 1), 0)</f>
        <v>0</v>
      </c>
      <c r="J37" s="17"/>
      <c r="K37" s="126" t="s">
        <v>19</v>
      </c>
      <c r="L37" s="75">
        <f>SUM(L35:L36)</f>
        <v>0</v>
      </c>
      <c r="M37" s="63">
        <f>SUM(M35:M36)</f>
        <v>0</v>
      </c>
      <c r="N37" s="24"/>
      <c r="O37" s="15"/>
      <c r="P37" s="15"/>
      <c r="Q37" s="93"/>
    </row>
    <row r="38" spans="1:17" s="23" customFormat="1" ht="15" customHeight="1" x14ac:dyDescent="0.3">
      <c r="A38" s="148" t="s">
        <v>15</v>
      </c>
      <c r="B38" s="8"/>
      <c r="C38" s="8"/>
      <c r="D38" s="8"/>
      <c r="E38" s="8"/>
      <c r="F38" s="72">
        <v>1</v>
      </c>
      <c r="G38" s="69">
        <f>(B38*150+C38*100+D38*80+E38*0)*F38</f>
        <v>0</v>
      </c>
      <c r="H38" s="73">
        <f>SUM(B38:E38)*F38</f>
        <v>0</v>
      </c>
      <c r="I38" s="71">
        <f>IF(H38&gt;0, ROUND(G38/H38, 1), 0)</f>
        <v>0</v>
      </c>
      <c r="J38" s="17"/>
      <c r="K38" s="16"/>
      <c r="L38" s="16"/>
      <c r="M38" s="94"/>
      <c r="N38" s="24"/>
      <c r="O38" s="15"/>
      <c r="P38" s="15"/>
      <c r="Q38" s="93"/>
    </row>
    <row r="39" spans="1:17" s="23" customFormat="1" ht="15" customHeight="1" x14ac:dyDescent="0.3">
      <c r="A39" s="210" t="s">
        <v>215</v>
      </c>
      <c r="B39" s="219"/>
      <c r="C39" s="219"/>
      <c r="D39" s="219"/>
      <c r="E39" s="219"/>
      <c r="F39" s="220"/>
      <c r="G39" s="63">
        <f>SUM(G36:G38)</f>
        <v>0</v>
      </c>
      <c r="H39" s="63">
        <f>SUM(H36:H38)</f>
        <v>0</v>
      </c>
      <c r="I39" s="149">
        <f>IF(H39&gt;0, ROUND(G39/H39, 1), 0)</f>
        <v>0</v>
      </c>
      <c r="J39" s="16"/>
      <c r="K39" s="16"/>
      <c r="L39" s="94"/>
      <c r="M39" s="24"/>
      <c r="N39" s="15"/>
      <c r="O39" s="15"/>
      <c r="P39" s="93"/>
    </row>
    <row r="40" spans="1:17" ht="15" customHeight="1" x14ac:dyDescent="0.3">
      <c r="A40" s="225" t="s">
        <v>92</v>
      </c>
      <c r="B40" s="225"/>
      <c r="C40" s="225"/>
      <c r="D40" s="225"/>
      <c r="E40" s="225"/>
      <c r="F40" s="225"/>
      <c r="G40" s="225"/>
      <c r="H40" s="225"/>
      <c r="I40" s="225"/>
      <c r="J40" s="156"/>
      <c r="K40" s="156"/>
      <c r="L40" s="156"/>
    </row>
    <row r="41" spans="1:17" ht="15" customHeight="1" x14ac:dyDescent="0.3">
      <c r="A41" s="150"/>
      <c r="B41" s="150"/>
      <c r="C41" s="150"/>
      <c r="D41" s="150"/>
      <c r="E41" s="150"/>
      <c r="F41" s="150"/>
      <c r="G41" s="150"/>
      <c r="H41" s="150"/>
      <c r="I41" s="150"/>
      <c r="J41" s="150"/>
      <c r="K41" s="150"/>
      <c r="L41" s="150"/>
    </row>
    <row r="42" spans="1:17" ht="20.5" customHeight="1" x14ac:dyDescent="0.3">
      <c r="A42" s="179" t="s">
        <v>94</v>
      </c>
      <c r="B42" s="180"/>
      <c r="C42" s="180"/>
      <c r="D42" s="180"/>
      <c r="E42" s="180"/>
      <c r="F42" s="180"/>
      <c r="G42" s="180"/>
      <c r="H42" s="180"/>
      <c r="I42" s="29"/>
    </row>
    <row r="43" spans="1:17" ht="139.15" customHeight="1" x14ac:dyDescent="0.3">
      <c r="A43" s="43" t="s">
        <v>0</v>
      </c>
      <c r="B43" s="43" t="s">
        <v>105</v>
      </c>
      <c r="C43" s="43" t="s">
        <v>106</v>
      </c>
      <c r="D43" s="43" t="s">
        <v>107</v>
      </c>
      <c r="E43" s="43" t="s">
        <v>108</v>
      </c>
      <c r="F43" s="43" t="s">
        <v>109</v>
      </c>
      <c r="G43" s="95" t="s">
        <v>112</v>
      </c>
      <c r="H43" s="95" t="s">
        <v>113</v>
      </c>
      <c r="I43" s="29"/>
    </row>
    <row r="44" spans="1:17" x14ac:dyDescent="0.3">
      <c r="A44" s="44" t="s">
        <v>218</v>
      </c>
      <c r="B44" s="139"/>
      <c r="C44" s="139"/>
      <c r="D44" s="139"/>
      <c r="E44" s="139"/>
      <c r="F44" s="139"/>
      <c r="G44" s="67">
        <f>SUM(B44:F44)</f>
        <v>0</v>
      </c>
      <c r="H44" s="67">
        <f>B44*150 + C44*115+D44*85+E44*25+F44*0</f>
        <v>0</v>
      </c>
      <c r="I44" s="29"/>
    </row>
    <row r="45" spans="1:17" ht="12.5" thickBot="1" x14ac:dyDescent="0.35">
      <c r="A45" s="98" t="s">
        <v>217</v>
      </c>
      <c r="B45" s="99"/>
      <c r="C45" s="99"/>
      <c r="D45" s="99"/>
      <c r="E45" s="99"/>
      <c r="F45" s="99"/>
      <c r="G45" s="100">
        <f>SUM(B45:F45)</f>
        <v>0</v>
      </c>
      <c r="H45" s="100">
        <f>B45*150 + C45*115+D45*85+E45*25+F45*0</f>
        <v>0</v>
      </c>
      <c r="I45" s="29"/>
    </row>
    <row r="46" spans="1:17" ht="12.5" thickTop="1" x14ac:dyDescent="0.3">
      <c r="A46" s="97" t="s">
        <v>228</v>
      </c>
      <c r="B46" s="140"/>
      <c r="C46" s="140"/>
      <c r="D46" s="140"/>
      <c r="E46" s="140"/>
      <c r="F46" s="140"/>
      <c r="G46" s="96">
        <f>SUM(B46:F46)</f>
        <v>0</v>
      </c>
      <c r="H46" s="96">
        <f>B46*150 + C46*115+D46*85+E46*25+F46*0</f>
        <v>0</v>
      </c>
      <c r="I46" s="29"/>
    </row>
    <row r="47" spans="1:17" x14ac:dyDescent="0.3">
      <c r="A47" s="44" t="s">
        <v>229</v>
      </c>
      <c r="B47" s="139"/>
      <c r="C47" s="139"/>
      <c r="D47" s="139"/>
      <c r="E47" s="139"/>
      <c r="F47" s="139"/>
      <c r="G47" s="67">
        <f>SUM(B47:F47)</f>
        <v>0</v>
      </c>
      <c r="H47" s="67">
        <f>B47*150 + C47*115+D47*85+E47*25+F47*0</f>
        <v>0</v>
      </c>
      <c r="I47" s="29"/>
    </row>
    <row r="48" spans="1:17" ht="14.5" x14ac:dyDescent="0.35">
      <c r="A48" s="205" t="s">
        <v>19</v>
      </c>
      <c r="B48" s="206"/>
      <c r="C48" s="206"/>
      <c r="D48" s="206"/>
      <c r="E48" s="206"/>
      <c r="F48" s="207"/>
      <c r="G48" s="67">
        <f>SUM(G44:G47)</f>
        <v>0</v>
      </c>
      <c r="H48" s="67">
        <f>SUM(H44:H47)</f>
        <v>0</v>
      </c>
      <c r="I48" s="29"/>
    </row>
    <row r="49" spans="1:12" ht="14.5" x14ac:dyDescent="0.35">
      <c r="A49" s="196" t="s">
        <v>224</v>
      </c>
      <c r="B49" s="197"/>
      <c r="C49" s="197"/>
      <c r="D49" s="197"/>
      <c r="E49" s="197"/>
      <c r="F49" s="197"/>
      <c r="G49" s="197"/>
      <c r="H49" s="79">
        <f>IF(G48&gt;0, ROUND(H48/G48,1), 0)</f>
        <v>0</v>
      </c>
      <c r="I49" s="29"/>
    </row>
    <row r="50" spans="1:12" x14ac:dyDescent="0.3">
      <c r="A50" s="223" t="s">
        <v>225</v>
      </c>
      <c r="B50" s="223"/>
      <c r="C50" s="223"/>
      <c r="D50" s="223"/>
      <c r="E50" s="223"/>
      <c r="F50" s="223"/>
      <c r="G50" s="223"/>
      <c r="H50" s="223"/>
    </row>
    <row r="51" spans="1:12" x14ac:dyDescent="0.3">
      <c r="A51" s="223" t="s">
        <v>151</v>
      </c>
      <c r="B51" s="223"/>
      <c r="C51" s="223"/>
      <c r="D51" s="223"/>
      <c r="E51" s="223"/>
      <c r="F51" s="223"/>
      <c r="G51" s="223"/>
      <c r="H51" s="223"/>
    </row>
    <row r="52" spans="1:12" x14ac:dyDescent="0.3">
      <c r="A52" s="223" t="s">
        <v>128</v>
      </c>
      <c r="B52" s="223"/>
      <c r="C52" s="223"/>
      <c r="D52" s="223"/>
      <c r="E52" s="223"/>
      <c r="F52" s="223"/>
      <c r="G52" s="223"/>
      <c r="H52" s="223"/>
    </row>
    <row r="53" spans="1:12" x14ac:dyDescent="0.3">
      <c r="A53" s="145"/>
      <c r="B53" s="145"/>
      <c r="C53" s="145"/>
      <c r="D53" s="145"/>
      <c r="E53" s="145"/>
      <c r="F53" s="145"/>
      <c r="G53" s="145"/>
      <c r="H53" s="145"/>
    </row>
    <row r="54" spans="1:12" ht="20.25" customHeight="1" x14ac:dyDescent="0.3">
      <c r="A54" s="199" t="s">
        <v>36</v>
      </c>
      <c r="B54" s="200"/>
      <c r="C54" s="200"/>
      <c r="D54" s="200"/>
      <c r="E54" s="200"/>
      <c r="F54" s="200"/>
      <c r="G54" s="200"/>
      <c r="H54" s="200"/>
      <c r="I54" s="200"/>
      <c r="J54" s="200"/>
      <c r="K54" s="200"/>
      <c r="L54" s="201"/>
    </row>
    <row r="55" spans="1:12" ht="25.15" customHeight="1" x14ac:dyDescent="0.3">
      <c r="A55" s="18"/>
      <c r="B55" s="202" t="s">
        <v>24</v>
      </c>
      <c r="C55" s="202"/>
      <c r="D55" s="202"/>
      <c r="E55" s="202"/>
      <c r="F55" s="202"/>
      <c r="G55" s="202"/>
      <c r="H55" s="202"/>
      <c r="I55" s="202"/>
      <c r="J55" s="202"/>
      <c r="K55" s="203" t="s">
        <v>25</v>
      </c>
      <c r="L55" s="204" t="s">
        <v>26</v>
      </c>
    </row>
    <row r="56" spans="1:12" s="45" customFormat="1" ht="34.15" customHeight="1" x14ac:dyDescent="0.3">
      <c r="A56" s="19"/>
      <c r="B56" s="20" t="s">
        <v>27</v>
      </c>
      <c r="C56" s="21" t="s">
        <v>28</v>
      </c>
      <c r="D56" s="21" t="s">
        <v>29</v>
      </c>
      <c r="E56" s="21" t="s">
        <v>30</v>
      </c>
      <c r="F56" s="21" t="s">
        <v>31</v>
      </c>
      <c r="G56" s="21" t="s">
        <v>32</v>
      </c>
      <c r="H56" s="21" t="s">
        <v>33</v>
      </c>
      <c r="I56" s="21" t="s">
        <v>34</v>
      </c>
      <c r="J56" s="21" t="s">
        <v>35</v>
      </c>
      <c r="K56" s="203"/>
      <c r="L56" s="204"/>
    </row>
    <row r="57" spans="1:12" s="45" customFormat="1" x14ac:dyDescent="0.3">
      <c r="A57" s="20" t="s">
        <v>122</v>
      </c>
      <c r="B57" s="62"/>
      <c r="C57" s="62"/>
      <c r="D57" s="62"/>
      <c r="E57" s="62"/>
      <c r="F57" s="62"/>
      <c r="G57" s="62"/>
      <c r="H57" s="62"/>
      <c r="I57" s="62"/>
      <c r="J57" s="62"/>
      <c r="K57" s="76">
        <f>SUM(B57:J57)</f>
        <v>0</v>
      </c>
      <c r="L57" s="76">
        <f>SUM(B57*150,C57*125,D57*100,E57*75,F57*50,G57*25)</f>
        <v>0</v>
      </c>
    </row>
    <row r="58" spans="1:12" x14ac:dyDescent="0.3">
      <c r="A58" s="198" t="s">
        <v>226</v>
      </c>
      <c r="B58" s="198"/>
      <c r="C58" s="198"/>
      <c r="D58" s="198"/>
      <c r="E58" s="198"/>
      <c r="F58" s="198"/>
      <c r="G58" s="198"/>
      <c r="H58" s="198"/>
      <c r="I58" s="198"/>
      <c r="J58" s="198"/>
      <c r="K58" s="198"/>
      <c r="L58" s="80">
        <f>IF(K57&gt;=10, ROUND(L57/K57,1),0)</f>
        <v>0</v>
      </c>
    </row>
    <row r="59" spans="1:12" x14ac:dyDescent="0.3">
      <c r="A59" s="224" t="s">
        <v>123</v>
      </c>
      <c r="B59" s="224"/>
      <c r="C59" s="224"/>
      <c r="D59" s="224"/>
      <c r="E59" s="224"/>
      <c r="F59" s="224"/>
      <c r="G59" s="224"/>
      <c r="H59" s="224"/>
      <c r="I59" s="224"/>
      <c r="J59" s="224"/>
      <c r="K59" s="224"/>
      <c r="L59" s="224"/>
    </row>
    <row r="60" spans="1:12" x14ac:dyDescent="0.3">
      <c r="A60" s="22"/>
      <c r="B60" s="22"/>
      <c r="C60" s="22"/>
      <c r="D60" s="22"/>
      <c r="E60" s="22"/>
      <c r="F60" s="22"/>
      <c r="G60" s="22"/>
      <c r="H60" s="22"/>
      <c r="I60" s="22"/>
      <c r="J60" s="22"/>
      <c r="K60" s="22"/>
      <c r="L60" s="22"/>
    </row>
    <row r="61" spans="1:12" ht="20.25" customHeight="1" x14ac:dyDescent="0.3">
      <c r="A61" s="214" t="s">
        <v>137</v>
      </c>
      <c r="B61" s="215"/>
      <c r="C61" s="215"/>
      <c r="D61" s="215"/>
      <c r="E61" s="215"/>
      <c r="F61" s="215"/>
      <c r="G61" s="215"/>
      <c r="H61" s="215"/>
    </row>
    <row r="62" spans="1:12" x14ac:dyDescent="0.3">
      <c r="A62" s="191" t="s">
        <v>138</v>
      </c>
      <c r="B62" s="190" t="s">
        <v>1</v>
      </c>
      <c r="C62" s="190"/>
      <c r="D62" s="190"/>
      <c r="E62" s="190"/>
      <c r="F62" s="190"/>
      <c r="G62" s="191" t="s">
        <v>17</v>
      </c>
      <c r="H62" s="191" t="s">
        <v>18</v>
      </c>
    </row>
    <row r="63" spans="1:12" x14ac:dyDescent="0.3">
      <c r="A63" s="191"/>
      <c r="B63" s="190" t="s">
        <v>130</v>
      </c>
      <c r="C63" s="190"/>
      <c r="D63" s="190"/>
      <c r="E63" s="190"/>
      <c r="F63" s="191" t="s">
        <v>20</v>
      </c>
      <c r="G63" s="191"/>
      <c r="H63" s="191"/>
    </row>
    <row r="64" spans="1:12" ht="24" x14ac:dyDescent="0.3">
      <c r="A64" s="191"/>
      <c r="B64" s="106" t="s">
        <v>131</v>
      </c>
      <c r="C64" s="106" t="s">
        <v>132</v>
      </c>
      <c r="D64" s="106" t="s">
        <v>155</v>
      </c>
      <c r="E64" s="106" t="s">
        <v>134</v>
      </c>
      <c r="F64" s="191"/>
      <c r="G64" s="191"/>
      <c r="H64" s="192"/>
    </row>
    <row r="65" spans="1:8" x14ac:dyDescent="0.3">
      <c r="A65" s="107" t="s">
        <v>148</v>
      </c>
      <c r="B65" s="8"/>
      <c r="C65" s="8"/>
      <c r="D65" s="8"/>
      <c r="E65" s="110"/>
      <c r="F65" s="63">
        <v>6</v>
      </c>
      <c r="G65" s="69">
        <f>(B65*150+C65*100+D65*80+E65*0)*F65</f>
        <v>0</v>
      </c>
      <c r="H65" s="70">
        <f>SUM(B65:E65)*F65</f>
        <v>0</v>
      </c>
    </row>
    <row r="66" spans="1:8" hidden="1" x14ac:dyDescent="0.3">
      <c r="A66" s="107" t="s">
        <v>139</v>
      </c>
      <c r="B66" s="63"/>
      <c r="C66" s="63"/>
      <c r="D66" s="63"/>
      <c r="E66" s="63"/>
      <c r="F66" s="63"/>
      <c r="G66" s="69">
        <f t="shared" ref="G66:G71" si="3">(B66*150+C66*100+D66*80+E66*0)*F66</f>
        <v>0</v>
      </c>
      <c r="H66" s="70">
        <f t="shared" ref="H66:H71" si="4">SUM(B66:E66)*F66</f>
        <v>0</v>
      </c>
    </row>
    <row r="67" spans="1:8" hidden="1" x14ac:dyDescent="0.3">
      <c r="A67" s="107" t="s">
        <v>139</v>
      </c>
      <c r="B67" s="63"/>
      <c r="C67" s="63"/>
      <c r="D67" s="63"/>
      <c r="E67" s="63"/>
      <c r="F67" s="64"/>
      <c r="G67" s="69">
        <f t="shared" si="3"/>
        <v>0</v>
      </c>
      <c r="H67" s="70">
        <f t="shared" si="4"/>
        <v>0</v>
      </c>
    </row>
    <row r="68" spans="1:8" hidden="1" x14ac:dyDescent="0.3">
      <c r="A68" s="107" t="s">
        <v>139</v>
      </c>
      <c r="B68" s="63"/>
      <c r="C68" s="63"/>
      <c r="D68" s="63"/>
      <c r="E68" s="63"/>
      <c r="F68" s="63"/>
      <c r="G68" s="69">
        <f t="shared" si="3"/>
        <v>0</v>
      </c>
      <c r="H68" s="70">
        <f t="shared" si="4"/>
        <v>0</v>
      </c>
    </row>
    <row r="69" spans="1:8" hidden="1" x14ac:dyDescent="0.3">
      <c r="A69" s="107" t="s">
        <v>139</v>
      </c>
      <c r="B69" s="63"/>
      <c r="C69" s="63"/>
      <c r="D69" s="63"/>
      <c r="E69" s="63"/>
      <c r="F69" s="65"/>
      <c r="G69" s="69">
        <f t="shared" si="3"/>
        <v>0</v>
      </c>
      <c r="H69" s="70">
        <f t="shared" si="4"/>
        <v>0</v>
      </c>
    </row>
    <row r="70" spans="1:8" hidden="1" x14ac:dyDescent="0.3">
      <c r="A70" s="107" t="s">
        <v>139</v>
      </c>
      <c r="B70" s="63"/>
      <c r="C70" s="63"/>
      <c r="D70" s="63"/>
      <c r="E70" s="63"/>
      <c r="F70" s="65"/>
      <c r="G70" s="69">
        <f t="shared" si="3"/>
        <v>0</v>
      </c>
      <c r="H70" s="70">
        <f t="shared" si="4"/>
        <v>0</v>
      </c>
    </row>
    <row r="71" spans="1:8" hidden="1" x14ac:dyDescent="0.3">
      <c r="A71" s="107" t="s">
        <v>139</v>
      </c>
      <c r="B71" s="63"/>
      <c r="C71" s="63"/>
      <c r="D71" s="63"/>
      <c r="E71" s="63"/>
      <c r="F71" s="65"/>
      <c r="G71" s="69">
        <f t="shared" si="3"/>
        <v>0</v>
      </c>
      <c r="H71" s="70">
        <f t="shared" si="4"/>
        <v>0</v>
      </c>
    </row>
    <row r="72" spans="1:8" x14ac:dyDescent="0.3">
      <c r="A72" s="191" t="s">
        <v>227</v>
      </c>
      <c r="B72" s="191"/>
      <c r="C72" s="191"/>
      <c r="D72" s="191"/>
      <c r="E72" s="191"/>
      <c r="F72" s="191"/>
      <c r="G72" s="63">
        <f>SUM(G65:G71)</f>
        <v>0</v>
      </c>
      <c r="H72" s="63">
        <f>SUM(H65:H71)</f>
        <v>0</v>
      </c>
    </row>
    <row r="73" spans="1:8" ht="14.5" hidden="1" x14ac:dyDescent="0.3">
      <c r="A73" s="228" t="s">
        <v>149</v>
      </c>
      <c r="B73" s="229"/>
      <c r="C73" s="229"/>
      <c r="D73" s="229"/>
      <c r="E73" s="229"/>
      <c r="F73" s="229"/>
      <c r="G73" s="229"/>
      <c r="H73" s="229"/>
    </row>
    <row r="74" spans="1:8" ht="14.5" x14ac:dyDescent="0.3">
      <c r="A74" s="230" t="s">
        <v>248</v>
      </c>
      <c r="B74" s="231"/>
      <c r="C74" s="231"/>
      <c r="D74" s="231"/>
      <c r="E74" s="231"/>
      <c r="F74" s="231"/>
      <c r="G74" s="231"/>
      <c r="H74" s="231"/>
    </row>
    <row r="75" spans="1:8" x14ac:dyDescent="0.3">
      <c r="A75" s="193" t="s">
        <v>206</v>
      </c>
      <c r="B75" s="194"/>
      <c r="C75" s="194"/>
      <c r="D75" s="194"/>
      <c r="E75" s="194"/>
      <c r="F75" s="194"/>
      <c r="G75" s="194"/>
      <c r="H75" s="194"/>
    </row>
    <row r="77" spans="1:8" ht="20.25" customHeight="1" x14ac:dyDescent="0.3">
      <c r="A77" s="179" t="s">
        <v>241</v>
      </c>
      <c r="B77" s="180"/>
      <c r="C77" s="180"/>
      <c r="D77" s="180"/>
      <c r="E77" s="181"/>
    </row>
    <row r="78" spans="1:8" ht="13.5" customHeight="1" x14ac:dyDescent="0.3">
      <c r="A78" s="173" t="s">
        <v>242</v>
      </c>
      <c r="B78" s="169" t="s">
        <v>243</v>
      </c>
      <c r="C78" s="170"/>
      <c r="D78" s="8"/>
      <c r="E78" s="166">
        <f>IF(D78&gt;37.5, 37.5, D78)</f>
        <v>0</v>
      </c>
    </row>
    <row r="79" spans="1:8" ht="13.5" customHeight="1" x14ac:dyDescent="0.3">
      <c r="A79" s="174"/>
      <c r="B79" s="169" t="s">
        <v>244</v>
      </c>
      <c r="C79" s="170"/>
      <c r="D79" s="8"/>
      <c r="E79" s="166">
        <f t="shared" ref="E79:E81" si="5">IF(D79&gt;37.5, 37.5, D79)</f>
        <v>0</v>
      </c>
    </row>
    <row r="80" spans="1:8" ht="13" customHeight="1" x14ac:dyDescent="0.3">
      <c r="A80" s="174"/>
      <c r="B80" s="171" t="s">
        <v>245</v>
      </c>
      <c r="C80" s="172"/>
      <c r="D80" s="8"/>
      <c r="E80" s="166">
        <f t="shared" si="5"/>
        <v>0</v>
      </c>
    </row>
    <row r="81" spans="1:8" ht="13.5" customHeight="1" x14ac:dyDescent="0.3">
      <c r="A81" s="175"/>
      <c r="B81" s="169" t="s">
        <v>246</v>
      </c>
      <c r="C81" s="170"/>
      <c r="D81" s="8"/>
      <c r="E81" s="166">
        <f t="shared" si="5"/>
        <v>0</v>
      </c>
    </row>
    <row r="82" spans="1:8" ht="15" customHeight="1" x14ac:dyDescent="0.3">
      <c r="A82" s="176" t="s">
        <v>247</v>
      </c>
      <c r="B82" s="177"/>
      <c r="C82" s="177"/>
      <c r="D82" s="178"/>
      <c r="E82" s="163">
        <f>SUM(E78:E81)</f>
        <v>0</v>
      </c>
    </row>
    <row r="83" spans="1:8" ht="24" customHeight="1" x14ac:dyDescent="0.3">
      <c r="A83" s="221" t="s">
        <v>249</v>
      </c>
      <c r="B83" s="222"/>
      <c r="C83" s="222"/>
      <c r="D83" s="222"/>
      <c r="E83" s="222"/>
    </row>
    <row r="84" spans="1:8" x14ac:dyDescent="0.3">
      <c r="A84" s="165"/>
      <c r="B84" s="165"/>
      <c r="C84" s="165"/>
      <c r="D84" s="165"/>
      <c r="E84" s="165"/>
    </row>
    <row r="86" spans="1:8" x14ac:dyDescent="0.3">
      <c r="H86" s="164"/>
    </row>
  </sheetData>
  <sheetProtection algorithmName="SHA-512" hashValue="PxXdP6dm3RhNS6OIYfrOuS54ZsjeTCR8PFfiSt1VocEKaWY5YvxJ9nZVr9gibgeXlFJqhommiy72WdbtmYIYAg==" saltValue="skogwhIzHmrFfGIa/dlsVw==" spinCount="100000" sheet="1" objects="1" scenarios="1"/>
  <mergeCells count="83">
    <mergeCell ref="A83:E83"/>
    <mergeCell ref="A52:H52"/>
    <mergeCell ref="A59:L59"/>
    <mergeCell ref="A40:I40"/>
    <mergeCell ref="M33:M34"/>
    <mergeCell ref="K33:K34"/>
    <mergeCell ref="A50:H50"/>
    <mergeCell ref="A51:H51"/>
    <mergeCell ref="A73:H73"/>
    <mergeCell ref="A61:H61"/>
    <mergeCell ref="A74:H74"/>
    <mergeCell ref="A72:F72"/>
    <mergeCell ref="A62:A64"/>
    <mergeCell ref="B62:F62"/>
    <mergeCell ref="G62:G64"/>
    <mergeCell ref="H62:H64"/>
    <mergeCell ref="B63:E63"/>
    <mergeCell ref="F63:F64"/>
    <mergeCell ref="B7:E7"/>
    <mergeCell ref="B9:C9"/>
    <mergeCell ref="B10:C10"/>
    <mergeCell ref="A30:L30"/>
    <mergeCell ref="A31:L31"/>
    <mergeCell ref="L33:L34"/>
    <mergeCell ref="A39:F39"/>
    <mergeCell ref="A33:A35"/>
    <mergeCell ref="A29:I29"/>
    <mergeCell ref="A22:A24"/>
    <mergeCell ref="B22:I22"/>
    <mergeCell ref="H23:I23"/>
    <mergeCell ref="B8:H8"/>
    <mergeCell ref="B11:C11"/>
    <mergeCell ref="B12:C12"/>
    <mergeCell ref="B15:E15"/>
    <mergeCell ref="B16:E16"/>
    <mergeCell ref="A21:L21"/>
    <mergeCell ref="B17:E17"/>
    <mergeCell ref="B18:E18"/>
    <mergeCell ref="B19:E19"/>
    <mergeCell ref="L22:L24"/>
    <mergeCell ref="K2:L2"/>
    <mergeCell ref="D6:E6"/>
    <mergeCell ref="D2:E2"/>
    <mergeCell ref="D3:E3"/>
    <mergeCell ref="D4:E4"/>
    <mergeCell ref="D5:E5"/>
    <mergeCell ref="A75:H75"/>
    <mergeCell ref="D1:J1"/>
    <mergeCell ref="A49:G49"/>
    <mergeCell ref="A58:K58"/>
    <mergeCell ref="A54:L54"/>
    <mergeCell ref="B55:J55"/>
    <mergeCell ref="K55:K56"/>
    <mergeCell ref="L55:L56"/>
    <mergeCell ref="A48:F48"/>
    <mergeCell ref="A42:H42"/>
    <mergeCell ref="I33:I35"/>
    <mergeCell ref="H33:H35"/>
    <mergeCell ref="G33:G35"/>
    <mergeCell ref="B33:F33"/>
    <mergeCell ref="B34:E34"/>
    <mergeCell ref="F34:F35"/>
    <mergeCell ref="A82:D82"/>
    <mergeCell ref="A77:E77"/>
    <mergeCell ref="M15:P15"/>
    <mergeCell ref="M16:P16"/>
    <mergeCell ref="L8:Q8"/>
    <mergeCell ref="L9:M9"/>
    <mergeCell ref="L10:M10"/>
    <mergeCell ref="L11:M11"/>
    <mergeCell ref="L12:M12"/>
    <mergeCell ref="M17:P17"/>
    <mergeCell ref="M18:P18"/>
    <mergeCell ref="M19:P19"/>
    <mergeCell ref="B23:F23"/>
    <mergeCell ref="G23:G24"/>
    <mergeCell ref="K22:K24"/>
    <mergeCell ref="J22:J24"/>
    <mergeCell ref="B78:C78"/>
    <mergeCell ref="B79:C79"/>
    <mergeCell ref="B80:C80"/>
    <mergeCell ref="B81:C81"/>
    <mergeCell ref="A78:A81"/>
  </mergeCells>
  <conditionalFormatting sqref="D2:E5">
    <cfRule type="colorScale" priority="4">
      <colorScale>
        <cfvo type="min"/>
        <cfvo type="max"/>
        <color rgb="FFF8696B"/>
        <color rgb="FFFCFCFF"/>
      </colorScale>
    </cfRule>
  </conditionalFormatting>
  <conditionalFormatting sqref="B9:C12">
    <cfRule type="colorScale" priority="2">
      <colorScale>
        <cfvo type="min"/>
        <cfvo type="max"/>
        <color rgb="FFF8696B"/>
        <color rgb="FFFCFCFF"/>
      </colorScale>
    </cfRule>
  </conditionalFormatting>
  <conditionalFormatting sqref="L9:M12">
    <cfRule type="colorScale" priority="1">
      <colorScale>
        <cfvo type="min"/>
        <cfvo type="max"/>
        <color rgb="FFF8696B"/>
        <color rgb="FFFCFCFF"/>
      </colorScale>
    </cfRule>
  </conditionalFormatting>
  <pageMargins left="0.25" right="0.25" top="0.75" bottom="0.75" header="0.3" footer="0.3"/>
  <pageSetup scale="78" fitToHeight="0" orientation="landscape" r:id="rId1"/>
  <ignoredErrors>
    <ignoredError sqref="E79:E8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25"/>
  <sheetViews>
    <sheetView showGridLines="0" topLeftCell="A105" zoomScaleNormal="100" workbookViewId="0">
      <selection activeCell="G121" sqref="G121"/>
    </sheetView>
  </sheetViews>
  <sheetFormatPr defaultColWidth="8.81640625" defaultRowHeight="12" x14ac:dyDescent="0.3"/>
  <cols>
    <col min="1" max="1" width="18.1796875" style="33" customWidth="1"/>
    <col min="2" max="2" width="12.81640625" style="33" customWidth="1"/>
    <col min="3" max="3" width="16.26953125" style="33" customWidth="1"/>
    <col min="4" max="4" width="15.7265625" style="33" customWidth="1"/>
    <col min="5" max="5" width="13.26953125" style="33" customWidth="1"/>
    <col min="6" max="6" width="12.7265625" style="33" customWidth="1"/>
    <col min="7" max="7" width="11.7265625" style="33" customWidth="1"/>
    <col min="8" max="8" width="14.453125" style="33" customWidth="1"/>
    <col min="9" max="9" width="14.54296875" style="33" customWidth="1"/>
    <col min="10" max="11" width="13.81640625" style="33" customWidth="1"/>
    <col min="12" max="12" width="11.7265625" style="33" customWidth="1"/>
    <col min="13" max="13" width="9" style="33" customWidth="1"/>
    <col min="14" max="14" width="8.81640625" style="33" hidden="1" customWidth="1"/>
    <col min="15" max="16" width="8.81640625" style="33"/>
    <col min="17" max="19" width="12.54296875" style="33" customWidth="1"/>
    <col min="20" max="20" width="12.7265625" style="33" customWidth="1"/>
    <col min="21" max="21" width="12.54296875" style="33" customWidth="1"/>
    <col min="22" max="25" width="11.7265625" style="33" customWidth="1"/>
    <col min="26" max="16384" width="8.81640625" style="33"/>
  </cols>
  <sheetData>
    <row r="1" spans="1:25" ht="18" customHeight="1" x14ac:dyDescent="0.3">
      <c r="D1" s="215" t="s">
        <v>73</v>
      </c>
      <c r="E1" s="215"/>
      <c r="F1" s="215"/>
      <c r="G1" s="215"/>
      <c r="H1" s="215"/>
      <c r="I1" s="215"/>
      <c r="J1" s="215"/>
      <c r="K1" s="215"/>
      <c r="L1" s="267"/>
    </row>
    <row r="2" spans="1:25" ht="36" customHeight="1" x14ac:dyDescent="0.3">
      <c r="D2" s="188"/>
      <c r="E2" s="188"/>
      <c r="F2" s="35" t="s">
        <v>142</v>
      </c>
      <c r="G2" s="35" t="s">
        <v>127</v>
      </c>
      <c r="H2" s="35" t="s">
        <v>71</v>
      </c>
      <c r="I2" s="35" t="s">
        <v>72</v>
      </c>
      <c r="J2" s="35" t="s">
        <v>102</v>
      </c>
      <c r="K2" s="118" t="s">
        <v>202</v>
      </c>
      <c r="L2" s="116" t="s">
        <v>83</v>
      </c>
    </row>
    <row r="3" spans="1:25" x14ac:dyDescent="0.3">
      <c r="D3" s="189" t="s">
        <v>81</v>
      </c>
      <c r="E3" s="189"/>
      <c r="F3" s="66" t="str">
        <f t="shared" ref="F3:L4" si="0">D10</f>
        <v xml:space="preserve"> </v>
      </c>
      <c r="G3" s="67" t="str">
        <f t="shared" si="0"/>
        <v/>
      </c>
      <c r="H3" s="66" t="str">
        <f t="shared" si="0"/>
        <v xml:space="preserve"> </v>
      </c>
      <c r="I3" s="67" t="str">
        <f t="shared" si="0"/>
        <v xml:space="preserve"> </v>
      </c>
      <c r="J3" s="67" t="str">
        <f t="shared" si="0"/>
        <v xml:space="preserve"> </v>
      </c>
      <c r="K3" s="119" t="str">
        <f>I10</f>
        <v/>
      </c>
      <c r="L3" s="67" t="str">
        <f t="shared" si="0"/>
        <v xml:space="preserve"> </v>
      </c>
    </row>
    <row r="4" spans="1:25" x14ac:dyDescent="0.3">
      <c r="D4" s="189" t="s">
        <v>207</v>
      </c>
      <c r="E4" s="189"/>
      <c r="F4" s="67" t="str">
        <f t="shared" si="0"/>
        <v xml:space="preserve"> </v>
      </c>
      <c r="G4" s="67" t="str">
        <f t="shared" si="0"/>
        <v xml:space="preserve"> </v>
      </c>
      <c r="H4" s="67" t="str">
        <f t="shared" si="0"/>
        <v xml:space="preserve"> </v>
      </c>
      <c r="I4" s="67" t="str">
        <f t="shared" si="0"/>
        <v xml:space="preserve"> </v>
      </c>
      <c r="J4" s="67" t="str">
        <f t="shared" si="0"/>
        <v xml:space="preserve"> </v>
      </c>
      <c r="K4" s="120" t="str">
        <f t="shared" si="0"/>
        <v xml:space="preserve"> </v>
      </c>
      <c r="L4" s="67" t="str">
        <f t="shared" si="0"/>
        <v xml:space="preserve"> </v>
      </c>
    </row>
    <row r="5" spans="1:25" ht="14.5" customHeight="1" x14ac:dyDescent="0.3">
      <c r="D5" s="189" t="s">
        <v>20</v>
      </c>
      <c r="E5" s="189"/>
      <c r="F5" s="81" t="str">
        <f t="shared" ref="F5:K5" si="1">D12</f>
        <v xml:space="preserve"> </v>
      </c>
      <c r="G5" s="81" t="str">
        <f t="shared" si="1"/>
        <v xml:space="preserve"> </v>
      </c>
      <c r="H5" s="68" t="str">
        <f t="shared" si="1"/>
        <v xml:space="preserve"> </v>
      </c>
      <c r="I5" s="68" t="str">
        <f t="shared" si="1"/>
        <v xml:space="preserve"> </v>
      </c>
      <c r="J5" s="68" t="str">
        <f t="shared" si="1"/>
        <v xml:space="preserve"> </v>
      </c>
      <c r="K5" s="138" t="str">
        <f t="shared" si="1"/>
        <v xml:space="preserve"> </v>
      </c>
      <c r="L5" s="67"/>
    </row>
    <row r="6" spans="1:25" ht="14.5" customHeight="1" x14ac:dyDescent="0.3">
      <c r="D6" s="26"/>
      <c r="E6" s="26"/>
      <c r="F6" s="48"/>
      <c r="G6" s="48"/>
      <c r="H6" s="48"/>
      <c r="I6" s="48"/>
      <c r="J6" s="48"/>
      <c r="K6" s="29"/>
    </row>
    <row r="7" spans="1:25" ht="14.5" hidden="1" customHeight="1" x14ac:dyDescent="0.35">
      <c r="A7" s="131"/>
      <c r="B7" s="132"/>
      <c r="C7" s="132"/>
      <c r="D7" s="132"/>
      <c r="E7" s="132"/>
      <c r="F7" s="133"/>
      <c r="G7" s="134"/>
      <c r="H7" s="133"/>
      <c r="I7" s="133"/>
      <c r="J7" s="135"/>
      <c r="K7" s="128"/>
    </row>
    <row r="8" spans="1:25" ht="14.5" hidden="1" customHeight="1" x14ac:dyDescent="0.35">
      <c r="A8" s="131"/>
      <c r="B8" s="215" t="s">
        <v>198</v>
      </c>
      <c r="C8" s="215"/>
      <c r="D8" s="215"/>
      <c r="E8" s="215"/>
      <c r="F8" s="215"/>
      <c r="G8" s="215"/>
      <c r="H8" s="215"/>
      <c r="I8" s="215"/>
      <c r="J8" s="267"/>
      <c r="K8" s="128"/>
      <c r="O8" s="215" t="s">
        <v>199</v>
      </c>
      <c r="P8" s="215"/>
      <c r="Q8" s="215"/>
      <c r="R8" s="215"/>
      <c r="S8" s="215"/>
      <c r="T8" s="215"/>
      <c r="U8" s="215"/>
      <c r="V8" s="267"/>
    </row>
    <row r="9" spans="1:25" ht="23.5" hidden="1" customHeight="1" x14ac:dyDescent="0.35">
      <c r="A9" s="131"/>
      <c r="B9" s="188"/>
      <c r="C9" s="188"/>
      <c r="D9" s="127" t="s">
        <v>142</v>
      </c>
      <c r="E9" s="127" t="s">
        <v>127</v>
      </c>
      <c r="F9" s="127" t="s">
        <v>71</v>
      </c>
      <c r="G9" s="127" t="s">
        <v>72</v>
      </c>
      <c r="H9" s="127" t="s">
        <v>102</v>
      </c>
      <c r="I9" s="118" t="s">
        <v>197</v>
      </c>
      <c r="J9" s="127" t="s">
        <v>83</v>
      </c>
      <c r="K9" s="128"/>
      <c r="O9" s="188"/>
      <c r="P9" s="188"/>
      <c r="Q9" s="127" t="s">
        <v>142</v>
      </c>
      <c r="R9" s="127" t="s">
        <v>127</v>
      </c>
      <c r="S9" s="127" t="s">
        <v>71</v>
      </c>
      <c r="T9" s="127" t="s">
        <v>72</v>
      </c>
      <c r="U9" s="127" t="s">
        <v>102</v>
      </c>
      <c r="V9" s="127" t="s">
        <v>83</v>
      </c>
    </row>
    <row r="10" spans="1:25" ht="14.5" hidden="1" customHeight="1" x14ac:dyDescent="0.35">
      <c r="A10" s="131"/>
      <c r="B10" s="189" t="s">
        <v>81</v>
      </c>
      <c r="C10" s="189"/>
      <c r="D10" s="66" t="str">
        <f>IF((I36+H101+H90)&gt;=1, ROUND((H36+G101+G90)/(I36+H101+H90), 1), " ")</f>
        <v xml:space="preserve"> </v>
      </c>
      <c r="E10" s="67" t="str">
        <f>IF(G114&gt;=1, ROUND(H114/G114, 1), "")</f>
        <v/>
      </c>
      <c r="F10" s="66" t="str">
        <f>IF(C64&gt;=1, D65, " ")</f>
        <v xml:space="preserve"> </v>
      </c>
      <c r="G10" s="67" t="str">
        <f>IF(L72&gt;=10, M76, " ")</f>
        <v xml:space="preserve"> </v>
      </c>
      <c r="H10" s="67" t="str">
        <f>IF(L72&gt;=10, M74, " ")</f>
        <v xml:space="preserve"> </v>
      </c>
      <c r="I10" s="119" t="str">
        <f>IF(SUM(I36, H101, H90)&gt;0,E124, "")</f>
        <v/>
      </c>
      <c r="J10" s="67" t="str">
        <f>IF(SUM(I36,H101, H90, C64)&gt;=1, ROUND(SUM(D13:I13), 1), " ")</f>
        <v xml:space="preserve"> </v>
      </c>
      <c r="K10" s="128"/>
      <c r="O10" s="189" t="s">
        <v>81</v>
      </c>
      <c r="P10" s="189"/>
      <c r="Q10" s="66" t="str">
        <f>IF((I36+H101+H90)&gt;=1, ROUND((H36+G101+G90)/(I36+H101+H90), 1), " ")</f>
        <v xml:space="preserve"> </v>
      </c>
      <c r="R10" s="67" t="str">
        <f>IF(G114&gt;=1, ROUND(H114/G114, 1), "")</f>
        <v/>
      </c>
      <c r="S10" s="66" t="str">
        <f>IF(C64&gt;=1, D65, " ")</f>
        <v xml:space="preserve"> </v>
      </c>
      <c r="T10" s="67" t="str">
        <f>IF(L72&gt;=10, M76, " ")</f>
        <v xml:space="preserve"> </v>
      </c>
      <c r="U10" s="67" t="str">
        <f>IF(L72&gt;=10, M74, " ")</f>
        <v xml:space="preserve"> </v>
      </c>
      <c r="V10" s="67" t="str">
        <f>IF(SUM(I36, H101, H90, C64)&gt;=1, ROUND(SUM(Q13:U13), 1), " ")</f>
        <v xml:space="preserve"> </v>
      </c>
    </row>
    <row r="11" spans="1:25" ht="14.5" hidden="1" customHeight="1" x14ac:dyDescent="0.35">
      <c r="A11" s="131"/>
      <c r="B11" s="189" t="s">
        <v>208</v>
      </c>
      <c r="C11" s="189"/>
      <c r="D11" s="67" t="str">
        <f>IF((I36+H101+H90)&gt;=1, IF(D10&lt;50, "F", IF(D10&lt;60, "D", IF(D10&lt;75, "C", IF(D10&lt;90, "B", "A")))), " ")</f>
        <v xml:space="preserve"> </v>
      </c>
      <c r="E11" s="67" t="str">
        <f>IF(G114&gt;=1, IF(E10&lt;50, "F", IF(E10&lt;60, "D", IF(E10&lt;75, "C", IF(E10&lt;90, "B", "A")))), " ")</f>
        <v xml:space="preserve"> </v>
      </c>
      <c r="F11" s="67" t="str">
        <f>IF(C64&gt;=1, IF(F10&lt;50, "F", IF(F10&lt;60, "D", IF(F10&lt;75, "C", IF(F10&lt;90, "B", "A")))), " ")</f>
        <v xml:space="preserve"> </v>
      </c>
      <c r="G11" s="67" t="str">
        <f>IF(L72&gt;=10, IF(G10&lt;50, "F", IF(G10&lt;60, "D", IF(G10&lt;75, "C", IF(G10&lt;90, "B", "A")))), " ")</f>
        <v xml:space="preserve"> </v>
      </c>
      <c r="H11" s="67" t="str">
        <f>IF(L72&gt;=10, IF(H10&lt;50, "F", IF(H10&lt;60, "D", IF(H10&lt;75, "C", IF(H10&lt;90, "B", "A")))), " ")</f>
        <v xml:space="preserve"> </v>
      </c>
      <c r="I11" s="120" t="str">
        <f>IF(SUM(I36, H101, H90)&gt;0, IF(I10&lt;50, "F", IF(I10&lt;60, "D", IF(I10&lt;75, "C", IF(I10&lt;90, "B", "A")))), " ")</f>
        <v xml:space="preserve"> </v>
      </c>
      <c r="J11" s="67" t="str">
        <f>IF(SUM(I36, H101, H90, C64)&gt;=1, IF(J10&lt;50, "F", IF(J10&lt;60, "D", IF(J10&lt;75, "C", IF(J10&lt;90, "B", "A")))), " ")</f>
        <v xml:space="preserve"> </v>
      </c>
      <c r="K11" s="128"/>
      <c r="O11" s="189" t="s">
        <v>208</v>
      </c>
      <c r="P11" s="189"/>
      <c r="Q11" s="67" t="str">
        <f>IF((I36+H101+H90)&gt;=1, IF(Q10&lt;50, "F", IF(Q10&lt;60, "D", IF(Q10&lt;75, "C", IF(Q10&lt;90, "B", "A")))), " ")</f>
        <v xml:space="preserve"> </v>
      </c>
      <c r="R11" s="67" t="str">
        <f>IF(G114&gt;=1, IF(R10&lt;50, "F", IF(R10&lt;60, "D", IF(R10&lt;75, "C", IF(R10&lt;90, "B", "A")))), " ")</f>
        <v xml:space="preserve"> </v>
      </c>
      <c r="S11" s="67" t="str">
        <f>IF(C64&gt;=1, IF(S10&lt;50, "F", IF(S10&lt;60, "D", IF(S10&lt;75, "C", IF(S10&lt;90, "B", "A")))), " ")</f>
        <v xml:space="preserve"> </v>
      </c>
      <c r="T11" s="67" t="str">
        <f>IF(L72&gt;=10, IF(T10&lt;50, "F", IF(T10&lt;60, "D", IF(T10&lt;75, "C", IF(T10&lt;90, "B", "A")))), " ")</f>
        <v xml:space="preserve"> </v>
      </c>
      <c r="U11" s="67" t="str">
        <f>IF(L72&gt;=10, IF(U10&lt;50, "F", IF(U10&lt;60, "D", IF(U10&lt;75, "C", IF(U10&lt;90, "B", "A")))), " ")</f>
        <v xml:space="preserve"> </v>
      </c>
      <c r="V11" s="67" t="str">
        <f>IF(SUM(I36,H101, H90, C64)&gt;=1, IF(V10&lt;50, "F", IF(V10&lt;60, "D", IF(V10&lt;75, "C", IF(V10&lt;90, "B", "A")))), " ")</f>
        <v xml:space="preserve"> </v>
      </c>
    </row>
    <row r="12" spans="1:25" ht="14.5" hidden="1" customHeight="1" x14ac:dyDescent="0.35">
      <c r="A12" s="131"/>
      <c r="B12" s="189" t="s">
        <v>20</v>
      </c>
      <c r="C12" s="189"/>
      <c r="D12" s="81" t="str">
        <f>IF((I36+H101+H90)&gt;=1, SUM(F15:F24), " ")</f>
        <v xml:space="preserve"> </v>
      </c>
      <c r="E12" s="81" t="str">
        <f>IF(G114&gt;=1, SUM(G15:G24), " ")</f>
        <v xml:space="preserve"> </v>
      </c>
      <c r="F12" s="68" t="str">
        <f>IF(C64&gt;=1, SUM(H15:H24), " ")</f>
        <v xml:space="preserve"> </v>
      </c>
      <c r="G12" s="68" t="str">
        <f>IF(L72&gt;=10, SUM(I15:I24), " ")</f>
        <v xml:space="preserve"> </v>
      </c>
      <c r="H12" s="68" t="str">
        <f>IF(L72&gt;=10, SUM(J15:J24), " ")</f>
        <v xml:space="preserve"> </v>
      </c>
      <c r="I12" s="138" t="str">
        <f>IF(SUM(I36, H101, H90)&gt;0, SUM(K15:K24), " ")</f>
        <v xml:space="preserve"> </v>
      </c>
      <c r="J12" s="67"/>
      <c r="K12" s="128"/>
      <c r="O12" s="189" t="s">
        <v>20</v>
      </c>
      <c r="P12" s="189"/>
      <c r="Q12" s="81" t="str">
        <f>IF((I36+H101+H90)&gt;=1, SUM(T15:T24), " ")</f>
        <v xml:space="preserve"> </v>
      </c>
      <c r="R12" s="81" t="str">
        <f>IF(G114&gt;=1, SUM(U15:U24), " ")</f>
        <v xml:space="preserve"> </v>
      </c>
      <c r="S12" s="68" t="str">
        <f>IF(C64&gt;=1, SUM(V15:V24), " ")</f>
        <v xml:space="preserve"> </v>
      </c>
      <c r="T12" s="68" t="str">
        <f>IF(L72&gt;=10, SUM(W15:W24), " ")</f>
        <v xml:space="preserve"> </v>
      </c>
      <c r="U12" s="68" t="str">
        <f>IF(L72&gt;=10, SUM(X15:X24), " ")</f>
        <v xml:space="preserve"> </v>
      </c>
      <c r="V12" s="67"/>
    </row>
    <row r="13" spans="1:25" ht="14.5" hidden="1" customHeight="1" x14ac:dyDescent="0.35">
      <c r="A13" s="131"/>
      <c r="B13" s="132"/>
      <c r="C13" s="132"/>
      <c r="D13" s="36" t="str">
        <f>IF((I36+H101+H90)&gt;=1, ROUND(D10*D12,3), " ")</f>
        <v xml:space="preserve"> </v>
      </c>
      <c r="E13" s="36" t="str">
        <f>IF(G114&gt;=1, ROUND(E10*E12,3), " ")</f>
        <v xml:space="preserve"> </v>
      </c>
      <c r="F13" s="47" t="str">
        <f>IF(C64&gt;=1, ROUND(F10*F12,3), " ")</f>
        <v xml:space="preserve"> </v>
      </c>
      <c r="G13" s="141" t="str">
        <f>IF(L72&gt;=10, ROUND(G10*G12,3), " ")</f>
        <v xml:space="preserve"> </v>
      </c>
      <c r="H13" s="47" t="str">
        <f>IF(L72&gt;=10, ROUND(H10*H12,3), " ")</f>
        <v xml:space="preserve"> </v>
      </c>
      <c r="I13" s="47" t="str">
        <f>IF(SUM(I36, H101, H90)&gt;0, ROUND(I10*I12,3), " ")</f>
        <v xml:space="preserve"> </v>
      </c>
      <c r="J13" s="47"/>
      <c r="K13" s="128"/>
      <c r="P13" s="136"/>
      <c r="Q13" s="161" t="str">
        <f>IF((I36+H101+H90)&gt;=1, ROUND(Q10*Q12,3), " ")</f>
        <v xml:space="preserve"> </v>
      </c>
      <c r="R13" s="161" t="str">
        <f>IF(G114&gt;=1, ROUND(R10*R12,3), " ")</f>
        <v xml:space="preserve"> </v>
      </c>
      <c r="S13" s="161" t="str">
        <f>IF(C64&gt;=1, ROUND(S10*S12,3), " ")</f>
        <v xml:space="preserve"> </v>
      </c>
      <c r="T13" s="161" t="str">
        <f>IF(L72&gt;=10, ROUND(T10*T12,3), " ")</f>
        <v xml:space="preserve"> </v>
      </c>
      <c r="U13" s="161" t="str">
        <f>IF(L72&gt;=10, ROUND(U10*U12,3), " ")</f>
        <v xml:space="preserve"> </v>
      </c>
      <c r="V13" s="161"/>
      <c r="W13" s="136"/>
      <c r="X13" s="136"/>
      <c r="Y13" s="136"/>
    </row>
    <row r="14" spans="1:25" ht="14.5" hidden="1" customHeight="1" x14ac:dyDescent="0.3">
      <c r="A14" s="152" t="s">
        <v>159</v>
      </c>
      <c r="B14" s="182" t="s">
        <v>158</v>
      </c>
      <c r="C14" s="182"/>
      <c r="D14" s="182"/>
      <c r="E14" s="182"/>
      <c r="F14" s="123" t="s">
        <v>161</v>
      </c>
      <c r="G14" s="123" t="s">
        <v>162</v>
      </c>
      <c r="H14" s="123" t="s">
        <v>75</v>
      </c>
      <c r="I14" s="121" t="s">
        <v>76</v>
      </c>
      <c r="J14" s="123" t="s">
        <v>77</v>
      </c>
      <c r="K14" s="152" t="s">
        <v>172</v>
      </c>
      <c r="O14" s="152" t="s">
        <v>159</v>
      </c>
      <c r="P14" s="182" t="s">
        <v>158</v>
      </c>
      <c r="Q14" s="182"/>
      <c r="R14" s="182"/>
      <c r="S14" s="182"/>
      <c r="T14" s="123" t="s">
        <v>161</v>
      </c>
      <c r="U14" s="123" t="s">
        <v>162</v>
      </c>
      <c r="V14" s="123" t="s">
        <v>75</v>
      </c>
      <c r="W14" s="121" t="s">
        <v>76</v>
      </c>
      <c r="X14" s="123" t="s">
        <v>77</v>
      </c>
      <c r="Y14" s="152" t="s">
        <v>172</v>
      </c>
    </row>
    <row r="15" spans="1:25" ht="31.5" hidden="1" customHeight="1" x14ac:dyDescent="0.3">
      <c r="A15" s="152">
        <v>1</v>
      </c>
      <c r="B15" s="237" t="s">
        <v>173</v>
      </c>
      <c r="C15" s="238"/>
      <c r="D15" s="238"/>
      <c r="E15" s="239"/>
      <c r="F15" s="121">
        <f>IF(AND(SUM(I36, H101, H90)&gt;=1, G114&gt;=1, C64&gt;=1, L72&gt;=10, SUM(I36, H101, H90)&gt;=0), 0.125, 0)</f>
        <v>0</v>
      </c>
      <c r="G15" s="121">
        <f>IF(AND(SUM(I36, H101, H90)&gt;=1, G114&gt;=1, C64&gt;=1, L72&gt;=10, SUM(I36, H101, H90)&gt;=0), 0.125, 0)</f>
        <v>0</v>
      </c>
      <c r="H15" s="121">
        <f>IF(AND(SUM(I36, H101, H90)&gt;=1, G114&gt;=1, C64&gt;=1, L72&gt;=10, SUM(I36, H101, H90)&gt;=0), 0.25, 0)</f>
        <v>0</v>
      </c>
      <c r="I15" s="121">
        <f>IF(AND(SUM(I36, H101, H90)&gt;=1, G114&gt;=1, C64&gt;=1, L72&gt;=10, SUM(I36, H101, H90)&gt;=0), 0.2, 0)</f>
        <v>0</v>
      </c>
      <c r="J15" s="121">
        <f>IF(AND(SUM(I36, H101, H90)&gt;=1, G114&gt;=1, C64&gt;=1, L72&gt;=10, SUM(I36, H101, H90)&gt;=0), 0.25, 0)</f>
        <v>0</v>
      </c>
      <c r="K15" s="152">
        <f>IF(AND(SUM(I36, H101, H90)&gt;=1, G114&gt;=1, C64&gt;=1, L72&gt;=10, SUM(I36, H101, H90)&gt;=0), 0.05, 0)</f>
        <v>0</v>
      </c>
      <c r="O15" s="152">
        <v>11</v>
      </c>
      <c r="P15" s="268" t="s">
        <v>188</v>
      </c>
      <c r="Q15" s="269"/>
      <c r="R15" s="269"/>
      <c r="S15" s="270"/>
      <c r="T15" s="121">
        <f>IF(AND(SUM(I36, H101, H90)&gt;=1, G114&gt;=1, C64&gt;=1, L72&gt;=10), 0.125, 0)</f>
        <v>0</v>
      </c>
      <c r="U15" s="122">
        <f>IF(AND(SUM(I36,H101, H90)&gt;=1, G114&gt;=1, C64&gt;=1, L72&gt;=10), 0.125, 0)</f>
        <v>0</v>
      </c>
      <c r="V15" s="121">
        <f>IF(AND(SUM(I36, H101, H90)&gt;=1, G114&gt;=1, C64&gt;=1, L72&gt;=10), 0.25, 0)</f>
        <v>0</v>
      </c>
      <c r="W15" s="121">
        <f>IF(AND(SUM(I36, H101, H90)&gt;=1, G114&gt;=1, C64&gt;=1, L72&gt;=10), 0.25, 0)</f>
        <v>0</v>
      </c>
      <c r="X15" s="121">
        <f>IF(AND(SUM(I36, H101, H90)&gt;=1, G114&gt;=1, C64&gt;=1, L72&gt;=10), 0.25, 0)</f>
        <v>0</v>
      </c>
      <c r="Y15" s="152" t="s">
        <v>194</v>
      </c>
    </row>
    <row r="16" spans="1:25" ht="31.5" hidden="1" customHeight="1" x14ac:dyDescent="0.3">
      <c r="A16" s="152">
        <v>2</v>
      </c>
      <c r="B16" s="237" t="s">
        <v>174</v>
      </c>
      <c r="C16" s="238"/>
      <c r="D16" s="238"/>
      <c r="E16" s="239"/>
      <c r="F16" s="121">
        <f>IF(AND(SUM(I36, H101, H90)&gt;=1, G114&lt;1, C64&gt;=1, L72&gt;=10, SUM(I36, H101, H90)&gt;=0), 0.25, 0)</f>
        <v>0</v>
      </c>
      <c r="G16" s="121">
        <f>IF(AND(SUM(I36, H101, H90)&gt;=1, G114&lt;1, C64&gt;=1, L72&gt;=10, SUM(I36, H101, H90)&gt;=0), 0, 0)</f>
        <v>0</v>
      </c>
      <c r="H16" s="121">
        <f>IF(AND(SUM(I36, H101, H90)&gt;=1, G114&lt;1, C64&gt;=1, L72&gt;=10, SUM(I36, H101, H90)&gt;=0), 0.25, 0)</f>
        <v>0</v>
      </c>
      <c r="I16" s="121">
        <f>IF(AND(SUM(I36, H101, H90)&gt;=1, G114&lt;1, C64&gt;=1, L72&gt;=10, SUM(I36, H101, H90)&gt;=0), 0.2, 0)</f>
        <v>0</v>
      </c>
      <c r="J16" s="121">
        <f>IF(AND(SUM(I36, H101, H90)&gt;=1, G114&lt;1, C64&gt;=1, L72&gt;=10, SUM(I36, H101, H90)&gt;=0), 0.25, 0)</f>
        <v>0</v>
      </c>
      <c r="K16" s="152">
        <f>IF(AND(SUM(I36, H101, H90)&gt;=1, G114&lt;1, C64&gt;=1, L72&gt;=10, SUM(I36, H101, H90)&gt;=0), 0.05, 0)</f>
        <v>0</v>
      </c>
      <c r="O16" s="152">
        <v>12</v>
      </c>
      <c r="P16" s="268" t="s">
        <v>189</v>
      </c>
      <c r="Q16" s="269"/>
      <c r="R16" s="269"/>
      <c r="S16" s="270"/>
      <c r="T16" s="121">
        <f>IF(AND(SUM(I36, H101, H90)&gt;=1, G114&lt;1, C64&gt;=1, L72&gt;=10), 0.25, 0)</f>
        <v>0</v>
      </c>
      <c r="U16" s="122">
        <f>IF(AND(SUM(I36, H101, H90)&gt;=1, G114&lt;1, C64&gt;=1, L72&gt;=10), 0, 0)</f>
        <v>0</v>
      </c>
      <c r="V16" s="121">
        <f>IF(AND(SUM(I36, H101, H90)&gt;=1, G114&lt;1, C64&gt;=1, L72&gt;=10), 0.25, 0)</f>
        <v>0</v>
      </c>
      <c r="W16" s="121">
        <f>IF(AND(SUM(I36, H101, H90)&gt;=1, G114&lt;1, C64&gt;=1, L72&gt;=10), 0.25, 0)</f>
        <v>0</v>
      </c>
      <c r="X16" s="121">
        <f>IF(AND(SUM(I36, H101, H90)&gt;=1, G114&lt;1, C64&gt;=1, L72&gt;=10), 0.25, 0)</f>
        <v>0</v>
      </c>
      <c r="Y16" s="152" t="s">
        <v>194</v>
      </c>
    </row>
    <row r="17" spans="1:25" ht="31.5" hidden="1" customHeight="1" x14ac:dyDescent="0.3">
      <c r="A17" s="152">
        <v>3</v>
      </c>
      <c r="B17" s="237" t="s">
        <v>175</v>
      </c>
      <c r="C17" s="238"/>
      <c r="D17" s="238"/>
      <c r="E17" s="239"/>
      <c r="F17" s="121">
        <f>IF(AND(SUM(I36, H101, H90)&gt;=1, G114&gt;=1, C64&lt;1, L72&gt;=10, SUM(I36, H101, H90)&gt;=0), 0.25, 0)</f>
        <v>0</v>
      </c>
      <c r="G17" s="121">
        <f>IF(AND(SUM(I36, H101, H90)&gt;=1, G114&gt;=1, C64&lt;1, L72&gt;=10, SUM(I36, H101, H90)&gt;=0), 0.25, 0)</f>
        <v>0</v>
      </c>
      <c r="H17" s="121">
        <f>IF(AND(SUM(I36, H101, H90)&gt;=1, G114&gt;=1, C64&lt;1, L72&gt;=10, SUM(I36, H101, H90)&gt;=0), 0, 0)</f>
        <v>0</v>
      </c>
      <c r="I17" s="121">
        <f>IF(AND(SUM(I36, H101, H90)&gt;=1, G114&gt;=1, C64&lt;1, L72&gt;=10, SUM(I36, H101, H90)&gt;=0), 0.2, 0)</f>
        <v>0</v>
      </c>
      <c r="J17" s="121">
        <f>IF(AND(SUM(I36, H101, H90)&gt;=1, G114&gt;=1, C64&lt;1, L72&gt;=10, SUM(I36, H101, H90)&gt;=0), 0.25, 0)</f>
        <v>0</v>
      </c>
      <c r="K17" s="152">
        <f>IF(AND(SUM(I36, H101, H90)&gt;=1, G114&gt;=1, C64&lt;1, L72&gt;=10, SUM(I36, H101, H90)&gt;=0), 0.05, 0)</f>
        <v>0</v>
      </c>
      <c r="O17" s="152">
        <v>13</v>
      </c>
      <c r="P17" s="268" t="s">
        <v>190</v>
      </c>
      <c r="Q17" s="269"/>
      <c r="R17" s="269"/>
      <c r="S17" s="270"/>
      <c r="T17" s="121">
        <f>IF(AND(SUM(I36, H101, H90)&gt;=1, G114&gt;=1, C64&lt;1, L72&gt;=10), 0.25, 0)</f>
        <v>0</v>
      </c>
      <c r="U17" s="122">
        <f>IF(AND(SUM(I36, H101, H90)&gt;=1, G114&gt;=1, C64&lt;1, L72&gt;=10), 0.25, 0)</f>
        <v>0</v>
      </c>
      <c r="V17" s="121">
        <f>IF(AND(SUM(I36, H101, H90)&gt;=1, G114&gt;=1, C64&lt;1, L72&gt;=10), 0, 0)</f>
        <v>0</v>
      </c>
      <c r="W17" s="121">
        <f>IF(AND(SUM(I36, H101, H90)&gt;=1, G114&gt;=1, C64&lt;1, L72&gt;=10), 0.25, 0)</f>
        <v>0</v>
      </c>
      <c r="X17" s="121">
        <f>IF(AND(SUM(I36, H101, H90)&gt;=1, G114&gt;=1, C64&lt;1, L72&gt;=10), 0.25, 0)</f>
        <v>0</v>
      </c>
      <c r="Y17" s="152" t="s">
        <v>194</v>
      </c>
    </row>
    <row r="18" spans="1:25" ht="31.5" hidden="1" customHeight="1" x14ac:dyDescent="0.3">
      <c r="A18" s="152">
        <v>4</v>
      </c>
      <c r="B18" s="237" t="s">
        <v>176</v>
      </c>
      <c r="C18" s="238"/>
      <c r="D18" s="238"/>
      <c r="E18" s="239"/>
      <c r="F18" s="121">
        <f>IF(AND(SUM(I36, H101, H90)&gt;=1, G114&lt;1, C64&lt;1, L72&gt;=10, SUM(I36, H101, H90)&gt;=0), 0.5, 0)</f>
        <v>0</v>
      </c>
      <c r="G18" s="121">
        <f>IF(AND(SUM(I36, H101, H90)&gt;=1, G114&lt;1, C64&lt;1, L72&gt;=10, SUM(I36, H101, H90)&gt;=0), 0, 0)</f>
        <v>0</v>
      </c>
      <c r="H18" s="121">
        <f>IF(AND(SUM(I36, H101, H90)&gt;=1, G114&lt;1, C64&lt;1, L72&gt;=10, SUM(I36, H101, H90)&gt;=0), 0, 0)</f>
        <v>0</v>
      </c>
      <c r="I18" s="121">
        <f>IF(AND(SUM(I36, H101, H90)&gt;=1, G114&lt;1, C64&lt;1, L72&gt;=10, SUM(I36, H101, H90)&gt;=0), 0.2, 0)</f>
        <v>0</v>
      </c>
      <c r="J18" s="121">
        <f>IF(AND(SUM(I36, H101, H90)&gt;=1, G114&lt;1, C64&lt;1, L72&gt;=10, SUM(I36, H101, H90)&gt;=0), 0.25, 0)</f>
        <v>0</v>
      </c>
      <c r="K18" s="152">
        <f>IF(AND(SUM(I36, H101, H90)&gt;=1, G114&lt;1, C64&lt;1, L72&gt;=10, SUM(I36, H101, H90)&gt;=0), 0.05, 0)</f>
        <v>0</v>
      </c>
      <c r="O18" s="152">
        <v>14</v>
      </c>
      <c r="P18" s="268" t="s">
        <v>191</v>
      </c>
      <c r="Q18" s="269"/>
      <c r="R18" s="269"/>
      <c r="S18" s="270"/>
      <c r="T18" s="121">
        <f>IF(AND(SUM(I36, H101, H90)&gt;=1, G114&lt;1, C64&lt;1, L72&gt;=10), 0.5, 0)</f>
        <v>0</v>
      </c>
      <c r="U18" s="122">
        <f>IF(AND(SUM(I36, H101, H90)&gt;=1, G114&lt;1, C64&lt;1, L72&gt;=10), 0, 0)</f>
        <v>0</v>
      </c>
      <c r="V18" s="121">
        <f>IF(AND(SUM(I36, H101, H90)&gt;=1, G114&lt;1, C64&lt;1, L72&gt;=10), 0, 0)</f>
        <v>0</v>
      </c>
      <c r="W18" s="121">
        <f>IF(AND(SUM(I36, H101, H90)&gt;=1, G114&lt;1, C64&lt;1, L72&gt;=10), 0.25, 0)</f>
        <v>0</v>
      </c>
      <c r="X18" s="121">
        <f>IF(AND(SUM(I36, H101, H90)&gt;=1, G114&lt;1, C64&lt;1, L72&gt;=10), 0.25, 0)</f>
        <v>0</v>
      </c>
      <c r="Y18" s="152" t="s">
        <v>194</v>
      </c>
    </row>
    <row r="19" spans="1:25" ht="31.5" hidden="1" customHeight="1" x14ac:dyDescent="0.3">
      <c r="A19" s="152">
        <v>5</v>
      </c>
      <c r="B19" s="237" t="s">
        <v>177</v>
      </c>
      <c r="C19" s="238"/>
      <c r="D19" s="238"/>
      <c r="E19" s="239"/>
      <c r="F19" s="121">
        <f>IF(AND(SUM(I36, H101, H90)&lt;1, G114&lt;1, C64&gt;=1, L72&gt;=10, SUM(I36, H101, H90)&gt;=0), 0, 0)</f>
        <v>0</v>
      </c>
      <c r="G19" s="121">
        <f>IF(AND(SUM(I36, H101, H90)&lt;1, G114&lt;1, C64&gt;=1, L72&gt;=10, SUM(I36, H101, H90)&gt;=0), 0, 0)</f>
        <v>0</v>
      </c>
      <c r="H19" s="121">
        <f>IF(AND(SUM(I36, H101, H90)&lt;1, G114&lt;1, C64&gt;=1, L72&gt;=10, SUM(I36, H101, H90)&gt;=0), 0.5, 0)</f>
        <v>0</v>
      </c>
      <c r="I19" s="121">
        <f>IF(AND(SUM(I36, H101, H90)&lt;1, G114&lt;1, C64&gt;=1, L72&gt;=10, SUM(I36, H101, H90)&gt;=0), 0.2, 0)</f>
        <v>0</v>
      </c>
      <c r="J19" s="121">
        <f>IF(AND(SUM(I36, H101, H90)&lt;1, G114&lt;1, C64&gt;=1, L72&gt;=10, SUM(I36, H101, H90)&gt;=0), 0.25, 0)</f>
        <v>0</v>
      </c>
      <c r="K19" s="152">
        <f>IF(AND(SUM(I36, H101, H90)&lt;1, G114&lt;1, C64&gt;=1, L72&gt;=10, SUM(I36, H101, H90)&gt;=0), 0.05, 0)</f>
        <v>0</v>
      </c>
      <c r="O19" s="152">
        <v>15</v>
      </c>
      <c r="P19" s="268" t="s">
        <v>192</v>
      </c>
      <c r="Q19" s="269"/>
      <c r="R19" s="269"/>
      <c r="S19" s="270"/>
      <c r="T19" s="121">
        <f>IF(AND(SUM(I36, H101, H90)&lt;1, G114&lt;1, C64&gt;=1, L72&gt;=10), 0, 0)</f>
        <v>0</v>
      </c>
      <c r="U19" s="122">
        <f>IF(AND(SUM(I36, H101, H90)&lt;1, G114&lt;1, C64&gt;=1, L72&gt;=10), 0, 0)</f>
        <v>0</v>
      </c>
      <c r="V19" s="121">
        <f>IF(AND(SUM(I36, H101, H90)&lt;1, G114&lt;1, C64&gt;=1, L72&gt;=10), 0.5, 0)</f>
        <v>0</v>
      </c>
      <c r="W19" s="121">
        <f>IF(AND(SUM(I36, H101, H90)&lt;1, G114&lt;1, C64&gt;=1, L72&gt;=10), 0.25, 0)</f>
        <v>0</v>
      </c>
      <c r="X19" s="121">
        <f>IF(AND(SUM(I36, H101, H90)&lt;1, G114&lt;1, C64&gt;=1, L72&gt;=10), 0.25, 0)</f>
        <v>0</v>
      </c>
      <c r="Y19" s="152" t="s">
        <v>194</v>
      </c>
    </row>
    <row r="20" spans="1:25" ht="31.5" hidden="1" customHeight="1" x14ac:dyDescent="0.3">
      <c r="A20" s="152">
        <v>6</v>
      </c>
      <c r="B20" s="237" t="s">
        <v>178</v>
      </c>
      <c r="C20" s="238"/>
      <c r="D20" s="238"/>
      <c r="E20" s="239"/>
      <c r="F20" s="121">
        <f>IF(AND(SUM(I36, H101, H90)&gt;=1, G114&gt;=1, C64&gt;=1, L72&lt;10, SUM(I36, H101, H90)&gt;=0), 0.225, 0)</f>
        <v>0</v>
      </c>
      <c r="G20" s="121">
        <f>IF(AND(SUM(I36, H101, H90)&gt;=1, G114&gt;=1, C64&gt;=1, L72&lt;10, SUM(I36, H101, H90)&gt;=0), 0.225, 0)</f>
        <v>0</v>
      </c>
      <c r="H20" s="121">
        <f>IF(AND(SUM(I36, H101, H90)&gt;=1, G114&gt;=1, C64&gt;=1, L72&lt;10, SUM(I36, H101, H90)&gt;=0), 0.5, 0)</f>
        <v>0</v>
      </c>
      <c r="I20" s="121">
        <f>IF(AND(SUM(I36, H101, H90)&gt;=1, G114&gt;=1, C64&gt;=1, L72&lt;10, SUM(I36, H101, H90)&gt;=0), 0, 0)</f>
        <v>0</v>
      </c>
      <c r="J20" s="121">
        <f>IF(AND(SUM(I36, H101, H90)&gt;=1, G114&gt;=1, C64&gt;=1, L72&lt;10, SUM(I36, H101, H90)&gt;=0), 0, 0)</f>
        <v>0</v>
      </c>
      <c r="K20" s="152">
        <f>IF(AND(SUM(I36, H101, H90)&gt;=1, G114&gt;=1, C64&gt;=1, L72&lt;10, SUM(I36, H101, H90)&gt;=0), 0.05, 0)</f>
        <v>0</v>
      </c>
      <c r="O20" s="152">
        <v>16</v>
      </c>
      <c r="P20" s="268" t="s">
        <v>183</v>
      </c>
      <c r="Q20" s="269"/>
      <c r="R20" s="269"/>
      <c r="S20" s="270"/>
      <c r="T20" s="121">
        <f>IF(AND(SUM(I36, H101, H90)&gt;=1, G114&gt;=1, C64&gt;=1, L72&lt;10), 0.25, 0)</f>
        <v>0</v>
      </c>
      <c r="U20" s="122">
        <f>IF(AND(SUM(I36, H101, H90)&gt;=1, G114&gt;=1, C64&gt;=1, L72&lt;10), 0.25, 0)</f>
        <v>0</v>
      </c>
      <c r="V20" s="121">
        <f>IF(AND(SUM(I36, H101, H90)&gt;=1, G114&gt;=1, C64&gt;=1, L72&lt;10), 0.5, 0)</f>
        <v>0</v>
      </c>
      <c r="W20" s="121">
        <f>IF(AND(SUM(I36, H101, H90)&gt;=1, G114&gt;=1, C64&gt;=1, L72&lt;10), 0, 0)</f>
        <v>0</v>
      </c>
      <c r="X20" s="121">
        <f>IF(AND(SUM(I36, H101, H90)&gt;=1, G114&gt;=1, C64&gt;=1, L72&lt;10), 0, 0)</f>
        <v>0</v>
      </c>
      <c r="Y20" s="152" t="s">
        <v>194</v>
      </c>
    </row>
    <row r="21" spans="1:25" ht="31.5" hidden="1" customHeight="1" x14ac:dyDescent="0.3">
      <c r="A21" s="152">
        <v>7</v>
      </c>
      <c r="B21" s="237" t="s">
        <v>179</v>
      </c>
      <c r="C21" s="238"/>
      <c r="D21" s="238"/>
      <c r="E21" s="239"/>
      <c r="F21" s="121">
        <f>IF(AND(SUM(I36, H101, H90)&gt;=1, G114&lt;1, C64&gt;=1, L72&lt;10, SUM(I36, H101, H90)&gt;=0), 0.45, 0)</f>
        <v>0</v>
      </c>
      <c r="G21" s="122">
        <f>IF(AND(SUM(I36, H101, H90)&gt;=1, G114&lt;1, C64&gt;=1, L72&lt;10, SUM(I36, H101, H90)&gt;=0), 0, 0)</f>
        <v>0</v>
      </c>
      <c r="H21" s="121">
        <f>IF(AND(SUM(I36, H101, H90)&gt;=1, G114&lt;1, C64&gt;=1, L72&lt;10, SUM(I36, H101, H90)&gt;=0), 0.5, 0)</f>
        <v>0</v>
      </c>
      <c r="I21" s="121">
        <f>IF(AND(SUM(I36, H101, H90)&gt;=1, G114&lt;1, C64&gt;=1, L72&lt;10, SUM(I36, H101, H90)&gt;=0), 0, 0)</f>
        <v>0</v>
      </c>
      <c r="J21" s="121">
        <f>IF(AND(SUM(I36, H101, H90)&gt;=1, G114&lt;1, C64&gt;=1, L72&lt;10, SUM(I36, H101, H90)&gt;=0), 0, 0)</f>
        <v>0</v>
      </c>
      <c r="K21" s="152">
        <f>IF(AND(SUM(I36, H101, H90)&gt;=1, G114&lt;1, C64&gt;=1, L72&lt;10, SUM(I36, H101, H90)&gt;=0), 0.05, 0)</f>
        <v>0</v>
      </c>
      <c r="O21" s="152">
        <v>17</v>
      </c>
      <c r="P21" s="268" t="s">
        <v>184</v>
      </c>
      <c r="Q21" s="269"/>
      <c r="R21" s="269"/>
      <c r="S21" s="270"/>
      <c r="T21" s="121">
        <f>IF(AND(SUM(I36, H101, H90)&gt;=1, G114&lt;1, C64&gt;=1, L72&lt;10), 0.5, 0)</f>
        <v>0</v>
      </c>
      <c r="U21" s="122">
        <f>IF(AND(SUM(I36, H101, H90)&gt;=1, G114&lt;1, C64&gt;=1, L72&lt;10), 0, 0)</f>
        <v>0</v>
      </c>
      <c r="V21" s="121">
        <f>IF(AND(SUM(I36, H101, H90)&gt;=1, G114&lt;1, C64&gt;=1, L72&lt;10), 0.5, 0)</f>
        <v>0</v>
      </c>
      <c r="W21" s="121">
        <f>IF(AND(SUM(I36, H101, H90)&gt;=1, G114&lt;1, C64&gt;=1, L72&lt;10), 0, 0)</f>
        <v>0</v>
      </c>
      <c r="X21" s="121">
        <f>IF(AND(SUM(I36, H101, H90)&gt;=1, G114&lt;1, C64&gt;=1, L72&lt;10), 0, 0)</f>
        <v>0</v>
      </c>
      <c r="Y21" s="152" t="s">
        <v>194</v>
      </c>
    </row>
    <row r="22" spans="1:25" ht="31.5" hidden="1" customHeight="1" x14ac:dyDescent="0.3">
      <c r="A22" s="152">
        <v>8</v>
      </c>
      <c r="B22" s="237" t="s">
        <v>180</v>
      </c>
      <c r="C22" s="238"/>
      <c r="D22" s="238"/>
      <c r="E22" s="239"/>
      <c r="F22" s="121">
        <f>IF(AND(SUM(I36, H101, H90)&gt;=1, G114&gt;=1, C64&lt;1, L72&lt;10, SUM(I36, H101, H90)&gt;=0), 0.475, 0)</f>
        <v>0</v>
      </c>
      <c r="G22" s="121">
        <f>IF(AND(SUM(I36, H101, H90)&gt;=1, G114&gt;=1, C64&lt;1, L72&lt;10, SUM(I36, H101, H90)&gt;=0), 0.475, 0)</f>
        <v>0</v>
      </c>
      <c r="H22" s="122">
        <f>IF(AND(SUM(I36, H101, H90)&gt;=1, G114&gt;=1, C64&lt;1, L72&lt;10, SUM(I36, H101, H90)&gt;=0), 0, 0)</f>
        <v>0</v>
      </c>
      <c r="I22" s="121">
        <f>IF(AND(SUM(I36, H101, H90)&gt;=1, G114&gt;=1, C64&lt;1, L72&lt;10, SUM(I36, H101, H90)&gt;=0), 0, 0)</f>
        <v>0</v>
      </c>
      <c r="J22" s="121">
        <f>IF(AND(SUM(I36, H101, H90)&gt;=1, G114&gt;=1, C64&lt;1, L72&lt;10, SUM(I36, H101, H90)&gt;=0), 0, 0)</f>
        <v>0</v>
      </c>
      <c r="K22" s="152">
        <f>IF(AND(SUM(I36, H101, H90)&gt;=1, G114&gt;=1, C64&lt;1, L72&lt;10, SUM(I36, H101, H90)&gt;=0), 0.05, 0)</f>
        <v>0</v>
      </c>
      <c r="O22" s="152">
        <v>18</v>
      </c>
      <c r="P22" s="268" t="s">
        <v>185</v>
      </c>
      <c r="Q22" s="269"/>
      <c r="R22" s="269"/>
      <c r="S22" s="270"/>
      <c r="T22" s="121">
        <f>IF(AND(SUM(I36, H101, H90)&gt;=1, G114&gt;=1, C64&lt;1, L72&lt;10), 0.5, 0)</f>
        <v>0</v>
      </c>
      <c r="U22" s="122">
        <f>IF(AND(SUM(I36, H101, H90)&gt;=1, G114&gt;=1, C64&lt;1, L72&lt;10), 0.5, 0)</f>
        <v>0</v>
      </c>
      <c r="V22" s="121">
        <f>IF(AND(SUM(I36, H101, H90)&gt;=1, G114&gt;=1, C64&lt;1, L72&lt;10), 0, 0)</f>
        <v>0</v>
      </c>
      <c r="W22" s="121">
        <f>IF(AND(SUM(I36, H101, H90)&gt;=1, G114&gt;=1, C64&lt;1, L72&lt;10), 0, 0)</f>
        <v>0</v>
      </c>
      <c r="X22" s="121">
        <f>IF(AND(SUM(I36, H101, H90)&gt;=1, G114&gt;=1, C64&lt;1, L72&lt;10), 0, 0)</f>
        <v>0</v>
      </c>
      <c r="Y22" s="152" t="s">
        <v>194</v>
      </c>
    </row>
    <row r="23" spans="1:25" ht="31.5" hidden="1" customHeight="1" x14ac:dyDescent="0.3">
      <c r="A23" s="152">
        <v>9</v>
      </c>
      <c r="B23" s="237" t="s">
        <v>181</v>
      </c>
      <c r="C23" s="238"/>
      <c r="D23" s="238"/>
      <c r="E23" s="239"/>
      <c r="F23" s="121">
        <f>IF(AND(SUM(I36, H101, H90)&gt;=1, G114&lt;1, C64&lt;1, L72&lt;10, SUM(I36, H101, H90)&gt;=0), 0.95, 0)</f>
        <v>0</v>
      </c>
      <c r="G23" s="122">
        <f>IF(AND(SUM(I36, H101, H90)&gt;=1, G114&lt;1, C64&lt;1, L72&lt;10, SUM(I36, H101, H90)&gt;=0), 0, 0)</f>
        <v>0</v>
      </c>
      <c r="H23" s="122">
        <f>IF(AND(SUM(I36, H101, H90)&gt;=1, G114&lt;1, C64&lt;1, L72&lt;10, SUM(I36, H101, H90)&gt;=0), 0, 0)</f>
        <v>0</v>
      </c>
      <c r="I23" s="121">
        <f>IF(AND(SUM(I36, H101, H90)&gt;=1, G114&lt;1, C64&lt;1, L72&lt;10, SUM(I36, H101, H90)&gt;=0), 0, 0)</f>
        <v>0</v>
      </c>
      <c r="J23" s="121">
        <f>IF(AND(SUM(I36, H101, H90)&gt;=1, G114&lt;1, C64&lt;1, L72&lt;10, SUM(I36, H101, H90)&gt;=0), 0, 0)</f>
        <v>0</v>
      </c>
      <c r="K23" s="152">
        <f>IF(AND(SUM(I36, H101, H90)&gt;=1, G114&lt;1, C64&lt;1, L72&lt;10, SUM(I36, H101, H90)&gt;=0), 0.05, 0)</f>
        <v>0</v>
      </c>
      <c r="O23" s="152">
        <v>19</v>
      </c>
      <c r="P23" s="268" t="s">
        <v>186</v>
      </c>
      <c r="Q23" s="269"/>
      <c r="R23" s="269"/>
      <c r="S23" s="270"/>
      <c r="T23" s="121">
        <f>IF(AND(SUM(I36, H101, H90)&gt;=1, G114&lt;1, C64&lt;1, L72&lt;10), 1, 0)</f>
        <v>0</v>
      </c>
      <c r="U23" s="122">
        <f>IF(AND(SUM(I36, H101, H90)&gt;=1, G114&lt;1, C64&lt;1, L72&lt;10), 0, 0)</f>
        <v>0</v>
      </c>
      <c r="V23" s="121">
        <f>IF(AND(SUM(I36, H101, H90)&gt;=1, G114&lt;1, C64&lt;1, L72&lt;10), 0, 0)</f>
        <v>0</v>
      </c>
      <c r="W23" s="121">
        <f>IF(AND(SUM(I36, H101, H90)&gt;=1, G114&lt;1, C64&lt;1, L72&lt;10), 0, 0)</f>
        <v>0</v>
      </c>
      <c r="X23" s="121">
        <f>IF(AND(SUM(I36, H101, H90)&gt;=1, G114&lt;1, C64&lt;1, L72&lt;10), 0, 0)</f>
        <v>0</v>
      </c>
      <c r="Y23" s="152" t="s">
        <v>194</v>
      </c>
    </row>
    <row r="24" spans="1:25" ht="31.5" hidden="1" customHeight="1" x14ac:dyDescent="0.3">
      <c r="A24" s="152">
        <v>10</v>
      </c>
      <c r="B24" s="237" t="s">
        <v>182</v>
      </c>
      <c r="C24" s="238"/>
      <c r="D24" s="238"/>
      <c r="E24" s="239"/>
      <c r="F24" s="121">
        <f>IF(AND(SUM(I36, H101, H90)&lt;1, G114&lt;1, C64&gt;=1, L72&lt;10, SUM(I36, H101, H90)&gt;=0), 0, 0)</f>
        <v>0</v>
      </c>
      <c r="G24" s="122">
        <f>IF(AND(SUM(I36, H101, H90)&lt;1, G114&lt;1, C64&gt;=1, L72&lt;10, SUM(I36, H101, H90)&gt;=0), 0, 0)</f>
        <v>0</v>
      </c>
      <c r="H24" s="121">
        <f>IF(AND(SUM(I36, H101, H90)&lt;1, G114&lt;1, C64&gt;=1, L72&lt;10, SUM(I36, H101, H90)&gt;=0), 0.95, 0)</f>
        <v>0</v>
      </c>
      <c r="I24" s="121">
        <f>IF(AND(SUM(I36, H101, H90)&lt;1, G114&lt;1, C64&gt;=1, L72&lt;10, SUM(I36, H101, H90)&gt;=0), 0, 0)</f>
        <v>0</v>
      </c>
      <c r="J24" s="121">
        <f>IF(AND(SUM(I36, H101, H90)&lt;1, G114&lt;1, C64&gt;=1, L72&lt;10, SUM(I36, H101, H90)&gt;=0), 0, 0)</f>
        <v>0</v>
      </c>
      <c r="K24" s="152">
        <f>IF(AND(SUM(I36, H101, H90)&lt;1, G114&lt;1, C64&gt;=1, L72&lt;10, SUM(I36, H101, H90)&gt;=0), 0.05, 0)</f>
        <v>0</v>
      </c>
      <c r="O24" s="152">
        <v>20</v>
      </c>
      <c r="P24" s="268" t="s">
        <v>187</v>
      </c>
      <c r="Q24" s="269"/>
      <c r="R24" s="269"/>
      <c r="S24" s="270"/>
      <c r="T24" s="121">
        <f>IF(AND(SUM(I36, H101, H90)&lt;1, G114&lt;1, C64&gt;=1, L72&lt;10), 0, 0)</f>
        <v>0</v>
      </c>
      <c r="U24" s="122">
        <f>IF(AND(SUM(I36, H101, H90)&lt;1, G114&lt;1, C64&gt;=1, L72&lt;10), 0, 0)</f>
        <v>0</v>
      </c>
      <c r="V24" s="121">
        <f>IF(AND(SUM(I36, H101, H90)&lt;1, G114&lt;1, C64&gt;=1, L72&lt;10), 1, 0)</f>
        <v>0</v>
      </c>
      <c r="W24" s="121">
        <f>IF(AND(SUM(I36, H101, H90)&lt;1, G114&lt;1, C64&gt;=1, L72&lt;10), 0, 0)</f>
        <v>0</v>
      </c>
      <c r="X24" s="121">
        <f>IF(AND(SUM(I36, H101, H90)&lt;1, G114&lt;1, C64&gt;=1, L72&lt;10), 0, 0)</f>
        <v>0</v>
      </c>
      <c r="Y24" s="152" t="s">
        <v>194</v>
      </c>
    </row>
    <row r="25" spans="1:25" ht="14.5" hidden="1" customHeight="1" x14ac:dyDescent="0.35">
      <c r="A25" s="131"/>
      <c r="B25" s="137"/>
      <c r="C25" s="137"/>
      <c r="D25" s="137"/>
      <c r="E25" s="137"/>
      <c r="F25" s="133"/>
      <c r="G25" s="134"/>
      <c r="H25" s="133"/>
      <c r="I25" s="133"/>
      <c r="J25" s="135"/>
      <c r="K25" s="128"/>
      <c r="O25" s="131"/>
      <c r="P25" s="132"/>
      <c r="Q25" s="132"/>
      <c r="R25" s="132"/>
      <c r="S25" s="132"/>
      <c r="T25" s="133"/>
      <c r="U25" s="134"/>
      <c r="V25" s="133"/>
      <c r="W25" s="133"/>
      <c r="X25" s="135"/>
      <c r="Y25" s="128"/>
    </row>
    <row r="26" spans="1:25" hidden="1" x14ac:dyDescent="0.3">
      <c r="D26" s="26"/>
      <c r="E26" s="26"/>
      <c r="F26" s="46"/>
      <c r="G26" s="46"/>
      <c r="H26" s="46"/>
      <c r="I26" s="47"/>
    </row>
    <row r="27" spans="1:25" ht="18.649999999999999" customHeight="1" x14ac:dyDescent="0.3">
      <c r="A27" s="277" t="s">
        <v>236</v>
      </c>
      <c r="B27" s="277"/>
      <c r="C27" s="277"/>
      <c r="D27" s="277"/>
      <c r="E27" s="277"/>
      <c r="F27" s="277"/>
      <c r="G27" s="277"/>
      <c r="H27" s="277"/>
      <c r="I27" s="277"/>
      <c r="J27" s="277"/>
    </row>
    <row r="28" spans="1:25" ht="14.5" customHeight="1" x14ac:dyDescent="0.3">
      <c r="A28" s="278" t="s">
        <v>143</v>
      </c>
      <c r="B28" s="278" t="s">
        <v>1</v>
      </c>
      <c r="C28" s="278"/>
      <c r="D28" s="278"/>
      <c r="E28" s="278"/>
      <c r="F28" s="278"/>
      <c r="G28" s="265" t="s">
        <v>10</v>
      </c>
      <c r="H28" s="263" t="s">
        <v>17</v>
      </c>
      <c r="I28" s="264" t="s">
        <v>18</v>
      </c>
      <c r="J28" s="275" t="s">
        <v>11</v>
      </c>
    </row>
    <row r="29" spans="1:25" ht="40.9" customHeight="1" x14ac:dyDescent="0.3">
      <c r="A29" s="278"/>
      <c r="B29" s="1" t="s">
        <v>258</v>
      </c>
      <c r="C29" s="1" t="s">
        <v>257</v>
      </c>
      <c r="D29" s="1" t="s">
        <v>116</v>
      </c>
      <c r="E29" s="1" t="s">
        <v>256</v>
      </c>
      <c r="F29" s="1" t="s">
        <v>255</v>
      </c>
      <c r="G29" s="265"/>
      <c r="H29" s="263"/>
      <c r="I29" s="264"/>
      <c r="J29" s="275"/>
      <c r="K29" s="2"/>
    </row>
    <row r="30" spans="1:25" x14ac:dyDescent="0.3">
      <c r="A30" s="3" t="s">
        <v>43</v>
      </c>
      <c r="B30" s="4"/>
      <c r="C30" s="4"/>
      <c r="D30" s="4"/>
      <c r="E30" s="4"/>
      <c r="F30" s="4"/>
      <c r="G30" s="82">
        <v>1</v>
      </c>
      <c r="H30" s="83">
        <f t="shared" ref="H30:H35" si="2">SUM(B30*150, C30*100, D30*80, E30*0, F30*0)*G30</f>
        <v>0</v>
      </c>
      <c r="I30" s="83">
        <f>SUM(B30:F30)*G30</f>
        <v>0</v>
      </c>
      <c r="J30" s="83">
        <f>IF(I30&gt;0,ROUND(H30/I30, 1), 0)</f>
        <v>0</v>
      </c>
    </row>
    <row r="31" spans="1:25" x14ac:dyDescent="0.3">
      <c r="A31" s="3" t="s">
        <v>38</v>
      </c>
      <c r="B31" s="4"/>
      <c r="C31" s="4"/>
      <c r="D31" s="4"/>
      <c r="E31" s="4"/>
      <c r="F31" s="4"/>
      <c r="G31" s="82">
        <v>1</v>
      </c>
      <c r="H31" s="83">
        <f t="shared" si="2"/>
        <v>0</v>
      </c>
      <c r="I31" s="83">
        <f t="shared" ref="I31:I35" si="3">SUM(B31:F31)*G31</f>
        <v>0</v>
      </c>
      <c r="J31" s="83">
        <f t="shared" ref="J31:J36" si="4">IF(I31&gt;0,ROUND(H31/I31, 1), 0)</f>
        <v>0</v>
      </c>
    </row>
    <row r="32" spans="1:25" x14ac:dyDescent="0.3">
      <c r="A32" s="3" t="s">
        <v>39</v>
      </c>
      <c r="B32" s="4"/>
      <c r="C32" s="4"/>
      <c r="D32" s="4"/>
      <c r="E32" s="4"/>
      <c r="F32" s="4"/>
      <c r="G32" s="82">
        <v>1</v>
      </c>
      <c r="H32" s="83">
        <f t="shared" si="2"/>
        <v>0</v>
      </c>
      <c r="I32" s="83">
        <f t="shared" si="3"/>
        <v>0</v>
      </c>
      <c r="J32" s="83">
        <f t="shared" si="4"/>
        <v>0</v>
      </c>
    </row>
    <row r="33" spans="1:13" x14ac:dyDescent="0.3">
      <c r="A33" s="3" t="s">
        <v>40</v>
      </c>
      <c r="B33" s="4"/>
      <c r="C33" s="4"/>
      <c r="D33" s="4"/>
      <c r="E33" s="4"/>
      <c r="F33" s="4"/>
      <c r="G33" s="82">
        <v>1</v>
      </c>
      <c r="H33" s="83">
        <f t="shared" si="2"/>
        <v>0</v>
      </c>
      <c r="I33" s="83">
        <f t="shared" si="3"/>
        <v>0</v>
      </c>
      <c r="J33" s="83">
        <f t="shared" si="4"/>
        <v>0</v>
      </c>
    </row>
    <row r="34" spans="1:13" x14ac:dyDescent="0.3">
      <c r="A34" s="3" t="s">
        <v>41</v>
      </c>
      <c r="B34" s="4"/>
      <c r="C34" s="4"/>
      <c r="D34" s="4"/>
      <c r="E34" s="4"/>
      <c r="F34" s="4"/>
      <c r="G34" s="82">
        <v>1</v>
      </c>
      <c r="H34" s="83">
        <f t="shared" si="2"/>
        <v>0</v>
      </c>
      <c r="I34" s="83">
        <f t="shared" si="3"/>
        <v>0</v>
      </c>
      <c r="J34" s="83">
        <f t="shared" si="4"/>
        <v>0</v>
      </c>
    </row>
    <row r="35" spans="1:13" x14ac:dyDescent="0.3">
      <c r="A35" s="3" t="s">
        <v>42</v>
      </c>
      <c r="B35" s="4"/>
      <c r="C35" s="4"/>
      <c r="D35" s="4"/>
      <c r="E35" s="4"/>
      <c r="F35" s="4"/>
      <c r="G35" s="82">
        <v>1</v>
      </c>
      <c r="H35" s="83">
        <f t="shared" si="2"/>
        <v>0</v>
      </c>
      <c r="I35" s="83">
        <f t="shared" si="3"/>
        <v>0</v>
      </c>
      <c r="J35" s="83">
        <f t="shared" si="4"/>
        <v>0</v>
      </c>
    </row>
    <row r="36" spans="1:13" x14ac:dyDescent="0.3">
      <c r="A36" s="276" t="s">
        <v>203</v>
      </c>
      <c r="B36" s="276"/>
      <c r="C36" s="276"/>
      <c r="D36" s="276"/>
      <c r="E36" s="276"/>
      <c r="F36" s="276"/>
      <c r="G36" s="276"/>
      <c r="H36" s="82">
        <f>SUM(H30:H35)</f>
        <v>0</v>
      </c>
      <c r="I36" s="82">
        <f>SUM(I30:I35)</f>
        <v>0</v>
      </c>
      <c r="J36" s="82">
        <f t="shared" si="4"/>
        <v>0</v>
      </c>
    </row>
    <row r="37" spans="1:13" x14ac:dyDescent="0.3">
      <c r="A37" s="266" t="s">
        <v>251</v>
      </c>
      <c r="B37" s="266"/>
      <c r="C37" s="266"/>
      <c r="D37" s="266"/>
      <c r="E37" s="266"/>
      <c r="F37" s="266"/>
      <c r="G37" s="266"/>
      <c r="H37" s="266"/>
      <c r="I37" s="266"/>
      <c r="J37" s="266"/>
      <c r="K37" s="5"/>
      <c r="L37" s="5"/>
      <c r="M37" s="5"/>
    </row>
    <row r="38" spans="1:13" x14ac:dyDescent="0.3">
      <c r="A38" s="266" t="s">
        <v>252</v>
      </c>
      <c r="B38" s="266"/>
      <c r="C38" s="266"/>
      <c r="D38" s="266"/>
      <c r="E38" s="266"/>
      <c r="F38" s="266"/>
      <c r="G38" s="266"/>
      <c r="H38" s="266"/>
      <c r="I38" s="266"/>
      <c r="J38" s="266"/>
      <c r="K38" s="5"/>
      <c r="L38" s="5"/>
      <c r="M38" s="5"/>
    </row>
    <row r="39" spans="1:13" ht="24" customHeight="1" x14ac:dyDescent="0.3">
      <c r="A39" s="289" t="s">
        <v>253</v>
      </c>
      <c r="B39" s="289"/>
      <c r="C39" s="289"/>
      <c r="D39" s="289"/>
      <c r="E39" s="289"/>
      <c r="F39" s="289"/>
      <c r="G39" s="289"/>
      <c r="H39" s="289"/>
      <c r="I39" s="289"/>
      <c r="J39" s="289"/>
      <c r="K39" s="6"/>
      <c r="L39" s="5"/>
      <c r="M39" s="5"/>
    </row>
    <row r="40" spans="1:13" x14ac:dyDescent="0.3">
      <c r="A40" s="289" t="s">
        <v>254</v>
      </c>
      <c r="B40" s="289"/>
      <c r="C40" s="289"/>
      <c r="D40" s="289"/>
      <c r="E40" s="289"/>
      <c r="F40" s="289"/>
      <c r="G40" s="289"/>
      <c r="H40" s="289"/>
      <c r="I40" s="289"/>
      <c r="J40" s="289"/>
      <c r="K40" s="5"/>
      <c r="L40" s="5"/>
      <c r="M40" s="5"/>
    </row>
    <row r="42" spans="1:13" ht="18" customHeight="1" x14ac:dyDescent="0.3">
      <c r="A42" s="179" t="s">
        <v>49</v>
      </c>
      <c r="B42" s="180"/>
      <c r="C42" s="180"/>
      <c r="D42" s="181"/>
      <c r="F42" s="215" t="s">
        <v>103</v>
      </c>
      <c r="G42" s="215"/>
      <c r="H42" s="215"/>
      <c r="I42" s="215"/>
      <c r="J42" s="215"/>
      <c r="K42" s="215"/>
      <c r="L42" s="215"/>
      <c r="M42" s="215"/>
    </row>
    <row r="43" spans="1:13" ht="24" x14ac:dyDescent="0.3">
      <c r="A43" s="11" t="s">
        <v>44</v>
      </c>
      <c r="B43" s="11" t="s">
        <v>45</v>
      </c>
      <c r="C43" s="12" t="s">
        <v>46</v>
      </c>
      <c r="D43" s="12" t="s">
        <v>17</v>
      </c>
      <c r="F43" s="189" t="s">
        <v>50</v>
      </c>
      <c r="G43" s="189"/>
      <c r="H43" s="189"/>
      <c r="I43" s="189"/>
      <c r="J43" s="176"/>
      <c r="K43" s="12" t="s">
        <v>61</v>
      </c>
      <c r="L43" s="12" t="s">
        <v>62</v>
      </c>
      <c r="M43" s="12" t="s">
        <v>37</v>
      </c>
    </row>
    <row r="44" spans="1:13" x14ac:dyDescent="0.3">
      <c r="A44" s="11" t="s">
        <v>47</v>
      </c>
      <c r="B44" s="13">
        <v>0</v>
      </c>
      <c r="C44" s="14"/>
      <c r="D44" s="84">
        <f>C44*B44</f>
        <v>0</v>
      </c>
      <c r="F44" s="254" t="s">
        <v>51</v>
      </c>
      <c r="G44" s="255"/>
      <c r="H44" s="255"/>
      <c r="I44" s="255"/>
      <c r="J44" s="256"/>
      <c r="K44" s="189">
        <v>160</v>
      </c>
      <c r="L44" s="288"/>
      <c r="M44" s="271">
        <f>K44*L44</f>
        <v>0</v>
      </c>
    </row>
    <row r="45" spans="1:13" ht="15.65" customHeight="1" x14ac:dyDescent="0.3">
      <c r="A45" s="11" t="s">
        <v>48</v>
      </c>
      <c r="B45" s="13">
        <v>70</v>
      </c>
      <c r="C45" s="14"/>
      <c r="D45" s="84">
        <f t="shared" ref="D45:D63" si="5">C45*B45</f>
        <v>0</v>
      </c>
      <c r="F45" s="279" t="s">
        <v>66</v>
      </c>
      <c r="G45" s="280"/>
      <c r="H45" s="280"/>
      <c r="I45" s="280"/>
      <c r="J45" s="281"/>
      <c r="K45" s="189"/>
      <c r="L45" s="288"/>
      <c r="M45" s="272"/>
    </row>
    <row r="46" spans="1:13" x14ac:dyDescent="0.3">
      <c r="A46" s="11">
        <v>19</v>
      </c>
      <c r="B46" s="13">
        <v>80</v>
      </c>
      <c r="C46" s="14"/>
      <c r="D46" s="84">
        <f t="shared" si="5"/>
        <v>0</v>
      </c>
      <c r="F46" s="285" t="s">
        <v>67</v>
      </c>
      <c r="G46" s="286"/>
      <c r="H46" s="286"/>
      <c r="I46" s="286"/>
      <c r="J46" s="287"/>
      <c r="K46" s="189"/>
      <c r="L46" s="288"/>
      <c r="M46" s="273"/>
    </row>
    <row r="47" spans="1:13" x14ac:dyDescent="0.3">
      <c r="A47" s="11">
        <v>20</v>
      </c>
      <c r="B47" s="13">
        <v>90</v>
      </c>
      <c r="C47" s="14"/>
      <c r="D47" s="84">
        <f t="shared" si="5"/>
        <v>0</v>
      </c>
      <c r="F47" s="282" t="s">
        <v>51</v>
      </c>
      <c r="G47" s="283"/>
      <c r="H47" s="283"/>
      <c r="I47" s="283"/>
      <c r="J47" s="284"/>
      <c r="K47" s="189">
        <v>150</v>
      </c>
      <c r="L47" s="245"/>
      <c r="M47" s="271">
        <f>K47*L47</f>
        <v>0</v>
      </c>
    </row>
    <row r="48" spans="1:13" x14ac:dyDescent="0.3">
      <c r="A48" s="11">
        <v>21</v>
      </c>
      <c r="B48" s="13">
        <v>100</v>
      </c>
      <c r="C48" s="14"/>
      <c r="D48" s="84">
        <f t="shared" si="5"/>
        <v>0</v>
      </c>
      <c r="F48" s="279" t="s">
        <v>52</v>
      </c>
      <c r="G48" s="280"/>
      <c r="H48" s="280"/>
      <c r="I48" s="280"/>
      <c r="J48" s="281"/>
      <c r="K48" s="189"/>
      <c r="L48" s="246"/>
      <c r="M48" s="272"/>
    </row>
    <row r="49" spans="1:13" x14ac:dyDescent="0.3">
      <c r="A49" s="11" t="s">
        <v>154</v>
      </c>
      <c r="B49" s="13">
        <v>103.4</v>
      </c>
      <c r="C49" s="14"/>
      <c r="D49" s="84">
        <f t="shared" si="5"/>
        <v>0</v>
      </c>
      <c r="F49" s="279" t="s">
        <v>53</v>
      </c>
      <c r="G49" s="280"/>
      <c r="H49" s="280"/>
      <c r="I49" s="280"/>
      <c r="J49" s="281"/>
      <c r="K49" s="189"/>
      <c r="L49" s="247"/>
      <c r="M49" s="273"/>
    </row>
    <row r="50" spans="1:13" x14ac:dyDescent="0.3">
      <c r="A50" s="11">
        <v>23</v>
      </c>
      <c r="B50" s="13">
        <v>106.8</v>
      </c>
      <c r="C50" s="14"/>
      <c r="D50" s="84">
        <f t="shared" si="5"/>
        <v>0</v>
      </c>
      <c r="F50" s="282" t="s">
        <v>51</v>
      </c>
      <c r="G50" s="283"/>
      <c r="H50" s="283"/>
      <c r="I50" s="283"/>
      <c r="J50" s="284"/>
      <c r="K50" s="189">
        <v>115</v>
      </c>
      <c r="L50" s="245"/>
      <c r="M50" s="271">
        <f>K50*L50</f>
        <v>0</v>
      </c>
    </row>
    <row r="51" spans="1:13" ht="30.65" customHeight="1" x14ac:dyDescent="0.3">
      <c r="A51" s="11">
        <v>24</v>
      </c>
      <c r="B51" s="13">
        <v>110.2</v>
      </c>
      <c r="C51" s="14"/>
      <c r="D51" s="84">
        <f t="shared" si="5"/>
        <v>0</v>
      </c>
      <c r="F51" s="257" t="s">
        <v>63</v>
      </c>
      <c r="G51" s="258"/>
      <c r="H51" s="258"/>
      <c r="I51" s="258"/>
      <c r="J51" s="259"/>
      <c r="K51" s="189"/>
      <c r="L51" s="246"/>
      <c r="M51" s="272"/>
    </row>
    <row r="52" spans="1:13" x14ac:dyDescent="0.3">
      <c r="A52" s="11">
        <v>25</v>
      </c>
      <c r="B52" s="13">
        <v>113.6</v>
      </c>
      <c r="C52" s="14"/>
      <c r="D52" s="84">
        <f t="shared" si="5"/>
        <v>0</v>
      </c>
      <c r="F52" s="260" t="s">
        <v>54</v>
      </c>
      <c r="G52" s="261"/>
      <c r="H52" s="261"/>
      <c r="I52" s="261"/>
      <c r="J52" s="262"/>
      <c r="K52" s="189"/>
      <c r="L52" s="246"/>
      <c r="M52" s="272"/>
    </row>
    <row r="53" spans="1:13" x14ac:dyDescent="0.3">
      <c r="A53" s="11">
        <v>26</v>
      </c>
      <c r="B53" s="13">
        <v>117</v>
      </c>
      <c r="C53" s="14"/>
      <c r="D53" s="84">
        <f t="shared" si="5"/>
        <v>0</v>
      </c>
      <c r="F53" s="251" t="s">
        <v>64</v>
      </c>
      <c r="G53" s="252"/>
      <c r="H53" s="252"/>
      <c r="I53" s="252"/>
      <c r="J53" s="253"/>
      <c r="K53" s="189"/>
      <c r="L53" s="247"/>
      <c r="M53" s="273"/>
    </row>
    <row r="54" spans="1:13" x14ac:dyDescent="0.3">
      <c r="A54" s="11" t="s">
        <v>153</v>
      </c>
      <c r="B54" s="13">
        <v>120.4</v>
      </c>
      <c r="C54" s="14"/>
      <c r="D54" s="84">
        <f t="shared" si="5"/>
        <v>0</v>
      </c>
      <c r="F54" s="254" t="s">
        <v>51</v>
      </c>
      <c r="G54" s="255"/>
      <c r="H54" s="255"/>
      <c r="I54" s="255"/>
      <c r="J54" s="256"/>
      <c r="K54" s="189">
        <v>110</v>
      </c>
      <c r="L54" s="245"/>
      <c r="M54" s="271">
        <f>K54*L54</f>
        <v>0</v>
      </c>
    </row>
    <row r="55" spans="1:13" ht="28.9" customHeight="1" x14ac:dyDescent="0.3">
      <c r="A55" s="11">
        <v>28</v>
      </c>
      <c r="B55" s="13">
        <v>123.8</v>
      </c>
      <c r="C55" s="14"/>
      <c r="D55" s="84">
        <f t="shared" si="5"/>
        <v>0</v>
      </c>
      <c r="F55" s="257" t="s">
        <v>65</v>
      </c>
      <c r="G55" s="258"/>
      <c r="H55" s="258"/>
      <c r="I55" s="258"/>
      <c r="J55" s="259"/>
      <c r="K55" s="189"/>
      <c r="L55" s="246"/>
      <c r="M55" s="272"/>
    </row>
    <row r="56" spans="1:13" x14ac:dyDescent="0.3">
      <c r="A56" s="11">
        <v>29</v>
      </c>
      <c r="B56" s="13">
        <v>127.2</v>
      </c>
      <c r="C56" s="14"/>
      <c r="D56" s="84">
        <f t="shared" si="5"/>
        <v>0</v>
      </c>
      <c r="F56" s="260" t="s">
        <v>55</v>
      </c>
      <c r="G56" s="261"/>
      <c r="H56" s="261"/>
      <c r="I56" s="261"/>
      <c r="J56" s="262"/>
      <c r="K56" s="189"/>
      <c r="L56" s="246"/>
      <c r="M56" s="272"/>
    </row>
    <row r="57" spans="1:13" x14ac:dyDescent="0.3">
      <c r="A57" s="11">
        <v>30</v>
      </c>
      <c r="B57" s="13">
        <v>130.6</v>
      </c>
      <c r="C57" s="14"/>
      <c r="D57" s="84">
        <f t="shared" si="5"/>
        <v>0</v>
      </c>
      <c r="F57" s="251" t="s">
        <v>64</v>
      </c>
      <c r="G57" s="252"/>
      <c r="H57" s="252"/>
      <c r="I57" s="252"/>
      <c r="J57" s="253"/>
      <c r="K57" s="189"/>
      <c r="L57" s="247"/>
      <c r="M57" s="273"/>
    </row>
    <row r="58" spans="1:13" ht="30" customHeight="1" x14ac:dyDescent="0.3">
      <c r="A58" s="11">
        <v>31</v>
      </c>
      <c r="B58" s="13">
        <v>134</v>
      </c>
      <c r="C58" s="14"/>
      <c r="D58" s="84">
        <f t="shared" si="5"/>
        <v>0</v>
      </c>
      <c r="F58" s="171" t="s">
        <v>56</v>
      </c>
      <c r="G58" s="172"/>
      <c r="H58" s="172"/>
      <c r="I58" s="172"/>
      <c r="J58" s="274"/>
      <c r="K58" s="44">
        <v>100</v>
      </c>
      <c r="L58" s="139"/>
      <c r="M58" s="67">
        <f t="shared" ref="M58:M66" si="6">K58*L58</f>
        <v>0</v>
      </c>
    </row>
    <row r="59" spans="1:13" ht="30" customHeight="1" x14ac:dyDescent="0.3">
      <c r="A59" s="11">
        <v>32</v>
      </c>
      <c r="B59" s="13">
        <v>137.4</v>
      </c>
      <c r="C59" s="14"/>
      <c r="D59" s="84">
        <f t="shared" si="5"/>
        <v>0</v>
      </c>
      <c r="F59" s="249" t="s">
        <v>214</v>
      </c>
      <c r="G59" s="250"/>
      <c r="H59" s="250"/>
      <c r="I59" s="250"/>
      <c r="J59" s="250"/>
      <c r="K59" s="44">
        <v>150</v>
      </c>
      <c r="L59" s="53"/>
      <c r="M59" s="67">
        <f>K59*L59</f>
        <v>0</v>
      </c>
    </row>
    <row r="60" spans="1:13" ht="30" customHeight="1" x14ac:dyDescent="0.3">
      <c r="A60" s="11">
        <v>33</v>
      </c>
      <c r="B60" s="13">
        <v>140.80000000000001</v>
      </c>
      <c r="C60" s="14"/>
      <c r="D60" s="84">
        <f t="shared" si="5"/>
        <v>0</v>
      </c>
      <c r="F60" s="249" t="s">
        <v>213</v>
      </c>
      <c r="G60" s="249"/>
      <c r="H60" s="249"/>
      <c r="I60" s="249"/>
      <c r="J60" s="249"/>
      <c r="K60" s="103">
        <v>110</v>
      </c>
      <c r="L60" s="53"/>
      <c r="M60" s="67">
        <f>K60*L60</f>
        <v>0</v>
      </c>
    </row>
    <row r="61" spans="1:13" ht="30" customHeight="1" x14ac:dyDescent="0.3">
      <c r="A61" s="11">
        <v>34</v>
      </c>
      <c r="B61" s="13">
        <v>144.19999999999999</v>
      </c>
      <c r="C61" s="14"/>
      <c r="D61" s="84">
        <f t="shared" si="5"/>
        <v>0</v>
      </c>
      <c r="F61" s="171" t="s">
        <v>204</v>
      </c>
      <c r="G61" s="172"/>
      <c r="H61" s="172"/>
      <c r="I61" s="172"/>
      <c r="J61" s="274"/>
      <c r="K61" s="147">
        <v>100</v>
      </c>
      <c r="L61" s="53"/>
      <c r="M61" s="67">
        <f>K61*L61</f>
        <v>0</v>
      </c>
    </row>
    <row r="62" spans="1:13" ht="30" customHeight="1" x14ac:dyDescent="0.3">
      <c r="A62" s="11">
        <v>35</v>
      </c>
      <c r="B62" s="13">
        <v>147.6</v>
      </c>
      <c r="C62" s="14"/>
      <c r="D62" s="84">
        <f t="shared" si="5"/>
        <v>0</v>
      </c>
      <c r="F62" s="171" t="s">
        <v>211</v>
      </c>
      <c r="G62" s="172"/>
      <c r="H62" s="172"/>
      <c r="I62" s="172"/>
      <c r="J62" s="274"/>
      <c r="K62" s="147">
        <v>0</v>
      </c>
      <c r="L62" s="53"/>
      <c r="M62" s="67">
        <f>K62*L62</f>
        <v>0</v>
      </c>
    </row>
    <row r="63" spans="1:13" ht="38.5" customHeight="1" x14ac:dyDescent="0.3">
      <c r="A63" s="11">
        <v>36</v>
      </c>
      <c r="B63" s="13">
        <v>150</v>
      </c>
      <c r="C63" s="14"/>
      <c r="D63" s="84">
        <f t="shared" si="5"/>
        <v>0</v>
      </c>
      <c r="F63" s="249" t="s">
        <v>212</v>
      </c>
      <c r="G63" s="249"/>
      <c r="H63" s="249"/>
      <c r="I63" s="249"/>
      <c r="J63" s="249"/>
      <c r="K63" s="103">
        <v>0</v>
      </c>
      <c r="L63" s="53"/>
      <c r="M63" s="67">
        <f>K63*L63</f>
        <v>0</v>
      </c>
    </row>
    <row r="64" spans="1:13" x14ac:dyDescent="0.3">
      <c r="A64" s="248" t="s">
        <v>19</v>
      </c>
      <c r="B64" s="248"/>
      <c r="C64" s="87">
        <f>SUM(C44:C63)</f>
        <v>0</v>
      </c>
      <c r="D64" s="85">
        <f>SUM(D44:D63)</f>
        <v>0</v>
      </c>
      <c r="F64" s="293" t="s">
        <v>68</v>
      </c>
      <c r="G64" s="293"/>
      <c r="H64" s="293"/>
      <c r="I64" s="293"/>
      <c r="J64" s="293"/>
      <c r="K64" s="50">
        <v>40</v>
      </c>
      <c r="L64" s="53"/>
      <c r="M64" s="67">
        <f t="shared" si="6"/>
        <v>0</v>
      </c>
    </row>
    <row r="65" spans="1:14" x14ac:dyDescent="0.3">
      <c r="A65" s="248" t="s">
        <v>121</v>
      </c>
      <c r="B65" s="248"/>
      <c r="C65" s="248"/>
      <c r="D65" s="86">
        <f>IF(C64&gt;0, ROUND(D64/C64,1), 0)</f>
        <v>0</v>
      </c>
      <c r="F65" s="250" t="s">
        <v>57</v>
      </c>
      <c r="G65" s="250"/>
      <c r="H65" s="250"/>
      <c r="I65" s="250"/>
      <c r="J65" s="250"/>
      <c r="K65" s="44">
        <v>25</v>
      </c>
      <c r="L65" s="139"/>
      <c r="M65" s="67">
        <f t="shared" si="6"/>
        <v>0</v>
      </c>
    </row>
    <row r="66" spans="1:14" ht="12" customHeight="1" x14ac:dyDescent="0.3">
      <c r="A66" s="240" t="s">
        <v>237</v>
      </c>
      <c r="B66" s="240"/>
      <c r="C66" s="240"/>
      <c r="D66" s="240"/>
      <c r="E66" s="241"/>
      <c r="F66" s="250" t="s">
        <v>58</v>
      </c>
      <c r="G66" s="250"/>
      <c r="H66" s="250"/>
      <c r="I66" s="250"/>
      <c r="J66" s="250"/>
      <c r="K66" s="44">
        <v>0</v>
      </c>
      <c r="L66" s="139"/>
      <c r="M66" s="67">
        <f t="shared" si="6"/>
        <v>0</v>
      </c>
    </row>
    <row r="67" spans="1:14" ht="12" customHeight="1" x14ac:dyDescent="0.3">
      <c r="A67" s="240"/>
      <c r="B67" s="240"/>
      <c r="C67" s="240"/>
      <c r="D67" s="240"/>
      <c r="E67" s="241"/>
      <c r="F67" s="169" t="s">
        <v>216</v>
      </c>
      <c r="G67" s="170"/>
      <c r="H67" s="170"/>
      <c r="I67" s="170"/>
      <c r="J67" s="294"/>
      <c r="K67" s="153">
        <v>150</v>
      </c>
      <c r="L67" s="155"/>
      <c r="M67" s="67">
        <f>K67*L67</f>
        <v>0</v>
      </c>
    </row>
    <row r="68" spans="1:14" x14ac:dyDescent="0.3">
      <c r="A68" s="240"/>
      <c r="B68" s="240"/>
      <c r="C68" s="240"/>
      <c r="D68" s="240"/>
      <c r="E68" s="241"/>
      <c r="F68" s="250" t="s">
        <v>104</v>
      </c>
      <c r="G68" s="250"/>
      <c r="H68" s="250"/>
      <c r="I68" s="250"/>
      <c r="J68" s="250"/>
      <c r="K68" s="44">
        <v>140</v>
      </c>
      <c r="L68" s="139"/>
      <c r="M68" s="67">
        <f>K68*L68</f>
        <v>0</v>
      </c>
      <c r="N68" s="33">
        <f>IF(AND(M75&gt;=0, M75&lt;=75), ROUND(M75*0.9, 1), 0)</f>
        <v>0</v>
      </c>
    </row>
    <row r="69" spans="1:14" ht="14.5" customHeight="1" x14ac:dyDescent="0.3">
      <c r="A69" s="240" t="s">
        <v>230</v>
      </c>
      <c r="B69" s="240"/>
      <c r="C69" s="240"/>
      <c r="D69" s="240"/>
      <c r="E69" s="241"/>
      <c r="F69" s="250" t="s">
        <v>59</v>
      </c>
      <c r="G69" s="250"/>
      <c r="H69" s="250"/>
      <c r="I69" s="250"/>
      <c r="J69" s="250"/>
      <c r="K69" s="44">
        <v>75</v>
      </c>
      <c r="L69" s="139"/>
      <c r="M69" s="67">
        <f>K69*L69</f>
        <v>0</v>
      </c>
      <c r="N69" s="33">
        <f>IF(AND(M75&gt;75, M75&lt;=90), ROUND(M75*1.111112, 1), 0)</f>
        <v>0</v>
      </c>
    </row>
    <row r="70" spans="1:14" x14ac:dyDescent="0.3">
      <c r="A70" s="240" t="s">
        <v>195</v>
      </c>
      <c r="B70" s="240"/>
      <c r="C70" s="240"/>
      <c r="D70" s="240"/>
      <c r="E70" s="241"/>
      <c r="F70" s="250" t="s">
        <v>60</v>
      </c>
      <c r="G70" s="250"/>
      <c r="H70" s="250"/>
      <c r="I70" s="250"/>
      <c r="J70" s="250"/>
      <c r="K70" s="44">
        <v>50</v>
      </c>
      <c r="L70" s="139"/>
      <c r="M70" s="67">
        <f>K70*L70</f>
        <v>0</v>
      </c>
      <c r="N70" s="33">
        <f>IF(AND(M75&gt;90, M75&lt;=100), ROUND((100+(M75-90)*5), 1), 0)</f>
        <v>0</v>
      </c>
    </row>
    <row r="71" spans="1:14" ht="14.5" customHeight="1" x14ac:dyDescent="0.3">
      <c r="A71" s="240"/>
      <c r="B71" s="240"/>
      <c r="C71" s="240"/>
      <c r="D71" s="240"/>
      <c r="E71" s="241"/>
      <c r="F71" s="242" t="s">
        <v>69</v>
      </c>
      <c r="G71" s="243"/>
      <c r="H71" s="243"/>
      <c r="I71" s="243"/>
      <c r="J71" s="243"/>
      <c r="K71" s="244"/>
      <c r="L71" s="79">
        <f>SUM(L44:L61)</f>
        <v>0</v>
      </c>
      <c r="M71" s="290">
        <f>SUM(M44:M70)</f>
        <v>0</v>
      </c>
      <c r="N71" s="33">
        <f>SUM(N68:N70)</f>
        <v>0</v>
      </c>
    </row>
    <row r="72" spans="1:14" x14ac:dyDescent="0.3">
      <c r="A72" s="240" t="s">
        <v>118</v>
      </c>
      <c r="B72" s="240"/>
      <c r="C72" s="240"/>
      <c r="D72" s="240"/>
      <c r="E72" s="240"/>
      <c r="F72" s="242" t="s">
        <v>70</v>
      </c>
      <c r="G72" s="243"/>
      <c r="H72" s="243"/>
      <c r="I72" s="243"/>
      <c r="J72" s="243"/>
      <c r="K72" s="244"/>
      <c r="L72" s="79">
        <f>SUM(L44:L61,L63:L66)</f>
        <v>0</v>
      </c>
      <c r="M72" s="291"/>
    </row>
    <row r="73" spans="1:14" ht="24.75" customHeight="1" x14ac:dyDescent="0.3">
      <c r="A73" s="240"/>
      <c r="B73" s="240"/>
      <c r="C73" s="240"/>
      <c r="D73" s="240"/>
      <c r="E73" s="240"/>
      <c r="F73" s="104" t="s">
        <v>129</v>
      </c>
      <c r="G73" s="105"/>
      <c r="H73" s="105"/>
      <c r="I73" s="105"/>
      <c r="J73" s="105"/>
      <c r="K73" s="105"/>
      <c r="L73" s="79">
        <f>SUM(L44:L61, L63:L66)</f>
        <v>0</v>
      </c>
      <c r="M73" s="292"/>
    </row>
    <row r="74" spans="1:14" x14ac:dyDescent="0.3">
      <c r="A74" s="51"/>
      <c r="B74" s="51"/>
      <c r="C74" s="51"/>
      <c r="D74" s="51"/>
      <c r="E74" s="51"/>
      <c r="F74" s="242" t="s">
        <v>119</v>
      </c>
      <c r="G74" s="243"/>
      <c r="H74" s="243"/>
      <c r="I74" s="243"/>
      <c r="J74" s="243"/>
      <c r="K74" s="243"/>
      <c r="L74" s="244"/>
      <c r="M74" s="79">
        <f>IF(L73&gt;=10,ROUND(M71/L73, 1), 0)</f>
        <v>0</v>
      </c>
    </row>
    <row r="75" spans="1:14" x14ac:dyDescent="0.3">
      <c r="F75" s="242" t="s">
        <v>120</v>
      </c>
      <c r="G75" s="243"/>
      <c r="H75" s="243"/>
      <c r="I75" s="243"/>
      <c r="J75" s="243"/>
      <c r="K75" s="243"/>
      <c r="L75" s="244"/>
      <c r="M75" s="79">
        <f>IF(L72&gt;=10,ROUND(L71/L72,3)*100,0)</f>
        <v>0</v>
      </c>
    </row>
    <row r="76" spans="1:14" x14ac:dyDescent="0.3">
      <c r="F76" s="242" t="s">
        <v>125</v>
      </c>
      <c r="G76" s="243"/>
      <c r="H76" s="243"/>
      <c r="I76" s="243"/>
      <c r="J76" s="243"/>
      <c r="K76" s="243"/>
      <c r="L76" s="244"/>
      <c r="M76" s="79">
        <f>IF(L72&gt;=10, N71, 0)</f>
        <v>0</v>
      </c>
    </row>
    <row r="77" spans="1:14" x14ac:dyDescent="0.3">
      <c r="F77" s="158"/>
      <c r="G77" s="158"/>
      <c r="H77" s="158"/>
      <c r="I77" s="158"/>
      <c r="J77" s="158"/>
      <c r="K77" s="158"/>
      <c r="L77" s="158"/>
      <c r="M77" s="158"/>
    </row>
    <row r="78" spans="1:14" x14ac:dyDescent="0.3">
      <c r="F78" s="159"/>
      <c r="G78" s="159"/>
      <c r="H78" s="159"/>
      <c r="I78" s="159"/>
      <c r="J78" s="159"/>
      <c r="K78" s="159"/>
      <c r="L78" s="159"/>
      <c r="M78" s="159"/>
    </row>
    <row r="79" spans="1:14" ht="18" customHeight="1" x14ac:dyDescent="0.3">
      <c r="A79" s="214" t="s">
        <v>135</v>
      </c>
      <c r="B79" s="215"/>
      <c r="C79" s="215"/>
      <c r="D79" s="215"/>
      <c r="E79" s="215"/>
      <c r="F79" s="215"/>
      <c r="G79" s="215"/>
      <c r="H79" s="215"/>
    </row>
    <row r="80" spans="1:14" ht="12" customHeight="1" x14ac:dyDescent="0.3">
      <c r="A80" s="191" t="s">
        <v>136</v>
      </c>
      <c r="B80" s="210" t="s">
        <v>1</v>
      </c>
      <c r="C80" s="219"/>
      <c r="D80" s="219"/>
      <c r="E80" s="219"/>
      <c r="F80" s="220"/>
      <c r="G80" s="192" t="s">
        <v>17</v>
      </c>
      <c r="H80" s="192" t="s">
        <v>18</v>
      </c>
    </row>
    <row r="81" spans="1:9" ht="12" customHeight="1" x14ac:dyDescent="0.3">
      <c r="A81" s="191"/>
      <c r="B81" s="190" t="s">
        <v>130</v>
      </c>
      <c r="C81" s="190"/>
      <c r="D81" s="190"/>
      <c r="E81" s="190"/>
      <c r="F81" s="192" t="s">
        <v>20</v>
      </c>
      <c r="G81" s="208"/>
      <c r="H81" s="208"/>
    </row>
    <row r="82" spans="1:9" ht="24" x14ac:dyDescent="0.3">
      <c r="A82" s="191"/>
      <c r="B82" s="106" t="s">
        <v>131</v>
      </c>
      <c r="C82" s="106" t="s">
        <v>132</v>
      </c>
      <c r="D82" s="106" t="s">
        <v>155</v>
      </c>
      <c r="E82" s="106" t="s">
        <v>133</v>
      </c>
      <c r="F82" s="209"/>
      <c r="G82" s="209"/>
      <c r="H82" s="209"/>
    </row>
    <row r="83" spans="1:9" x14ac:dyDescent="0.3">
      <c r="A83" s="107" t="s">
        <v>140</v>
      </c>
      <c r="B83" s="8"/>
      <c r="C83" s="8"/>
      <c r="D83" s="8"/>
      <c r="E83" s="8"/>
      <c r="F83" s="63">
        <v>2</v>
      </c>
      <c r="G83" s="69">
        <f t="shared" ref="G83:G89" si="7">(B83*150+C83*100+D83*80+E83*0)*F83</f>
        <v>0</v>
      </c>
      <c r="H83" s="70">
        <f t="shared" ref="H83:H89" si="8">SUM(B83:E83)*F83</f>
        <v>0</v>
      </c>
    </row>
    <row r="84" spans="1:9" ht="12" hidden="1" customHeight="1" x14ac:dyDescent="0.3">
      <c r="A84" s="107" t="s">
        <v>140</v>
      </c>
      <c r="B84" s="63"/>
      <c r="C84" s="63"/>
      <c r="D84" s="63"/>
      <c r="E84" s="63"/>
      <c r="F84" s="63"/>
      <c r="G84" s="69">
        <f t="shared" si="7"/>
        <v>0</v>
      </c>
      <c r="H84" s="70">
        <f t="shared" si="8"/>
        <v>0</v>
      </c>
    </row>
    <row r="85" spans="1:9" ht="12" hidden="1" customHeight="1" x14ac:dyDescent="0.3">
      <c r="A85" s="107" t="s">
        <v>140</v>
      </c>
      <c r="B85" s="63"/>
      <c r="C85" s="63"/>
      <c r="D85" s="63"/>
      <c r="E85" s="63"/>
      <c r="F85" s="64"/>
      <c r="G85" s="69">
        <f t="shared" si="7"/>
        <v>0</v>
      </c>
      <c r="H85" s="70">
        <f t="shared" si="8"/>
        <v>0</v>
      </c>
    </row>
    <row r="86" spans="1:9" ht="12" hidden="1" customHeight="1" x14ac:dyDescent="0.3">
      <c r="A86" s="107" t="s">
        <v>140</v>
      </c>
      <c r="B86" s="63"/>
      <c r="C86" s="63"/>
      <c r="D86" s="63"/>
      <c r="E86" s="63"/>
      <c r="F86" s="63"/>
      <c r="G86" s="69">
        <f t="shared" si="7"/>
        <v>0</v>
      </c>
      <c r="H86" s="70">
        <f t="shared" si="8"/>
        <v>0</v>
      </c>
    </row>
    <row r="87" spans="1:9" ht="12" hidden="1" customHeight="1" x14ac:dyDescent="0.3">
      <c r="A87" s="107" t="s">
        <v>140</v>
      </c>
      <c r="B87" s="63"/>
      <c r="C87" s="63"/>
      <c r="D87" s="63"/>
      <c r="E87" s="63"/>
      <c r="F87" s="65"/>
      <c r="G87" s="69">
        <f t="shared" si="7"/>
        <v>0</v>
      </c>
      <c r="H87" s="70">
        <f t="shared" si="8"/>
        <v>0</v>
      </c>
    </row>
    <row r="88" spans="1:9" ht="12" hidden="1" customHeight="1" x14ac:dyDescent="0.3">
      <c r="A88" s="107" t="s">
        <v>140</v>
      </c>
      <c r="B88" s="63"/>
      <c r="C88" s="63"/>
      <c r="D88" s="63"/>
      <c r="E88" s="63"/>
      <c r="F88" s="65"/>
      <c r="G88" s="69">
        <f t="shared" si="7"/>
        <v>0</v>
      </c>
      <c r="H88" s="70">
        <f t="shared" si="8"/>
        <v>0</v>
      </c>
    </row>
    <row r="89" spans="1:9" ht="12" hidden="1" customHeight="1" x14ac:dyDescent="0.3">
      <c r="A89" s="107" t="s">
        <v>140</v>
      </c>
      <c r="B89" s="63"/>
      <c r="C89" s="63"/>
      <c r="D89" s="63"/>
      <c r="E89" s="63"/>
      <c r="F89" s="65"/>
      <c r="G89" s="69">
        <f t="shared" si="7"/>
        <v>0</v>
      </c>
      <c r="H89" s="70">
        <f t="shared" si="8"/>
        <v>0</v>
      </c>
    </row>
    <row r="90" spans="1:9" x14ac:dyDescent="0.3">
      <c r="A90" s="234" t="s">
        <v>227</v>
      </c>
      <c r="B90" s="235"/>
      <c r="C90" s="235"/>
      <c r="D90" s="235"/>
      <c r="E90" s="235"/>
      <c r="F90" s="236"/>
      <c r="G90" s="63">
        <f>SUM(G83:G89)</f>
        <v>0</v>
      </c>
      <c r="H90" s="63">
        <f>SUM(H83:H89)</f>
        <v>0</v>
      </c>
    </row>
    <row r="91" spans="1:9" ht="14.5" hidden="1" customHeight="1" x14ac:dyDescent="0.3">
      <c r="A91" s="154" t="s">
        <v>150</v>
      </c>
      <c r="B91" s="154"/>
      <c r="C91" s="154"/>
      <c r="D91" s="154"/>
      <c r="E91" s="154"/>
      <c r="F91" s="154"/>
      <c r="G91" s="154"/>
      <c r="H91" s="154"/>
    </row>
    <row r="92" spans="1:9" x14ac:dyDescent="0.3">
      <c r="A92" s="193" t="s">
        <v>259</v>
      </c>
      <c r="B92" s="193"/>
      <c r="C92" s="193"/>
      <c r="D92" s="193"/>
      <c r="E92" s="193"/>
      <c r="F92" s="193"/>
      <c r="G92" s="193"/>
      <c r="H92" s="193"/>
      <c r="I92" s="144"/>
    </row>
    <row r="93" spans="1:9" x14ac:dyDescent="0.3">
      <c r="A93" s="193" t="s">
        <v>205</v>
      </c>
      <c r="B93" s="193"/>
      <c r="C93" s="193"/>
      <c r="D93" s="193"/>
      <c r="E93" s="193"/>
      <c r="F93" s="193"/>
      <c r="G93" s="193"/>
      <c r="H93" s="193"/>
      <c r="I93" s="146"/>
    </row>
    <row r="95" spans="1:9" x14ac:dyDescent="0.3">
      <c r="A95" s="191" t="s">
        <v>141</v>
      </c>
      <c r="B95" s="210" t="s">
        <v>1</v>
      </c>
      <c r="C95" s="219"/>
      <c r="D95" s="219"/>
      <c r="E95" s="219"/>
      <c r="F95" s="220"/>
      <c r="G95" s="192" t="s">
        <v>17</v>
      </c>
      <c r="H95" s="192" t="s">
        <v>18</v>
      </c>
      <c r="I95" s="192" t="s">
        <v>11</v>
      </c>
    </row>
    <row r="96" spans="1:9" ht="14.5" x14ac:dyDescent="0.3">
      <c r="A96" s="191"/>
      <c r="B96" s="210" t="s">
        <v>2</v>
      </c>
      <c r="C96" s="211"/>
      <c r="D96" s="211"/>
      <c r="E96" s="212"/>
      <c r="F96" s="192" t="s">
        <v>10</v>
      </c>
      <c r="G96" s="208"/>
      <c r="H96" s="208"/>
      <c r="I96" s="208"/>
    </row>
    <row r="97" spans="1:9" ht="24" x14ac:dyDescent="0.3">
      <c r="A97" s="191"/>
      <c r="B97" s="108" t="s">
        <v>99</v>
      </c>
      <c r="C97" s="108" t="s">
        <v>100</v>
      </c>
      <c r="D97" s="108" t="s">
        <v>115</v>
      </c>
      <c r="E97" s="108" t="s">
        <v>101</v>
      </c>
      <c r="F97" s="209"/>
      <c r="G97" s="209"/>
      <c r="H97" s="209"/>
      <c r="I97" s="209"/>
    </row>
    <row r="98" spans="1:9" x14ac:dyDescent="0.3">
      <c r="A98" s="109" t="s">
        <v>13</v>
      </c>
      <c r="B98" s="8"/>
      <c r="C98" s="8"/>
      <c r="D98" s="8"/>
      <c r="E98" s="8"/>
      <c r="F98" s="72">
        <v>1</v>
      </c>
      <c r="G98" s="69">
        <f>(B98*150+C98*100+D98*80+E98*0)*F98</f>
        <v>0</v>
      </c>
      <c r="H98" s="73">
        <f>SUM(B98:E98)*F98</f>
        <v>0</v>
      </c>
      <c r="I98" s="74">
        <f>IF(H98&gt;0, ROUND(G98/H98, 1), 0)</f>
        <v>0</v>
      </c>
    </row>
    <row r="99" spans="1:9" x14ac:dyDescent="0.3">
      <c r="A99" s="109" t="s">
        <v>14</v>
      </c>
      <c r="B99" s="8"/>
      <c r="C99" s="8"/>
      <c r="D99" s="8"/>
      <c r="E99" s="8"/>
      <c r="F99" s="72">
        <v>1</v>
      </c>
      <c r="G99" s="69">
        <f>(B99*150+C99*100+D99*80+E99*0)*F99</f>
        <v>0</v>
      </c>
      <c r="H99" s="73">
        <f>SUM(B99:E99)*F99</f>
        <v>0</v>
      </c>
      <c r="I99" s="74">
        <f>IF(H99&gt;0, ROUND(G99/H99, 1), 0)</f>
        <v>0</v>
      </c>
    </row>
    <row r="100" spans="1:9" x14ac:dyDescent="0.3">
      <c r="A100" s="151" t="s">
        <v>15</v>
      </c>
      <c r="B100" s="8"/>
      <c r="C100" s="8"/>
      <c r="D100" s="8"/>
      <c r="E100" s="8"/>
      <c r="F100" s="72">
        <v>1</v>
      </c>
      <c r="G100" s="69">
        <f>(B100*150+C100*100+D100*80+E100*0)*F100</f>
        <v>0</v>
      </c>
      <c r="H100" s="73">
        <f>SUM(B100:E100)*F100</f>
        <v>0</v>
      </c>
      <c r="I100" s="74">
        <f>IF(H100&gt;0, ROUND(G100/H100, 1), 0)</f>
        <v>0</v>
      </c>
    </row>
    <row r="101" spans="1:9" x14ac:dyDescent="0.3">
      <c r="A101" s="210" t="s">
        <v>215</v>
      </c>
      <c r="B101" s="219"/>
      <c r="C101" s="219"/>
      <c r="D101" s="219"/>
      <c r="E101" s="219"/>
      <c r="F101" s="220"/>
      <c r="G101" s="63">
        <f>SUM(G98:G100)</f>
        <v>0</v>
      </c>
      <c r="H101" s="77">
        <f>SUM(H98:H100)</f>
        <v>0</v>
      </c>
      <c r="I101" s="78">
        <f>IF(H101&gt;0, ROUND(G101/H101, 1), 0)</f>
        <v>0</v>
      </c>
    </row>
    <row r="102" spans="1:9" ht="12" customHeight="1" x14ac:dyDescent="0.3">
      <c r="A102" s="225" t="s">
        <v>92</v>
      </c>
      <c r="B102" s="225"/>
      <c r="C102" s="225"/>
      <c r="D102" s="225"/>
      <c r="E102" s="225"/>
      <c r="F102" s="225"/>
      <c r="G102" s="225"/>
      <c r="H102" s="225"/>
      <c r="I102" s="225"/>
    </row>
    <row r="104" spans="1:9" ht="18" customHeight="1" x14ac:dyDescent="0.3">
      <c r="A104" s="179" t="s">
        <v>127</v>
      </c>
      <c r="B104" s="180"/>
      <c r="C104" s="180"/>
      <c r="D104" s="180"/>
      <c r="E104" s="180"/>
      <c r="F104" s="180"/>
      <c r="G104" s="180"/>
      <c r="H104" s="180"/>
    </row>
    <row r="105" spans="1:9" ht="36" x14ac:dyDescent="0.3">
      <c r="A105" s="95" t="s">
        <v>0</v>
      </c>
      <c r="B105" s="95" t="s">
        <v>110</v>
      </c>
      <c r="C105" s="95" t="s">
        <v>111</v>
      </c>
      <c r="D105" s="95" t="s">
        <v>117</v>
      </c>
      <c r="E105" s="95" t="s">
        <v>108</v>
      </c>
      <c r="F105" s="49" t="s">
        <v>109</v>
      </c>
      <c r="G105" s="95" t="s">
        <v>112</v>
      </c>
      <c r="H105" s="95" t="s">
        <v>113</v>
      </c>
    </row>
    <row r="106" spans="1:9" x14ac:dyDescent="0.3">
      <c r="A106" s="111" t="s">
        <v>219</v>
      </c>
      <c r="B106" s="52"/>
      <c r="C106" s="52"/>
      <c r="D106" s="52"/>
      <c r="E106" s="52"/>
      <c r="F106" s="52"/>
      <c r="G106" s="67">
        <f t="shared" ref="G106:G113" si="9">SUM(B106:F106)</f>
        <v>0</v>
      </c>
      <c r="H106" s="67">
        <f t="shared" ref="H106:H113" si="10">B106*150 + C106*115+D106*85+E106*25+F106*0</f>
        <v>0</v>
      </c>
    </row>
    <row r="107" spans="1:9" x14ac:dyDescent="0.3">
      <c r="A107" s="111" t="s">
        <v>220</v>
      </c>
      <c r="B107" s="52"/>
      <c r="C107" s="52"/>
      <c r="D107" s="52"/>
      <c r="E107" s="52"/>
      <c r="F107" s="52"/>
      <c r="G107" s="67">
        <f t="shared" si="9"/>
        <v>0</v>
      </c>
      <c r="H107" s="67">
        <f t="shared" si="10"/>
        <v>0</v>
      </c>
    </row>
    <row r="108" spans="1:9" x14ac:dyDescent="0.3">
      <c r="A108" s="111" t="s">
        <v>221</v>
      </c>
      <c r="B108" s="52"/>
      <c r="C108" s="52"/>
      <c r="D108" s="52"/>
      <c r="E108" s="52"/>
      <c r="F108" s="52"/>
      <c r="G108" s="67">
        <f t="shared" si="9"/>
        <v>0</v>
      </c>
      <c r="H108" s="67">
        <f t="shared" si="10"/>
        <v>0</v>
      </c>
    </row>
    <row r="109" spans="1:9" ht="12.5" thickBot="1" x14ac:dyDescent="0.35">
      <c r="A109" s="98" t="s">
        <v>222</v>
      </c>
      <c r="B109" s="114"/>
      <c r="C109" s="114"/>
      <c r="D109" s="114"/>
      <c r="E109" s="114"/>
      <c r="F109" s="114"/>
      <c r="G109" s="100">
        <f t="shared" si="9"/>
        <v>0</v>
      </c>
      <c r="H109" s="100">
        <f t="shared" si="10"/>
        <v>0</v>
      </c>
    </row>
    <row r="110" spans="1:9" ht="12.5" thickTop="1" x14ac:dyDescent="0.3">
      <c r="A110" s="113" t="s">
        <v>232</v>
      </c>
      <c r="B110" s="115"/>
      <c r="C110" s="115"/>
      <c r="D110" s="115"/>
      <c r="E110" s="115"/>
      <c r="F110" s="115"/>
      <c r="G110" s="112">
        <f t="shared" si="9"/>
        <v>0</v>
      </c>
      <c r="H110" s="112">
        <f t="shared" si="10"/>
        <v>0</v>
      </c>
    </row>
    <row r="111" spans="1:9" x14ac:dyDescent="0.3">
      <c r="A111" s="111" t="s">
        <v>233</v>
      </c>
      <c r="B111" s="52"/>
      <c r="C111" s="52"/>
      <c r="D111" s="52"/>
      <c r="E111" s="52"/>
      <c r="F111" s="52"/>
      <c r="G111" s="67">
        <f t="shared" si="9"/>
        <v>0</v>
      </c>
      <c r="H111" s="67">
        <f t="shared" si="10"/>
        <v>0</v>
      </c>
    </row>
    <row r="112" spans="1:9" x14ac:dyDescent="0.3">
      <c r="A112" s="111" t="s">
        <v>234</v>
      </c>
      <c r="B112" s="52"/>
      <c r="C112" s="52"/>
      <c r="D112" s="52"/>
      <c r="E112" s="52"/>
      <c r="F112" s="52"/>
      <c r="G112" s="67">
        <f t="shared" si="9"/>
        <v>0</v>
      </c>
      <c r="H112" s="67">
        <f t="shared" si="10"/>
        <v>0</v>
      </c>
    </row>
    <row r="113" spans="1:8" x14ac:dyDescent="0.3">
      <c r="A113" s="111" t="s">
        <v>235</v>
      </c>
      <c r="B113" s="52"/>
      <c r="C113" s="52"/>
      <c r="D113" s="52"/>
      <c r="E113" s="52"/>
      <c r="F113" s="52"/>
      <c r="G113" s="67">
        <f t="shared" si="9"/>
        <v>0</v>
      </c>
      <c r="H113" s="67">
        <f t="shared" si="10"/>
        <v>0</v>
      </c>
    </row>
    <row r="114" spans="1:8" x14ac:dyDescent="0.3">
      <c r="A114" s="205" t="s">
        <v>144</v>
      </c>
      <c r="B114" s="232"/>
      <c r="C114" s="232"/>
      <c r="D114" s="232"/>
      <c r="E114" s="232"/>
      <c r="F114" s="233"/>
      <c r="G114" s="79">
        <f>SUM(G106:G113)</f>
        <v>0</v>
      </c>
      <c r="H114" s="79">
        <f>SUM(H106:H113)</f>
        <v>0</v>
      </c>
    </row>
    <row r="115" spans="1:8" x14ac:dyDescent="0.3">
      <c r="A115" s="205" t="s">
        <v>231</v>
      </c>
      <c r="B115" s="232"/>
      <c r="C115" s="232"/>
      <c r="D115" s="232"/>
      <c r="E115" s="232"/>
      <c r="F115" s="232"/>
      <c r="G115" s="233"/>
      <c r="H115" s="79">
        <f>IF(G114&gt;0, ROUND(H114/G114,1), 0)</f>
        <v>0</v>
      </c>
    </row>
    <row r="116" spans="1:8" x14ac:dyDescent="0.3">
      <c r="A116" s="222" t="s">
        <v>260</v>
      </c>
      <c r="B116" s="222"/>
      <c r="C116" s="222"/>
      <c r="D116" s="222"/>
      <c r="E116" s="222"/>
      <c r="F116" s="222"/>
      <c r="G116" s="222"/>
      <c r="H116" s="222"/>
    </row>
    <row r="117" spans="1:8" x14ac:dyDescent="0.3">
      <c r="A117" s="193" t="s">
        <v>152</v>
      </c>
      <c r="B117" s="193"/>
      <c r="C117" s="193"/>
      <c r="D117" s="193"/>
      <c r="E117" s="193"/>
      <c r="F117" s="193"/>
      <c r="G117" s="193"/>
      <c r="H117" s="193"/>
    </row>
    <row r="119" spans="1:8" ht="18" customHeight="1" x14ac:dyDescent="0.3">
      <c r="A119" s="179" t="s">
        <v>241</v>
      </c>
      <c r="B119" s="180"/>
      <c r="C119" s="180"/>
      <c r="D119" s="180"/>
      <c r="E119" s="181"/>
    </row>
    <row r="120" spans="1:8" ht="13.5" customHeight="1" x14ac:dyDescent="0.3">
      <c r="A120" s="173" t="s">
        <v>242</v>
      </c>
      <c r="B120" s="169" t="s">
        <v>243</v>
      </c>
      <c r="C120" s="170"/>
      <c r="D120" s="52"/>
      <c r="E120" s="167">
        <f>IF(D120&gt;37.5, 37.5, D120)</f>
        <v>0</v>
      </c>
    </row>
    <row r="121" spans="1:8" ht="13.5" customHeight="1" x14ac:dyDescent="0.3">
      <c r="A121" s="174"/>
      <c r="B121" s="169" t="s">
        <v>261</v>
      </c>
      <c r="C121" s="170"/>
      <c r="D121" s="52"/>
      <c r="E121" s="167">
        <f t="shared" ref="E121:E122" si="11">IF(D121&gt;37.5, 37.5, D121)</f>
        <v>0</v>
      </c>
    </row>
    <row r="122" spans="1:8" ht="13" customHeight="1" x14ac:dyDescent="0.3">
      <c r="A122" s="174"/>
      <c r="B122" s="171" t="s">
        <v>245</v>
      </c>
      <c r="C122" s="172"/>
      <c r="D122" s="52"/>
      <c r="E122" s="167">
        <f t="shared" si="11"/>
        <v>0</v>
      </c>
    </row>
    <row r="123" spans="1:8" ht="13.5" customHeight="1" x14ac:dyDescent="0.3">
      <c r="A123" s="175"/>
      <c r="B123" s="169" t="s">
        <v>246</v>
      </c>
      <c r="C123" s="170"/>
      <c r="D123" s="52"/>
      <c r="E123" s="167">
        <f>IF(D123&gt;37.5, 37.5, D123)</f>
        <v>0</v>
      </c>
    </row>
    <row r="124" spans="1:8" ht="13" x14ac:dyDescent="0.3">
      <c r="A124" s="176" t="s">
        <v>247</v>
      </c>
      <c r="B124" s="177"/>
      <c r="C124" s="177"/>
      <c r="D124" s="178"/>
      <c r="E124" s="163">
        <f>SUM(E120:E123)</f>
        <v>0</v>
      </c>
    </row>
    <row r="125" spans="1:8" ht="24" customHeight="1" x14ac:dyDescent="0.3">
      <c r="A125" s="221" t="s">
        <v>249</v>
      </c>
      <c r="B125" s="222"/>
      <c r="C125" s="222"/>
      <c r="D125" s="222"/>
      <c r="E125" s="222"/>
    </row>
  </sheetData>
  <sheetProtection algorithmName="SHA-512" hashValue="P6LNY5cyL3YGY9SxnLAP48Y8Kvo1H9ExRj5Xv2TlyTwwI7CWVTjFwT+P1dars9LfWWdM1ufsRj3umVjRPXOA3A==" saltValue="YEgCddUS0nqGqae8FY7iFA==" spinCount="100000" sheet="1" objects="1" scenarios="1"/>
  <mergeCells count="135">
    <mergeCell ref="M71:M73"/>
    <mergeCell ref="F75:L75"/>
    <mergeCell ref="F74:L74"/>
    <mergeCell ref="F71:K71"/>
    <mergeCell ref="F72:K72"/>
    <mergeCell ref="F60:J60"/>
    <mergeCell ref="F63:J63"/>
    <mergeCell ref="F68:J68"/>
    <mergeCell ref="F69:J69"/>
    <mergeCell ref="F70:J70"/>
    <mergeCell ref="F65:J65"/>
    <mergeCell ref="F66:J66"/>
    <mergeCell ref="F64:J64"/>
    <mergeCell ref="F67:J67"/>
    <mergeCell ref="F61:J61"/>
    <mergeCell ref="F62:J62"/>
    <mergeCell ref="M44:M46"/>
    <mergeCell ref="M47:M49"/>
    <mergeCell ref="A28:A29"/>
    <mergeCell ref="B28:F28"/>
    <mergeCell ref="A42:D42"/>
    <mergeCell ref="F43:J43"/>
    <mergeCell ref="F45:J45"/>
    <mergeCell ref="F51:J51"/>
    <mergeCell ref="F47:J47"/>
    <mergeCell ref="F48:J48"/>
    <mergeCell ref="F49:J49"/>
    <mergeCell ref="F50:J50"/>
    <mergeCell ref="F44:J44"/>
    <mergeCell ref="F46:J46"/>
    <mergeCell ref="F42:M42"/>
    <mergeCell ref="L44:L46"/>
    <mergeCell ref="M50:M53"/>
    <mergeCell ref="A39:J39"/>
    <mergeCell ref="A40:J40"/>
    <mergeCell ref="L50:L53"/>
    <mergeCell ref="K44:K46"/>
    <mergeCell ref="K47:K49"/>
    <mergeCell ref="K50:K53"/>
    <mergeCell ref="L47:L49"/>
    <mergeCell ref="M54:M57"/>
    <mergeCell ref="F53:J53"/>
    <mergeCell ref="F58:J58"/>
    <mergeCell ref="D1:L1"/>
    <mergeCell ref="D2:E2"/>
    <mergeCell ref="D3:E3"/>
    <mergeCell ref="D4:E4"/>
    <mergeCell ref="D5:E5"/>
    <mergeCell ref="A95:A97"/>
    <mergeCell ref="G95:G97"/>
    <mergeCell ref="H95:H97"/>
    <mergeCell ref="I95:I97"/>
    <mergeCell ref="B96:E96"/>
    <mergeCell ref="F96:F97"/>
    <mergeCell ref="A80:A82"/>
    <mergeCell ref="G80:G82"/>
    <mergeCell ref="H80:H82"/>
    <mergeCell ref="B81:E81"/>
    <mergeCell ref="B8:J8"/>
    <mergeCell ref="B9:C9"/>
    <mergeCell ref="B16:E16"/>
    <mergeCell ref="J28:J29"/>
    <mergeCell ref="A36:G36"/>
    <mergeCell ref="A27:J27"/>
    <mergeCell ref="O8:V8"/>
    <mergeCell ref="O9:P9"/>
    <mergeCell ref="O10:P10"/>
    <mergeCell ref="O11:P11"/>
    <mergeCell ref="O12:P12"/>
    <mergeCell ref="P14:S14"/>
    <mergeCell ref="B23:E23"/>
    <mergeCell ref="B24:E24"/>
    <mergeCell ref="P15:S15"/>
    <mergeCell ref="P16:S16"/>
    <mergeCell ref="P17:S17"/>
    <mergeCell ref="P18:S18"/>
    <mergeCell ref="P19:S19"/>
    <mergeCell ref="P20:S20"/>
    <mergeCell ref="P21:S21"/>
    <mergeCell ref="P22:S22"/>
    <mergeCell ref="P23:S23"/>
    <mergeCell ref="P24:S24"/>
    <mergeCell ref="B14:E14"/>
    <mergeCell ref="B15:E15"/>
    <mergeCell ref="B17:E17"/>
    <mergeCell ref="B18:E18"/>
    <mergeCell ref="B19:E19"/>
    <mergeCell ref="B20:E20"/>
    <mergeCell ref="B10:C10"/>
    <mergeCell ref="B11:C11"/>
    <mergeCell ref="B12:C12"/>
    <mergeCell ref="F59:J59"/>
    <mergeCell ref="F57:J57"/>
    <mergeCell ref="F54:J54"/>
    <mergeCell ref="F55:J55"/>
    <mergeCell ref="F56:J56"/>
    <mergeCell ref="H28:H29"/>
    <mergeCell ref="I28:I29"/>
    <mergeCell ref="G28:G29"/>
    <mergeCell ref="A37:J37"/>
    <mergeCell ref="F52:J52"/>
    <mergeCell ref="A38:J38"/>
    <mergeCell ref="B80:F80"/>
    <mergeCell ref="B95:F95"/>
    <mergeCell ref="A101:F101"/>
    <mergeCell ref="A115:G115"/>
    <mergeCell ref="A114:F114"/>
    <mergeCell ref="A90:F90"/>
    <mergeCell ref="A79:H79"/>
    <mergeCell ref="A104:H104"/>
    <mergeCell ref="B21:E21"/>
    <mergeCell ref="B22:E22"/>
    <mergeCell ref="A92:H92"/>
    <mergeCell ref="F81:F82"/>
    <mergeCell ref="A102:I102"/>
    <mergeCell ref="A93:H93"/>
    <mergeCell ref="A69:E69"/>
    <mergeCell ref="A70:E71"/>
    <mergeCell ref="A72:E73"/>
    <mergeCell ref="F76:L76"/>
    <mergeCell ref="K54:K57"/>
    <mergeCell ref="L54:L57"/>
    <mergeCell ref="A64:B64"/>
    <mergeCell ref="A65:C65"/>
    <mergeCell ref="A66:E68"/>
    <mergeCell ref="A119:E119"/>
    <mergeCell ref="A120:A123"/>
    <mergeCell ref="A124:D124"/>
    <mergeCell ref="A125:E125"/>
    <mergeCell ref="A116:H116"/>
    <mergeCell ref="A117:H117"/>
    <mergeCell ref="B120:C120"/>
    <mergeCell ref="B121:C121"/>
    <mergeCell ref="B122:C122"/>
    <mergeCell ref="B123:C123"/>
  </mergeCells>
  <pageMargins left="0.7" right="0.7" top="0.75" bottom="0.75" header="0.3" footer="0.3"/>
  <pageSetup orientation="portrait" r:id="rId1"/>
  <ignoredErrors>
    <ignoredError sqref="E121:E12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1"/>
  <sheetViews>
    <sheetView showGridLines="0" tabSelected="1" workbookViewId="0">
      <selection activeCell="K14" sqref="K14"/>
    </sheetView>
  </sheetViews>
  <sheetFormatPr defaultColWidth="8.81640625" defaultRowHeight="13" x14ac:dyDescent="0.3"/>
  <cols>
    <col min="1" max="1" width="21.1796875" style="54" customWidth="1"/>
    <col min="2" max="2" width="13.26953125" style="54" customWidth="1"/>
    <col min="3" max="3" width="8.81640625" style="54"/>
    <col min="4" max="4" width="9.54296875" style="54" customWidth="1"/>
    <col min="5" max="5" width="11.26953125" style="54" customWidth="1"/>
    <col min="6" max="6" width="11.1796875" style="54" customWidth="1"/>
    <col min="7" max="7" width="12.54296875" style="54" customWidth="1"/>
    <col min="8" max="8" width="10.26953125" style="54" customWidth="1"/>
    <col min="9" max="9" width="12.26953125" style="54" customWidth="1"/>
    <col min="10" max="11" width="13.26953125" style="54" customWidth="1"/>
    <col min="12" max="16384" width="8.81640625" style="54"/>
  </cols>
  <sheetData>
    <row r="1" spans="1:11" ht="18.75" customHeight="1" x14ac:dyDescent="0.3">
      <c r="D1" s="295" t="s">
        <v>82</v>
      </c>
      <c r="E1" s="295"/>
      <c r="F1" s="295"/>
      <c r="G1" s="295"/>
      <c r="H1" s="295"/>
      <c r="I1" s="295"/>
    </row>
    <row r="2" spans="1:11" ht="26.5" customHeight="1" x14ac:dyDescent="0.3">
      <c r="D2" s="264" t="s">
        <v>84</v>
      </c>
      <c r="E2" s="264"/>
      <c r="F2" s="298" t="s">
        <v>79</v>
      </c>
      <c r="G2" s="298" t="s">
        <v>86</v>
      </c>
      <c r="H2" s="298" t="s">
        <v>83</v>
      </c>
      <c r="I2" s="298" t="s">
        <v>87</v>
      </c>
    </row>
    <row r="3" spans="1:11" ht="24" customHeight="1" x14ac:dyDescent="0.3">
      <c r="D3" s="12" t="s">
        <v>78</v>
      </c>
      <c r="E3" s="12" t="s">
        <v>85</v>
      </c>
      <c r="F3" s="299"/>
      <c r="G3" s="299"/>
      <c r="H3" s="299"/>
      <c r="I3" s="299"/>
    </row>
    <row r="4" spans="1:11" ht="15" customHeight="1" x14ac:dyDescent="0.3">
      <c r="D4" s="59"/>
      <c r="E4" s="59"/>
      <c r="F4" s="55" t="str">
        <f>IF(E4&gt;0, HS!L72, " ")</f>
        <v xml:space="preserve"> </v>
      </c>
      <c r="G4" s="55" t="str">
        <f>IF(D4&gt;0, 'K8'!J3, " ")</f>
        <v xml:space="preserve"> </v>
      </c>
      <c r="H4" s="55" t="str">
        <f>IF(E4&gt;0, HS!L3, " ")</f>
        <v xml:space="preserve"> </v>
      </c>
      <c r="I4" s="55" t="str">
        <f>IF(AND(D4&gt;0,E4&gt;0), ROUND(((G4*D4)+H4*(E4+F4))/(D4+E4+F4), 1), " ")</f>
        <v xml:space="preserve"> </v>
      </c>
    </row>
    <row r="5" spans="1:11" ht="32" customHeight="1" x14ac:dyDescent="0.3">
      <c r="C5" s="300" t="s">
        <v>250</v>
      </c>
      <c r="D5" s="301"/>
      <c r="E5" s="301"/>
      <c r="F5" s="301"/>
      <c r="G5" s="301"/>
      <c r="H5" s="301"/>
      <c r="I5" s="301"/>
      <c r="J5" s="301"/>
    </row>
    <row r="6" spans="1:11" ht="19.149999999999999" customHeight="1" x14ac:dyDescent="0.3">
      <c r="A6" s="295" t="s">
        <v>82</v>
      </c>
      <c r="B6" s="295"/>
      <c r="C6" s="295"/>
      <c r="D6" s="295"/>
      <c r="E6" s="295"/>
      <c r="F6" s="295"/>
      <c r="G6" s="295"/>
      <c r="H6" s="295"/>
      <c r="I6" s="295"/>
      <c r="J6" s="295"/>
      <c r="K6" s="296"/>
    </row>
    <row r="7" spans="1:11" ht="36" x14ac:dyDescent="0.3">
      <c r="A7" s="60"/>
      <c r="B7" s="117" t="s">
        <v>22</v>
      </c>
      <c r="C7" s="117" t="s">
        <v>124</v>
      </c>
      <c r="D7" s="117" t="s">
        <v>23</v>
      </c>
      <c r="E7" s="117" t="s">
        <v>142</v>
      </c>
      <c r="F7" s="117" t="s">
        <v>127</v>
      </c>
      <c r="G7" s="117" t="s">
        <v>71</v>
      </c>
      <c r="H7" s="117" t="s">
        <v>72</v>
      </c>
      <c r="I7" s="118" t="s">
        <v>102</v>
      </c>
      <c r="J7" s="162" t="s">
        <v>196</v>
      </c>
      <c r="K7" s="162" t="s">
        <v>202</v>
      </c>
    </row>
    <row r="8" spans="1:11" x14ac:dyDescent="0.3">
      <c r="A8" s="61" t="s">
        <v>81</v>
      </c>
      <c r="B8" s="56" t="str">
        <f>IF(D4&gt;0, 'K8'!F3, " ")</f>
        <v xml:space="preserve"> </v>
      </c>
      <c r="C8" s="56" t="str">
        <f>IF(D4&gt;0, 'K8'!G3, " ")</f>
        <v xml:space="preserve"> </v>
      </c>
      <c r="D8" s="56" t="str">
        <f>IF(D4&gt;0, 'K8'!H3, " ")</f>
        <v xml:space="preserve"> </v>
      </c>
      <c r="E8" s="56" t="str">
        <f>IF(E4&gt;0,HS!F3," ")</f>
        <v xml:space="preserve"> </v>
      </c>
      <c r="F8" s="56" t="str">
        <f>IF(E4&gt;0,HS!G3," ")</f>
        <v xml:space="preserve"> </v>
      </c>
      <c r="G8" s="56" t="str">
        <f>IF(E4&gt;0,HS!H3," ")</f>
        <v xml:space="preserve"> </v>
      </c>
      <c r="H8" s="56" t="str">
        <f>IF(E4&gt;0,HS!I3," ")</f>
        <v xml:space="preserve"> </v>
      </c>
      <c r="I8" s="124" t="str">
        <f>IF(E4&gt;0,HS!J3," ")</f>
        <v xml:space="preserve"> </v>
      </c>
      <c r="J8" s="55" t="str">
        <f>IF(D4&gt;0, 'K8'!I3, " ")</f>
        <v xml:space="preserve"> </v>
      </c>
      <c r="K8" s="55" t="str">
        <f>IF(E4&gt;0,HS!K3," ")</f>
        <v xml:space="preserve"> </v>
      </c>
    </row>
    <row r="9" spans="1:11" x14ac:dyDescent="0.3">
      <c r="A9" s="61" t="s">
        <v>208</v>
      </c>
      <c r="B9" s="56" t="str">
        <f>IF(D4&gt;0, 'K8'!F4, " ")</f>
        <v xml:space="preserve"> </v>
      </c>
      <c r="C9" s="56" t="str">
        <f>IF(D4&gt;0, 'K8'!G4, " ")</f>
        <v xml:space="preserve"> </v>
      </c>
      <c r="D9" s="56" t="str">
        <f>IF(D4&gt;0, 'K8'!H4, " ")</f>
        <v xml:space="preserve"> </v>
      </c>
      <c r="E9" s="56" t="str">
        <f>IF(E4&gt;0,HS!F4," ")</f>
        <v xml:space="preserve"> </v>
      </c>
      <c r="F9" s="56" t="str">
        <f>IF(E4&gt;0,HS!G4," ")</f>
        <v xml:space="preserve"> </v>
      </c>
      <c r="G9" s="56" t="str">
        <f>IF(E4&gt;0,HS!H4," ")</f>
        <v xml:space="preserve"> </v>
      </c>
      <c r="H9" s="56" t="str">
        <f>IF(E4&gt;0,HS!I4," ")</f>
        <v xml:space="preserve"> </v>
      </c>
      <c r="I9" s="124" t="str">
        <f>IF(E4&gt;0,HS!J4," ")</f>
        <v xml:space="preserve"> </v>
      </c>
      <c r="J9" s="55" t="str">
        <f>IF(D4&gt;0, 'K8'!I4, " ")</f>
        <v xml:space="preserve"> </v>
      </c>
      <c r="K9" s="55" t="str">
        <f>IF(E4&gt;0,HS!K4," ")</f>
        <v xml:space="preserve"> </v>
      </c>
    </row>
    <row r="10" spans="1:11" x14ac:dyDescent="0.3">
      <c r="A10" s="61" t="s">
        <v>20</v>
      </c>
      <c r="B10" s="57" t="str">
        <f>IF(D4&gt;0, 'K8'!F5, " ")</f>
        <v xml:space="preserve"> </v>
      </c>
      <c r="C10" s="57" t="str">
        <f>IF(D4&gt;0, 'K8'!G5, " ")</f>
        <v xml:space="preserve"> </v>
      </c>
      <c r="D10" s="57" t="str">
        <f>IF(D4&gt;0, 'K8'!H5, " ")</f>
        <v xml:space="preserve"> </v>
      </c>
      <c r="E10" s="58" t="str">
        <f>IF(E4&gt;0,HS!F5," ")</f>
        <v xml:space="preserve"> </v>
      </c>
      <c r="F10" s="58" t="str">
        <f>IF(E4&gt;0,HS!G5," ")</f>
        <v xml:space="preserve"> </v>
      </c>
      <c r="G10" s="57" t="str">
        <f>IF(E4&gt;0,HS!H5," ")</f>
        <v xml:space="preserve"> </v>
      </c>
      <c r="H10" s="57" t="str">
        <f>IF(E4&gt;0,HS!I5," ")</f>
        <v xml:space="preserve"> </v>
      </c>
      <c r="I10" s="125" t="str">
        <f>IF(E4&gt;0,HS!J5," ")</f>
        <v xml:space="preserve"> </v>
      </c>
      <c r="J10" s="57" t="str">
        <f>IF(D4&gt;0, 'K8'!I5, " ")</f>
        <v xml:space="preserve"> </v>
      </c>
      <c r="K10" s="57" t="str">
        <f>IF(E4&gt;0,HS!K5," ")</f>
        <v xml:space="preserve"> </v>
      </c>
    </row>
    <row r="11" spans="1:11" x14ac:dyDescent="0.3">
      <c r="A11" s="297"/>
      <c r="B11" s="297"/>
      <c r="C11" s="297"/>
      <c r="D11" s="297"/>
      <c r="E11" s="297"/>
      <c r="F11" s="297"/>
      <c r="G11" s="297"/>
      <c r="H11" s="297"/>
      <c r="I11" s="297"/>
      <c r="J11" s="297"/>
      <c r="K11" s="297"/>
    </row>
  </sheetData>
  <sheetProtection algorithmName="SHA-512" hashValue="8+E8ZiTrTkZU89BpkNzw+QEyeAjO/P1hNN1qdqO1+NLjsRJ2u/4kn8pvMeyCPkYA/osmC1dsCOYdE0goYrtRrA==" saltValue="+P0a7yDEyX1ukl9/0iHKXQ==" spinCount="100000" sheet="1" objects="1" scenarios="1"/>
  <mergeCells count="9">
    <mergeCell ref="A6:K6"/>
    <mergeCell ref="A11:K11"/>
    <mergeCell ref="D1:I1"/>
    <mergeCell ref="D2:E2"/>
    <mergeCell ref="F2:F3"/>
    <mergeCell ref="G2:G3"/>
    <mergeCell ref="H2:H3"/>
    <mergeCell ref="I2:I3"/>
    <mergeCell ref="C5:J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K8</vt:lpstr>
      <vt:lpstr>HS</vt:lpstr>
      <vt:lpstr>CB</vt:lpstr>
    </vt:vector>
  </TitlesOfParts>
  <Company>LDOE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Liu</dc:creator>
  <cp:lastModifiedBy>Jennifer Baird</cp:lastModifiedBy>
  <cp:lastPrinted>2023-07-26T19:47:03Z</cp:lastPrinted>
  <dcterms:created xsi:type="dcterms:W3CDTF">2017-05-19T19:28:15Z</dcterms:created>
  <dcterms:modified xsi:type="dcterms:W3CDTF">2023-08-23T13:58:55Z</dcterms:modified>
</cp:coreProperties>
</file>